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 Laptop\OneDrive\Desktop\Battle Creek\"/>
    </mc:Choice>
  </mc:AlternateContent>
  <xr:revisionPtr revIDLastSave="0" documentId="13_ncr:1_{41AD3E8E-E28B-4282-B8BC-38997FA86250}" xr6:coauthVersionLast="47" xr6:coauthVersionMax="47" xr10:uidLastSave="{00000000-0000-0000-0000-000000000000}"/>
  <bookViews>
    <workbookView xWindow="-120" yWindow="-120" windowWidth="20730" windowHeight="11160" xr2:uid="{F1C8F888-C9AF-44F9-ACE2-8CBCFB8BA2CA}"/>
  </bookViews>
  <sheets>
    <sheet name="Full League" sheetId="2" r:id="rId1"/>
    <sheet name="Raw" sheetId="24" r:id="rId2"/>
    <sheet name="BC" sheetId="1" r:id="rId3"/>
    <sheet name="BIS" sheetId="3" r:id="rId4"/>
    <sheet name="DUL" sheetId="4" r:id="rId5"/>
    <sheet name="EC" sheetId="5" r:id="rId6"/>
    <sheet name="FDL" sheetId="6" r:id="rId7"/>
    <sheet name="GB" sheetId="7" r:id="rId8"/>
    <sheet name="KEN" sheetId="8" r:id="rId9"/>
    <sheet name="KMO" sheetId="9" r:id="rId10"/>
    <sheet name="KZO" sheetId="10" r:id="rId11"/>
    <sheet name="LAC" sheetId="11" r:id="rId12"/>
    <sheet name="LAK" sheetId="12" r:id="rId13"/>
    <sheet name="MAD" sheetId="13" r:id="rId14"/>
    <sheet name="MAN" sheetId="14" r:id="rId15"/>
    <sheet name="MIN" sheetId="15" r:id="rId16"/>
    <sheet name="RFD" sheetId="16" r:id="rId17"/>
    <sheet name="ROC" sheetId="17" r:id="rId18"/>
    <sheet name="STC" sheetId="18" r:id="rId19"/>
    <sheet name="TVC" sheetId="19" r:id="rId20"/>
    <sheet name="WAT" sheetId="20" r:id="rId21"/>
    <sheet name="WAU" sheetId="21" r:id="rId22"/>
    <sheet name="WIL" sheetId="22" r:id="rId23"/>
    <sheet name="WIR" sheetId="23" r:id="rId24"/>
  </sheets>
  <externalReferences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7" i="23" l="1"/>
  <c r="D148" i="23"/>
  <c r="E147" i="23"/>
  <c r="G147" i="23" s="1"/>
  <c r="E148" i="23"/>
  <c r="F147" i="23"/>
  <c r="F148" i="23"/>
  <c r="G148" i="23"/>
  <c r="H147" i="23"/>
  <c r="H148" i="23"/>
  <c r="I147" i="23"/>
  <c r="I148" i="23"/>
  <c r="D139" i="22"/>
  <c r="D140" i="22"/>
  <c r="E139" i="22"/>
  <c r="E140" i="22"/>
  <c r="F139" i="22"/>
  <c r="F140" i="22"/>
  <c r="G139" i="22"/>
  <c r="G140" i="22"/>
  <c r="H139" i="22"/>
  <c r="H140" i="22"/>
  <c r="I139" i="22"/>
  <c r="I140" i="22"/>
  <c r="O4" i="22"/>
  <c r="M3" i="22"/>
  <c r="M4" i="22"/>
  <c r="P4" i="22"/>
  <c r="O3" i="22"/>
  <c r="L4" i="22"/>
  <c r="L3" i="22"/>
  <c r="P3" i="22"/>
  <c r="D147" i="21"/>
  <c r="D148" i="21"/>
  <c r="I148" i="21" s="1"/>
  <c r="E147" i="21"/>
  <c r="G147" i="21" s="1"/>
  <c r="E148" i="21"/>
  <c r="F147" i="21"/>
  <c r="F148" i="21"/>
  <c r="G148" i="21"/>
  <c r="H147" i="21"/>
  <c r="H148" i="21"/>
  <c r="I147" i="21"/>
  <c r="D138" i="20"/>
  <c r="D139" i="20"/>
  <c r="E138" i="20"/>
  <c r="G138" i="20" s="1"/>
  <c r="E139" i="20"/>
  <c r="F138" i="20"/>
  <c r="F139" i="20"/>
  <c r="G139" i="20"/>
  <c r="H138" i="20"/>
  <c r="H139" i="20"/>
  <c r="I138" i="20"/>
  <c r="I139" i="20"/>
  <c r="P4" i="20"/>
  <c r="O3" i="20"/>
  <c r="P3" i="20"/>
  <c r="L4" i="20"/>
  <c r="M3" i="20"/>
  <c r="M4" i="20"/>
  <c r="O4" i="20"/>
  <c r="L3" i="20"/>
  <c r="D146" i="19"/>
  <c r="I146" i="19" s="1"/>
  <c r="D147" i="19"/>
  <c r="I147" i="19" s="1"/>
  <c r="E146" i="19"/>
  <c r="E147" i="19"/>
  <c r="F146" i="19"/>
  <c r="F147" i="19"/>
  <c r="G146" i="19"/>
  <c r="G147" i="19"/>
  <c r="H146" i="19"/>
  <c r="H147" i="19"/>
  <c r="D139" i="18"/>
  <c r="D140" i="18"/>
  <c r="E139" i="18"/>
  <c r="E140" i="18"/>
  <c r="M4" i="18" s="1"/>
  <c r="F139" i="18"/>
  <c r="F140" i="18"/>
  <c r="G139" i="18"/>
  <c r="G140" i="18"/>
  <c r="H139" i="18"/>
  <c r="H140" i="18"/>
  <c r="I139" i="18"/>
  <c r="I140" i="18"/>
  <c r="O3" i="18"/>
  <c r="P4" i="18"/>
  <c r="O4" i="18"/>
  <c r="P3" i="18"/>
  <c r="L4" i="18"/>
  <c r="L3" i="18"/>
  <c r="M3" i="18"/>
  <c r="D138" i="17"/>
  <c r="I138" i="17" s="1"/>
  <c r="D139" i="17"/>
  <c r="E138" i="17"/>
  <c r="E139" i="17"/>
  <c r="F138" i="17"/>
  <c r="F139" i="17"/>
  <c r="G138" i="17"/>
  <c r="G139" i="17"/>
  <c r="H138" i="17"/>
  <c r="H139" i="17"/>
  <c r="I139" i="17"/>
  <c r="L3" i="17"/>
  <c r="P4" i="17"/>
  <c r="O3" i="17"/>
  <c r="M3" i="17"/>
  <c r="L4" i="17"/>
  <c r="P3" i="17"/>
  <c r="M4" i="17"/>
  <c r="O4" i="17"/>
  <c r="D146" i="16"/>
  <c r="I146" i="16" s="1"/>
  <c r="D147" i="16"/>
  <c r="I147" i="16" s="1"/>
  <c r="E146" i="16"/>
  <c r="E147" i="16"/>
  <c r="F146" i="16"/>
  <c r="F147" i="16"/>
  <c r="G146" i="16"/>
  <c r="G147" i="16"/>
  <c r="H146" i="16"/>
  <c r="H147" i="16"/>
  <c r="D75" i="15"/>
  <c r="D76" i="15"/>
  <c r="I76" i="15" s="1"/>
  <c r="E75" i="15"/>
  <c r="G75" i="15" s="1"/>
  <c r="E76" i="15"/>
  <c r="F75" i="15"/>
  <c r="F76" i="15"/>
  <c r="G76" i="15"/>
  <c r="H75" i="15"/>
  <c r="H76" i="15"/>
  <c r="I75" i="15"/>
  <c r="D139" i="14"/>
  <c r="D140" i="14"/>
  <c r="P4" i="14" s="1"/>
  <c r="E139" i="14"/>
  <c r="L4" i="14" s="1"/>
  <c r="E140" i="14"/>
  <c r="G140" i="14" s="1"/>
  <c r="F139" i="14"/>
  <c r="F140" i="14"/>
  <c r="H139" i="14"/>
  <c r="H140" i="14"/>
  <c r="I139" i="14"/>
  <c r="I140" i="14"/>
  <c r="P3" i="14"/>
  <c r="O4" i="14"/>
  <c r="M4" i="14"/>
  <c r="O3" i="14"/>
  <c r="M3" i="14"/>
  <c r="D147" i="13"/>
  <c r="D148" i="13"/>
  <c r="E147" i="13"/>
  <c r="E148" i="13"/>
  <c r="F147" i="13"/>
  <c r="F148" i="13"/>
  <c r="G147" i="13"/>
  <c r="G148" i="13"/>
  <c r="H147" i="13"/>
  <c r="H148" i="13"/>
  <c r="I147" i="13"/>
  <c r="I148" i="13"/>
  <c r="D145" i="12"/>
  <c r="I145" i="12" s="1"/>
  <c r="D146" i="12"/>
  <c r="I146" i="12" s="1"/>
  <c r="D147" i="12"/>
  <c r="E145" i="12"/>
  <c r="E146" i="12"/>
  <c r="E147" i="12"/>
  <c r="F145" i="12"/>
  <c r="F146" i="12"/>
  <c r="F147" i="12"/>
  <c r="G145" i="12"/>
  <c r="G146" i="12"/>
  <c r="G147" i="12"/>
  <c r="H145" i="12"/>
  <c r="H146" i="12"/>
  <c r="H147" i="12"/>
  <c r="I147" i="12"/>
  <c r="D139" i="11"/>
  <c r="D140" i="11"/>
  <c r="E139" i="11"/>
  <c r="L3" i="11" s="1"/>
  <c r="E140" i="11"/>
  <c r="G140" i="11" s="1"/>
  <c r="F139" i="11"/>
  <c r="F140" i="11"/>
  <c r="H139" i="11"/>
  <c r="H140" i="11"/>
  <c r="I139" i="11"/>
  <c r="I140" i="11"/>
  <c r="L4" i="11"/>
  <c r="P3" i="11"/>
  <c r="O4" i="11"/>
  <c r="O3" i="11"/>
  <c r="P4" i="11"/>
  <c r="M3" i="11"/>
  <c r="M4" i="11"/>
  <c r="D147" i="10"/>
  <c r="I147" i="10" s="1"/>
  <c r="E147" i="10"/>
  <c r="G147" i="10" s="1"/>
  <c r="F147" i="10"/>
  <c r="H147" i="10"/>
  <c r="D147" i="9"/>
  <c r="D148" i="9"/>
  <c r="I148" i="9" s="1"/>
  <c r="E147" i="9"/>
  <c r="G147" i="9" s="1"/>
  <c r="E148" i="9"/>
  <c r="F147" i="9"/>
  <c r="F148" i="9"/>
  <c r="G148" i="9"/>
  <c r="H147" i="9"/>
  <c r="H148" i="9"/>
  <c r="I147" i="9"/>
  <c r="D147" i="8"/>
  <c r="I147" i="8" s="1"/>
  <c r="E147" i="8"/>
  <c r="G147" i="8" s="1"/>
  <c r="F147" i="8"/>
  <c r="H147" i="8"/>
  <c r="D146" i="7"/>
  <c r="D147" i="7"/>
  <c r="D148" i="7"/>
  <c r="E146" i="7"/>
  <c r="G146" i="7" s="1"/>
  <c r="E147" i="7"/>
  <c r="G147" i="7" s="1"/>
  <c r="E148" i="7"/>
  <c r="G148" i="7" s="1"/>
  <c r="F146" i="7"/>
  <c r="F147" i="7"/>
  <c r="F148" i="7"/>
  <c r="H146" i="7"/>
  <c r="H147" i="7"/>
  <c r="H148" i="7"/>
  <c r="I146" i="7"/>
  <c r="I147" i="7"/>
  <c r="I148" i="7"/>
  <c r="D146" i="6"/>
  <c r="D147" i="6"/>
  <c r="I147" i="6" s="1"/>
  <c r="E146" i="6"/>
  <c r="G146" i="6" s="1"/>
  <c r="E147" i="6"/>
  <c r="F146" i="6"/>
  <c r="F147" i="6"/>
  <c r="G147" i="6"/>
  <c r="H146" i="6"/>
  <c r="H147" i="6"/>
  <c r="I146" i="6"/>
  <c r="D139" i="5"/>
  <c r="D140" i="5"/>
  <c r="E139" i="5"/>
  <c r="E140" i="5"/>
  <c r="F139" i="5"/>
  <c r="F140" i="5"/>
  <c r="G139" i="5"/>
  <c r="G140" i="5"/>
  <c r="H139" i="5"/>
  <c r="H140" i="5"/>
  <c r="I139" i="5"/>
  <c r="I140" i="5"/>
  <c r="D139" i="4"/>
  <c r="D140" i="4"/>
  <c r="E139" i="4"/>
  <c r="E140" i="4"/>
  <c r="F139" i="4"/>
  <c r="F140" i="4"/>
  <c r="G139" i="4"/>
  <c r="G140" i="4"/>
  <c r="H139" i="4"/>
  <c r="H140" i="4"/>
  <c r="I139" i="4"/>
  <c r="I140" i="4"/>
  <c r="D139" i="3"/>
  <c r="D140" i="3"/>
  <c r="I140" i="3" s="1"/>
  <c r="E139" i="3"/>
  <c r="E140" i="3"/>
  <c r="F139" i="3"/>
  <c r="F140" i="3"/>
  <c r="G139" i="3"/>
  <c r="G140" i="3"/>
  <c r="H139" i="3"/>
  <c r="H140" i="3"/>
  <c r="I139" i="3"/>
  <c r="D147" i="1"/>
  <c r="I147" i="1" s="1"/>
  <c r="D148" i="1"/>
  <c r="E147" i="1"/>
  <c r="G147" i="1" s="1"/>
  <c r="E148" i="1"/>
  <c r="G148" i="1" s="1"/>
  <c r="F147" i="1"/>
  <c r="F148" i="1"/>
  <c r="H147" i="1"/>
  <c r="H148" i="1"/>
  <c r="I148" i="1"/>
  <c r="D143" i="23"/>
  <c r="D144" i="23"/>
  <c r="D145" i="23"/>
  <c r="I145" i="23" s="1"/>
  <c r="D146" i="23"/>
  <c r="E143" i="23"/>
  <c r="E144" i="23"/>
  <c r="E145" i="23"/>
  <c r="E146" i="23"/>
  <c r="F143" i="23"/>
  <c r="F144" i="23"/>
  <c r="F145" i="23"/>
  <c r="F146" i="23"/>
  <c r="H143" i="23"/>
  <c r="H144" i="23"/>
  <c r="H145" i="23"/>
  <c r="H146" i="23"/>
  <c r="I143" i="23"/>
  <c r="I144" i="23"/>
  <c r="I146" i="23"/>
  <c r="D135" i="22"/>
  <c r="D136" i="22"/>
  <c r="D137" i="22"/>
  <c r="I137" i="22" s="1"/>
  <c r="D138" i="22"/>
  <c r="I138" i="22" s="1"/>
  <c r="E135" i="22"/>
  <c r="E136" i="22"/>
  <c r="E137" i="22"/>
  <c r="E138" i="22"/>
  <c r="F135" i="22"/>
  <c r="F136" i="22"/>
  <c r="F137" i="22"/>
  <c r="G137" i="22" s="1"/>
  <c r="F138" i="22"/>
  <c r="G138" i="22" s="1"/>
  <c r="G135" i="22"/>
  <c r="G136" i="22"/>
  <c r="H135" i="22"/>
  <c r="H136" i="22"/>
  <c r="H137" i="22"/>
  <c r="H138" i="22"/>
  <c r="I135" i="22"/>
  <c r="I136" i="22"/>
  <c r="D142" i="21"/>
  <c r="I142" i="21" s="1"/>
  <c r="D143" i="21"/>
  <c r="I143" i="21" s="1"/>
  <c r="D144" i="21"/>
  <c r="D145" i="21"/>
  <c r="I145" i="21" s="1"/>
  <c r="D146" i="21"/>
  <c r="I146" i="21" s="1"/>
  <c r="E142" i="21"/>
  <c r="E143" i="21"/>
  <c r="E144" i="21"/>
  <c r="E145" i="21"/>
  <c r="E146" i="21"/>
  <c r="F142" i="21"/>
  <c r="F143" i="21"/>
  <c r="F144" i="21"/>
  <c r="F145" i="21"/>
  <c r="F146" i="21"/>
  <c r="G142" i="21"/>
  <c r="H142" i="21"/>
  <c r="H143" i="21"/>
  <c r="H144" i="21"/>
  <c r="H145" i="21"/>
  <c r="H146" i="21"/>
  <c r="I144" i="21"/>
  <c r="D134" i="20"/>
  <c r="D135" i="20"/>
  <c r="D136" i="20"/>
  <c r="D137" i="20"/>
  <c r="E134" i="20"/>
  <c r="E135" i="20"/>
  <c r="E136" i="20"/>
  <c r="E137" i="20"/>
  <c r="F134" i="20"/>
  <c r="F135" i="20"/>
  <c r="F136" i="20"/>
  <c r="G136" i="20" s="1"/>
  <c r="F137" i="20"/>
  <c r="G134" i="20"/>
  <c r="G135" i="20"/>
  <c r="G137" i="20"/>
  <c r="H134" i="20"/>
  <c r="H135" i="20"/>
  <c r="H136" i="20"/>
  <c r="H137" i="20"/>
  <c r="I134" i="20"/>
  <c r="I135" i="20"/>
  <c r="I136" i="20"/>
  <c r="I137" i="20"/>
  <c r="D142" i="19"/>
  <c r="I142" i="19" s="1"/>
  <c r="D143" i="19"/>
  <c r="I143" i="19" s="1"/>
  <c r="D144" i="19"/>
  <c r="I144" i="19" s="1"/>
  <c r="D145" i="19"/>
  <c r="I145" i="19" s="1"/>
  <c r="E142" i="19"/>
  <c r="E143" i="19"/>
  <c r="E144" i="19"/>
  <c r="E145" i="19"/>
  <c r="F142" i="19"/>
  <c r="F143" i="19"/>
  <c r="G143" i="19" s="1"/>
  <c r="F144" i="19"/>
  <c r="F145" i="19"/>
  <c r="H142" i="19"/>
  <c r="H143" i="19"/>
  <c r="H144" i="19"/>
  <c r="H145" i="19"/>
  <c r="D135" i="18"/>
  <c r="D136" i="18"/>
  <c r="D137" i="18"/>
  <c r="D138" i="18"/>
  <c r="E135" i="18"/>
  <c r="E136" i="18"/>
  <c r="E137" i="18"/>
  <c r="E138" i="18"/>
  <c r="F135" i="18"/>
  <c r="F136" i="18"/>
  <c r="G136" i="18" s="1"/>
  <c r="F137" i="18"/>
  <c r="F138" i="18"/>
  <c r="H135" i="18"/>
  <c r="H136" i="18"/>
  <c r="H137" i="18"/>
  <c r="H138" i="18"/>
  <c r="I135" i="18"/>
  <c r="I136" i="18"/>
  <c r="I137" i="18"/>
  <c r="I138" i="18"/>
  <c r="D141" i="16"/>
  <c r="I141" i="16" s="1"/>
  <c r="D142" i="16"/>
  <c r="I142" i="16" s="1"/>
  <c r="D143" i="16"/>
  <c r="I143" i="16" s="1"/>
  <c r="D144" i="16"/>
  <c r="I144" i="16" s="1"/>
  <c r="D145" i="16"/>
  <c r="I145" i="16" s="1"/>
  <c r="E141" i="16"/>
  <c r="E142" i="16"/>
  <c r="E143" i="16"/>
  <c r="E144" i="16"/>
  <c r="G144" i="16" s="1"/>
  <c r="E145" i="16"/>
  <c r="F141" i="16"/>
  <c r="G141" i="16" s="1"/>
  <c r="F142" i="16"/>
  <c r="F143" i="16"/>
  <c r="F144" i="16"/>
  <c r="F145" i="16"/>
  <c r="H141" i="16"/>
  <c r="H142" i="16"/>
  <c r="H143" i="16"/>
  <c r="H144" i="16"/>
  <c r="H145" i="16"/>
  <c r="D134" i="17"/>
  <c r="D135" i="17"/>
  <c r="D136" i="17"/>
  <c r="D137" i="17"/>
  <c r="I137" i="17" s="1"/>
  <c r="E134" i="17"/>
  <c r="E135" i="17"/>
  <c r="E136" i="17"/>
  <c r="E137" i="17"/>
  <c r="F134" i="17"/>
  <c r="G134" i="17" s="1"/>
  <c r="F135" i="17"/>
  <c r="F136" i="17"/>
  <c r="F137" i="17"/>
  <c r="G137" i="17" s="1"/>
  <c r="G135" i="17"/>
  <c r="G136" i="17"/>
  <c r="H134" i="17"/>
  <c r="H135" i="17"/>
  <c r="H136" i="17"/>
  <c r="H137" i="17"/>
  <c r="I134" i="17"/>
  <c r="I135" i="17"/>
  <c r="I136" i="17"/>
  <c r="D73" i="15"/>
  <c r="I73" i="15" s="1"/>
  <c r="D74" i="15"/>
  <c r="E73" i="15"/>
  <c r="G73" i="15" s="1"/>
  <c r="E74" i="15"/>
  <c r="F73" i="15"/>
  <c r="F74" i="15"/>
  <c r="H73" i="15"/>
  <c r="H74" i="15"/>
  <c r="I74" i="15"/>
  <c r="D135" i="14"/>
  <c r="D136" i="14"/>
  <c r="D137" i="14"/>
  <c r="D138" i="14"/>
  <c r="E135" i="14"/>
  <c r="E136" i="14"/>
  <c r="E137" i="14"/>
  <c r="E138" i="14"/>
  <c r="F135" i="14"/>
  <c r="G135" i="14" s="1"/>
  <c r="F136" i="14"/>
  <c r="G136" i="14" s="1"/>
  <c r="F137" i="14"/>
  <c r="G137" i="14" s="1"/>
  <c r="F138" i="14"/>
  <c r="G138" i="14" s="1"/>
  <c r="H135" i="14"/>
  <c r="H136" i="14"/>
  <c r="H137" i="14"/>
  <c r="H138" i="14"/>
  <c r="I135" i="14"/>
  <c r="I136" i="14"/>
  <c r="I137" i="14"/>
  <c r="I138" i="14"/>
  <c r="D143" i="13"/>
  <c r="D144" i="13"/>
  <c r="D145" i="13"/>
  <c r="I145" i="13" s="1"/>
  <c r="D146" i="13"/>
  <c r="I146" i="13" s="1"/>
  <c r="E143" i="13"/>
  <c r="E144" i="13"/>
  <c r="E145" i="13"/>
  <c r="E146" i="13"/>
  <c r="F143" i="13"/>
  <c r="F144" i="13"/>
  <c r="F145" i="13"/>
  <c r="G145" i="13" s="1"/>
  <c r="F146" i="13"/>
  <c r="G146" i="13" s="1"/>
  <c r="H143" i="13"/>
  <c r="H144" i="13"/>
  <c r="H145" i="13"/>
  <c r="H146" i="13"/>
  <c r="I143" i="13"/>
  <c r="I144" i="13"/>
  <c r="D140" i="12"/>
  <c r="I140" i="12" s="1"/>
  <c r="D141" i="12"/>
  <c r="I141" i="12" s="1"/>
  <c r="D142" i="12"/>
  <c r="I142" i="12" s="1"/>
  <c r="D143" i="12"/>
  <c r="I143" i="12" s="1"/>
  <c r="D144" i="12"/>
  <c r="I144" i="12" s="1"/>
  <c r="E140" i="12"/>
  <c r="E141" i="12"/>
  <c r="E142" i="12"/>
  <c r="E143" i="12"/>
  <c r="G143" i="12" s="1"/>
  <c r="E144" i="12"/>
  <c r="G144" i="12" s="1"/>
  <c r="F140" i="12"/>
  <c r="G140" i="12" s="1"/>
  <c r="F141" i="12"/>
  <c r="G141" i="12" s="1"/>
  <c r="F142" i="12"/>
  <c r="F143" i="12"/>
  <c r="F144" i="12"/>
  <c r="H140" i="12"/>
  <c r="H141" i="12"/>
  <c r="H142" i="12"/>
  <c r="H143" i="12"/>
  <c r="H144" i="12"/>
  <c r="D135" i="11"/>
  <c r="D136" i="11"/>
  <c r="D137" i="11"/>
  <c r="I137" i="11" s="1"/>
  <c r="D138" i="11"/>
  <c r="I138" i="11" s="1"/>
  <c r="E135" i="11"/>
  <c r="E136" i="11"/>
  <c r="E137" i="11"/>
  <c r="E138" i="11"/>
  <c r="F135" i="11"/>
  <c r="G135" i="11" s="1"/>
  <c r="F136" i="11"/>
  <c r="G136" i="11" s="1"/>
  <c r="F137" i="11"/>
  <c r="G137" i="11" s="1"/>
  <c r="F138" i="11"/>
  <c r="G138" i="11" s="1"/>
  <c r="H135" i="11"/>
  <c r="H136" i="11"/>
  <c r="H137" i="11"/>
  <c r="H138" i="11"/>
  <c r="I135" i="11"/>
  <c r="I136" i="11"/>
  <c r="D143" i="10"/>
  <c r="D144" i="10"/>
  <c r="I144" i="10" s="1"/>
  <c r="D145" i="10"/>
  <c r="I145" i="10" s="1"/>
  <c r="D146" i="10"/>
  <c r="I146" i="10" s="1"/>
  <c r="E143" i="10"/>
  <c r="E144" i="10"/>
  <c r="E145" i="10"/>
  <c r="E146" i="10"/>
  <c r="F143" i="10"/>
  <c r="G143" i="10" s="1"/>
  <c r="F144" i="10"/>
  <c r="G144" i="10" s="1"/>
  <c r="F145" i="10"/>
  <c r="G145" i="10" s="1"/>
  <c r="F146" i="10"/>
  <c r="H143" i="10"/>
  <c r="H144" i="10"/>
  <c r="H145" i="10"/>
  <c r="H146" i="10"/>
  <c r="I143" i="10"/>
  <c r="D143" i="9"/>
  <c r="D144" i="9"/>
  <c r="I144" i="9" s="1"/>
  <c r="D145" i="9"/>
  <c r="I145" i="9" s="1"/>
  <c r="D146" i="9"/>
  <c r="I146" i="9" s="1"/>
  <c r="E143" i="9"/>
  <c r="E144" i="9"/>
  <c r="E145" i="9"/>
  <c r="E146" i="9"/>
  <c r="F143" i="9"/>
  <c r="G143" i="9" s="1"/>
  <c r="F144" i="9"/>
  <c r="G144" i="9" s="1"/>
  <c r="F145" i="9"/>
  <c r="F146" i="9"/>
  <c r="G146" i="9" s="1"/>
  <c r="H143" i="9"/>
  <c r="H144" i="9"/>
  <c r="H145" i="9"/>
  <c r="H146" i="9"/>
  <c r="I143" i="9"/>
  <c r="D142" i="8"/>
  <c r="I142" i="8" s="1"/>
  <c r="D143" i="8"/>
  <c r="D144" i="8"/>
  <c r="I144" i="8" s="1"/>
  <c r="D145" i="8"/>
  <c r="D146" i="8"/>
  <c r="E142" i="8"/>
  <c r="E143" i="8"/>
  <c r="E144" i="8"/>
  <c r="G144" i="8" s="1"/>
  <c r="E145" i="8"/>
  <c r="E146" i="8"/>
  <c r="F142" i="8"/>
  <c r="F143" i="8"/>
  <c r="F144" i="8"/>
  <c r="F145" i="8"/>
  <c r="F146" i="8"/>
  <c r="G142" i="8"/>
  <c r="H142" i="8"/>
  <c r="H143" i="8"/>
  <c r="H144" i="8"/>
  <c r="H145" i="8"/>
  <c r="H146" i="8"/>
  <c r="I143" i="8"/>
  <c r="I145" i="8"/>
  <c r="I146" i="8"/>
  <c r="D142" i="7"/>
  <c r="D143" i="7"/>
  <c r="D144" i="7"/>
  <c r="D145" i="7"/>
  <c r="E142" i="7"/>
  <c r="E143" i="7"/>
  <c r="E144" i="7"/>
  <c r="E145" i="7"/>
  <c r="F142" i="7"/>
  <c r="G142" i="7" s="1"/>
  <c r="F143" i="7"/>
  <c r="F144" i="7"/>
  <c r="F145" i="7"/>
  <c r="H142" i="7"/>
  <c r="H143" i="7"/>
  <c r="H144" i="7"/>
  <c r="H145" i="7"/>
  <c r="I142" i="7"/>
  <c r="I143" i="7"/>
  <c r="I144" i="7"/>
  <c r="I145" i="7"/>
  <c r="D142" i="6"/>
  <c r="D143" i="6"/>
  <c r="I143" i="6" s="1"/>
  <c r="D144" i="6"/>
  <c r="I144" i="6" s="1"/>
  <c r="D145" i="6"/>
  <c r="E142" i="6"/>
  <c r="E143" i="6"/>
  <c r="E144" i="6"/>
  <c r="E145" i="6"/>
  <c r="F142" i="6"/>
  <c r="F143" i="6"/>
  <c r="G143" i="6" s="1"/>
  <c r="F144" i="6"/>
  <c r="F145" i="6"/>
  <c r="H142" i="6"/>
  <c r="H143" i="6"/>
  <c r="H144" i="6"/>
  <c r="H145" i="6"/>
  <c r="I142" i="6"/>
  <c r="I145" i="6"/>
  <c r="D135" i="5"/>
  <c r="D136" i="5"/>
  <c r="I136" i="5" s="1"/>
  <c r="D137" i="5"/>
  <c r="I137" i="5" s="1"/>
  <c r="D138" i="5"/>
  <c r="I138" i="5" s="1"/>
  <c r="E135" i="5"/>
  <c r="E136" i="5"/>
  <c r="E137" i="5"/>
  <c r="E138" i="5"/>
  <c r="F135" i="5"/>
  <c r="F136" i="5"/>
  <c r="F137" i="5"/>
  <c r="F138" i="5"/>
  <c r="G138" i="5" s="1"/>
  <c r="H135" i="5"/>
  <c r="H136" i="5"/>
  <c r="H137" i="5"/>
  <c r="H138" i="5"/>
  <c r="I135" i="5"/>
  <c r="D135" i="4"/>
  <c r="D136" i="4"/>
  <c r="D137" i="4"/>
  <c r="I137" i="4" s="1"/>
  <c r="D138" i="4"/>
  <c r="E135" i="4"/>
  <c r="E136" i="4"/>
  <c r="E137" i="4"/>
  <c r="G137" i="4" s="1"/>
  <c r="E138" i="4"/>
  <c r="F135" i="4"/>
  <c r="F136" i="4"/>
  <c r="F137" i="4"/>
  <c r="F138" i="4"/>
  <c r="H135" i="4"/>
  <c r="H136" i="4"/>
  <c r="H137" i="4"/>
  <c r="H138" i="4"/>
  <c r="I135" i="4"/>
  <c r="I136" i="4"/>
  <c r="I138" i="4"/>
  <c r="D137" i="3"/>
  <c r="I137" i="3" s="1"/>
  <c r="D138" i="3"/>
  <c r="I138" i="3" s="1"/>
  <c r="E137" i="3"/>
  <c r="E138" i="3"/>
  <c r="G138" i="3" s="1"/>
  <c r="F137" i="3"/>
  <c r="F138" i="3"/>
  <c r="H137" i="3"/>
  <c r="H138" i="3"/>
  <c r="D143" i="1"/>
  <c r="D144" i="1"/>
  <c r="D145" i="1"/>
  <c r="D146" i="1"/>
  <c r="E143" i="1"/>
  <c r="E144" i="1"/>
  <c r="E145" i="1"/>
  <c r="E146" i="1"/>
  <c r="F143" i="1"/>
  <c r="F144" i="1"/>
  <c r="F145" i="1"/>
  <c r="F146" i="1"/>
  <c r="H143" i="1"/>
  <c r="H144" i="1"/>
  <c r="H145" i="1"/>
  <c r="H146" i="1"/>
  <c r="I143" i="1"/>
  <c r="I144" i="1"/>
  <c r="I145" i="1"/>
  <c r="I146" i="1"/>
  <c r="D142" i="23"/>
  <c r="I142" i="23" s="1"/>
  <c r="E142" i="23"/>
  <c r="F142" i="23"/>
  <c r="H142" i="23"/>
  <c r="D134" i="22"/>
  <c r="I134" i="22" s="1"/>
  <c r="E134" i="22"/>
  <c r="G134" i="22" s="1"/>
  <c r="F134" i="22"/>
  <c r="H134" i="22"/>
  <c r="D141" i="21"/>
  <c r="I141" i="21" s="1"/>
  <c r="E141" i="21"/>
  <c r="F141" i="21"/>
  <c r="H141" i="21"/>
  <c r="D133" i="20"/>
  <c r="I133" i="20" s="1"/>
  <c r="E133" i="20"/>
  <c r="G133" i="20" s="1"/>
  <c r="F133" i="20"/>
  <c r="H133" i="20"/>
  <c r="D141" i="19"/>
  <c r="I141" i="19" s="1"/>
  <c r="E141" i="19"/>
  <c r="G141" i="19" s="1"/>
  <c r="F141" i="19"/>
  <c r="H141" i="19"/>
  <c r="D134" i="18"/>
  <c r="I134" i="18" s="1"/>
  <c r="E134" i="18"/>
  <c r="F134" i="18"/>
  <c r="H134" i="18"/>
  <c r="D132" i="17"/>
  <c r="D133" i="17"/>
  <c r="E132" i="17"/>
  <c r="G132" i="17" s="1"/>
  <c r="E133" i="17"/>
  <c r="G133" i="17" s="1"/>
  <c r="F132" i="17"/>
  <c r="F133" i="17"/>
  <c r="H132" i="17"/>
  <c r="H133" i="17"/>
  <c r="I132" i="17"/>
  <c r="I133" i="17"/>
  <c r="D72" i="15"/>
  <c r="I72" i="15" s="1"/>
  <c r="E72" i="15"/>
  <c r="F72" i="15"/>
  <c r="H72" i="15"/>
  <c r="D134" i="14"/>
  <c r="I134" i="14" s="1"/>
  <c r="E134" i="14"/>
  <c r="G134" i="14" s="1"/>
  <c r="F134" i="14"/>
  <c r="H134" i="14"/>
  <c r="D142" i="13"/>
  <c r="I142" i="13" s="1"/>
  <c r="E142" i="13"/>
  <c r="F142" i="13"/>
  <c r="H142" i="13"/>
  <c r="D139" i="12"/>
  <c r="I139" i="12" s="1"/>
  <c r="E139" i="12"/>
  <c r="F139" i="12"/>
  <c r="H139" i="12"/>
  <c r="D133" i="11"/>
  <c r="D134" i="11"/>
  <c r="I134" i="11" s="1"/>
  <c r="E133" i="11"/>
  <c r="G133" i="11" s="1"/>
  <c r="E134" i="11"/>
  <c r="F133" i="11"/>
  <c r="F134" i="11"/>
  <c r="H133" i="11"/>
  <c r="H134" i="11"/>
  <c r="I133" i="11"/>
  <c r="D142" i="10"/>
  <c r="I142" i="10" s="1"/>
  <c r="E142" i="10"/>
  <c r="F142" i="10"/>
  <c r="H142" i="10"/>
  <c r="D142" i="9"/>
  <c r="I142" i="9" s="1"/>
  <c r="E142" i="9"/>
  <c r="F142" i="9"/>
  <c r="H142" i="9"/>
  <c r="D141" i="7"/>
  <c r="I141" i="7" s="1"/>
  <c r="E141" i="7"/>
  <c r="F141" i="7"/>
  <c r="H141" i="7"/>
  <c r="D141" i="6"/>
  <c r="I141" i="6" s="1"/>
  <c r="E141" i="6"/>
  <c r="F141" i="6"/>
  <c r="H141" i="6"/>
  <c r="D134" i="5"/>
  <c r="I134" i="5" s="1"/>
  <c r="E134" i="5"/>
  <c r="F134" i="5"/>
  <c r="H134" i="5"/>
  <c r="D134" i="4"/>
  <c r="I134" i="4" s="1"/>
  <c r="E134" i="4"/>
  <c r="F134" i="4"/>
  <c r="H134" i="4"/>
  <c r="D136" i="3"/>
  <c r="I136" i="3" s="1"/>
  <c r="E136" i="3"/>
  <c r="F136" i="3"/>
  <c r="H136" i="3"/>
  <c r="D142" i="1"/>
  <c r="I142" i="1" s="1"/>
  <c r="E142" i="1"/>
  <c r="F142" i="1"/>
  <c r="H142" i="1"/>
  <c r="D141" i="23"/>
  <c r="I141" i="23" s="1"/>
  <c r="E141" i="23"/>
  <c r="F141" i="23"/>
  <c r="H141" i="23"/>
  <c r="D133" i="22"/>
  <c r="I133" i="22" s="1"/>
  <c r="E133" i="22"/>
  <c r="F133" i="22"/>
  <c r="H133" i="22"/>
  <c r="D140" i="21"/>
  <c r="I140" i="21" s="1"/>
  <c r="E140" i="21"/>
  <c r="F140" i="21"/>
  <c r="H140" i="21"/>
  <c r="D132" i="20"/>
  <c r="I132" i="20" s="1"/>
  <c r="E132" i="20"/>
  <c r="F132" i="20"/>
  <c r="H132" i="20"/>
  <c r="D139" i="19"/>
  <c r="I139" i="19" s="1"/>
  <c r="D140" i="19"/>
  <c r="I140" i="19" s="1"/>
  <c r="E139" i="19"/>
  <c r="E140" i="19"/>
  <c r="F139" i="19"/>
  <c r="F140" i="19"/>
  <c r="H139" i="19"/>
  <c r="H140" i="19"/>
  <c r="D133" i="18"/>
  <c r="I133" i="18" s="1"/>
  <c r="E133" i="18"/>
  <c r="F133" i="18"/>
  <c r="H133" i="18"/>
  <c r="D140" i="16"/>
  <c r="I140" i="16" s="1"/>
  <c r="E140" i="16"/>
  <c r="F140" i="16"/>
  <c r="H140" i="16"/>
  <c r="D71" i="15"/>
  <c r="I71" i="15" s="1"/>
  <c r="E71" i="15"/>
  <c r="F71" i="15"/>
  <c r="H71" i="15"/>
  <c r="D133" i="14"/>
  <c r="I133" i="14" s="1"/>
  <c r="E133" i="14"/>
  <c r="G133" i="14" s="1"/>
  <c r="F133" i="14"/>
  <c r="H133" i="14"/>
  <c r="D141" i="13"/>
  <c r="I141" i="13" s="1"/>
  <c r="E141" i="13"/>
  <c r="F141" i="13"/>
  <c r="H141" i="13"/>
  <c r="D138" i="12"/>
  <c r="I138" i="12" s="1"/>
  <c r="E138" i="12"/>
  <c r="F138" i="12"/>
  <c r="H138" i="12"/>
  <c r="D140" i="10"/>
  <c r="I140" i="10" s="1"/>
  <c r="D141" i="10"/>
  <c r="I141" i="10" s="1"/>
  <c r="E140" i="10"/>
  <c r="E141" i="10"/>
  <c r="F140" i="10"/>
  <c r="F141" i="10"/>
  <c r="H140" i="10"/>
  <c r="H141" i="10"/>
  <c r="D141" i="9"/>
  <c r="I141" i="9" s="1"/>
  <c r="E141" i="9"/>
  <c r="F141" i="9"/>
  <c r="H141" i="9"/>
  <c r="D141" i="8"/>
  <c r="I141" i="8" s="1"/>
  <c r="E141" i="8"/>
  <c r="F141" i="8"/>
  <c r="H141" i="8"/>
  <c r="D140" i="7"/>
  <c r="I140" i="7" s="1"/>
  <c r="E140" i="7"/>
  <c r="F140" i="7"/>
  <c r="H140" i="7"/>
  <c r="D140" i="6"/>
  <c r="I140" i="6" s="1"/>
  <c r="E140" i="6"/>
  <c r="F140" i="6"/>
  <c r="H140" i="6"/>
  <c r="D133" i="5"/>
  <c r="I133" i="5" s="1"/>
  <c r="E133" i="5"/>
  <c r="F133" i="5"/>
  <c r="H133" i="5"/>
  <c r="D133" i="4"/>
  <c r="I133" i="4" s="1"/>
  <c r="E133" i="4"/>
  <c r="F133" i="4"/>
  <c r="H133" i="4"/>
  <c r="D135" i="3"/>
  <c r="I135" i="3" s="1"/>
  <c r="E135" i="3"/>
  <c r="F135" i="3"/>
  <c r="H135" i="3"/>
  <c r="D141" i="1"/>
  <c r="I141" i="1" s="1"/>
  <c r="E141" i="1"/>
  <c r="F141" i="1"/>
  <c r="H141" i="1"/>
  <c r="D140" i="23"/>
  <c r="I140" i="23" s="1"/>
  <c r="E140" i="23"/>
  <c r="F140" i="23"/>
  <c r="H140" i="23"/>
  <c r="D132" i="22"/>
  <c r="I132" i="22" s="1"/>
  <c r="E132" i="22"/>
  <c r="F132" i="22"/>
  <c r="H132" i="22"/>
  <c r="D131" i="20"/>
  <c r="I131" i="20" s="1"/>
  <c r="E131" i="20"/>
  <c r="F131" i="20"/>
  <c r="H131" i="20"/>
  <c r="D138" i="19"/>
  <c r="I138" i="19" s="1"/>
  <c r="E138" i="19"/>
  <c r="G138" i="19" s="1"/>
  <c r="F138" i="19"/>
  <c r="H138" i="19"/>
  <c r="D132" i="18"/>
  <c r="I132" i="18" s="1"/>
  <c r="E132" i="18"/>
  <c r="F132" i="18"/>
  <c r="H132" i="18"/>
  <c r="D131" i="17"/>
  <c r="I131" i="17" s="1"/>
  <c r="E131" i="17"/>
  <c r="F131" i="17"/>
  <c r="H131" i="17"/>
  <c r="D139" i="16"/>
  <c r="I139" i="16" s="1"/>
  <c r="E139" i="16"/>
  <c r="F139" i="16"/>
  <c r="H139" i="16"/>
  <c r="D70" i="15"/>
  <c r="I70" i="15" s="1"/>
  <c r="E70" i="15"/>
  <c r="F70" i="15"/>
  <c r="H70" i="15"/>
  <c r="D132" i="14"/>
  <c r="I132" i="14" s="1"/>
  <c r="E132" i="14"/>
  <c r="F132" i="14"/>
  <c r="H132" i="14"/>
  <c r="D140" i="13"/>
  <c r="I140" i="13" s="1"/>
  <c r="E140" i="13"/>
  <c r="F140" i="13"/>
  <c r="H140" i="13"/>
  <c r="D132" i="11"/>
  <c r="I132" i="11" s="1"/>
  <c r="E132" i="11"/>
  <c r="F132" i="11"/>
  <c r="H132" i="11"/>
  <c r="D139" i="10"/>
  <c r="I139" i="10" s="1"/>
  <c r="E139" i="10"/>
  <c r="F139" i="10"/>
  <c r="H139" i="10"/>
  <c r="D140" i="9"/>
  <c r="I140" i="9" s="1"/>
  <c r="E140" i="9"/>
  <c r="F140" i="9"/>
  <c r="H140" i="9"/>
  <c r="D140" i="8"/>
  <c r="I140" i="8" s="1"/>
  <c r="E140" i="8"/>
  <c r="F140" i="8"/>
  <c r="H140" i="8"/>
  <c r="D139" i="7"/>
  <c r="I139" i="7" s="1"/>
  <c r="E139" i="7"/>
  <c r="F139" i="7"/>
  <c r="H139" i="7"/>
  <c r="D139" i="6"/>
  <c r="I139" i="6" s="1"/>
  <c r="E139" i="6"/>
  <c r="F139" i="6"/>
  <c r="H139" i="6"/>
  <c r="D132" i="5"/>
  <c r="I132" i="5" s="1"/>
  <c r="E132" i="5"/>
  <c r="F132" i="5"/>
  <c r="H132" i="5"/>
  <c r="D132" i="4"/>
  <c r="I132" i="4" s="1"/>
  <c r="E132" i="4"/>
  <c r="F132" i="4"/>
  <c r="H132" i="4"/>
  <c r="D134" i="3"/>
  <c r="I134" i="3" s="1"/>
  <c r="E134" i="3"/>
  <c r="F134" i="3"/>
  <c r="H134" i="3"/>
  <c r="D140" i="1"/>
  <c r="I140" i="1" s="1"/>
  <c r="E140" i="1"/>
  <c r="F140" i="1"/>
  <c r="H140" i="1"/>
  <c r="D139" i="23"/>
  <c r="I139" i="23" s="1"/>
  <c r="E139" i="23"/>
  <c r="F139" i="23"/>
  <c r="H139" i="23"/>
  <c r="D131" i="22"/>
  <c r="I131" i="22" s="1"/>
  <c r="E131" i="22"/>
  <c r="F131" i="22"/>
  <c r="H131" i="22"/>
  <c r="D139" i="21"/>
  <c r="I139" i="21" s="1"/>
  <c r="E139" i="21"/>
  <c r="F139" i="21"/>
  <c r="H139" i="21"/>
  <c r="D130" i="20"/>
  <c r="I130" i="20" s="1"/>
  <c r="E130" i="20"/>
  <c r="F130" i="20"/>
  <c r="H130" i="20"/>
  <c r="D137" i="19"/>
  <c r="I137" i="19" s="1"/>
  <c r="E137" i="19"/>
  <c r="F137" i="19"/>
  <c r="H137" i="19"/>
  <c r="D138" i="16"/>
  <c r="I138" i="16" s="1"/>
  <c r="E138" i="16"/>
  <c r="F138" i="16"/>
  <c r="H138" i="16"/>
  <c r="D130" i="17"/>
  <c r="I130" i="17" s="1"/>
  <c r="E130" i="17"/>
  <c r="F130" i="17"/>
  <c r="H130" i="17"/>
  <c r="D131" i="14"/>
  <c r="I131" i="14" s="1"/>
  <c r="E131" i="14"/>
  <c r="F131" i="14"/>
  <c r="H131" i="14"/>
  <c r="D139" i="13"/>
  <c r="I139" i="13" s="1"/>
  <c r="E139" i="13"/>
  <c r="F139" i="13"/>
  <c r="H139" i="13"/>
  <c r="D137" i="12"/>
  <c r="I137" i="12" s="1"/>
  <c r="E137" i="12"/>
  <c r="F137" i="12"/>
  <c r="H137" i="12"/>
  <c r="D131" i="11"/>
  <c r="I131" i="11" s="1"/>
  <c r="E131" i="11"/>
  <c r="F131" i="11"/>
  <c r="H131" i="11"/>
  <c r="D138" i="10"/>
  <c r="I138" i="10" s="1"/>
  <c r="E138" i="10"/>
  <c r="F138" i="10"/>
  <c r="H138" i="10"/>
  <c r="D138" i="9"/>
  <c r="I138" i="9" s="1"/>
  <c r="D139" i="9"/>
  <c r="I139" i="9" s="1"/>
  <c r="E138" i="9"/>
  <c r="E139" i="9"/>
  <c r="F138" i="9"/>
  <c r="F139" i="9"/>
  <c r="H138" i="9"/>
  <c r="H139" i="9"/>
  <c r="D139" i="8"/>
  <c r="I139" i="8" s="1"/>
  <c r="E139" i="8"/>
  <c r="F139" i="8"/>
  <c r="H139" i="8"/>
  <c r="D138" i="7"/>
  <c r="I138" i="7" s="1"/>
  <c r="E138" i="7"/>
  <c r="F138" i="7"/>
  <c r="H138" i="7"/>
  <c r="D138" i="6"/>
  <c r="I138" i="6" s="1"/>
  <c r="E138" i="6"/>
  <c r="F138" i="6"/>
  <c r="H138" i="6"/>
  <c r="D131" i="5"/>
  <c r="I131" i="5" s="1"/>
  <c r="E131" i="5"/>
  <c r="F131" i="5"/>
  <c r="H131" i="5"/>
  <c r="D131" i="4"/>
  <c r="I131" i="4" s="1"/>
  <c r="E131" i="4"/>
  <c r="F131" i="4"/>
  <c r="H131" i="4"/>
  <c r="D133" i="3"/>
  <c r="I133" i="3" s="1"/>
  <c r="E133" i="3"/>
  <c r="F133" i="3"/>
  <c r="H133" i="3"/>
  <c r="D138" i="1"/>
  <c r="I138" i="1" s="1"/>
  <c r="D139" i="1"/>
  <c r="I139" i="1" s="1"/>
  <c r="E138" i="1"/>
  <c r="E139" i="1"/>
  <c r="F138" i="1"/>
  <c r="F139" i="1"/>
  <c r="H138" i="1"/>
  <c r="H139" i="1"/>
  <c r="D138" i="23"/>
  <c r="I138" i="23" s="1"/>
  <c r="E138" i="23"/>
  <c r="F138" i="23"/>
  <c r="H138" i="23"/>
  <c r="D130" i="22"/>
  <c r="I130" i="22" s="1"/>
  <c r="E130" i="22"/>
  <c r="F130" i="22"/>
  <c r="H130" i="22"/>
  <c r="D138" i="21"/>
  <c r="I138" i="21" s="1"/>
  <c r="E138" i="21"/>
  <c r="F138" i="21"/>
  <c r="H138" i="21"/>
  <c r="D129" i="20"/>
  <c r="I129" i="20" s="1"/>
  <c r="E129" i="20"/>
  <c r="F129" i="20"/>
  <c r="H129" i="20"/>
  <c r="D136" i="19"/>
  <c r="I136" i="19" s="1"/>
  <c r="E136" i="19"/>
  <c r="F136" i="19"/>
  <c r="H136" i="19"/>
  <c r="D131" i="18"/>
  <c r="I131" i="18" s="1"/>
  <c r="E131" i="18"/>
  <c r="F131" i="18"/>
  <c r="H131" i="18"/>
  <c r="D129" i="17"/>
  <c r="I129" i="17" s="1"/>
  <c r="E129" i="17"/>
  <c r="F129" i="17"/>
  <c r="H129" i="17"/>
  <c r="D137" i="16"/>
  <c r="I137" i="16" s="1"/>
  <c r="E137" i="16"/>
  <c r="F137" i="16"/>
  <c r="H137" i="16"/>
  <c r="D130" i="14"/>
  <c r="I130" i="14" s="1"/>
  <c r="E130" i="14"/>
  <c r="F130" i="14"/>
  <c r="H130" i="14"/>
  <c r="D138" i="13"/>
  <c r="I138" i="13" s="1"/>
  <c r="E138" i="13"/>
  <c r="F138" i="13"/>
  <c r="H138" i="13"/>
  <c r="D136" i="12"/>
  <c r="I136" i="12" s="1"/>
  <c r="E136" i="12"/>
  <c r="F136" i="12"/>
  <c r="H136" i="12"/>
  <c r="D130" i="11"/>
  <c r="I130" i="11" s="1"/>
  <c r="E130" i="11"/>
  <c r="F130" i="11"/>
  <c r="H130" i="11"/>
  <c r="D137" i="10"/>
  <c r="I137" i="10" s="1"/>
  <c r="E137" i="10"/>
  <c r="F137" i="10"/>
  <c r="H137" i="10"/>
  <c r="D137" i="9"/>
  <c r="I137" i="9" s="1"/>
  <c r="E137" i="9"/>
  <c r="F137" i="9"/>
  <c r="H137" i="9"/>
  <c r="D138" i="8"/>
  <c r="I138" i="8" s="1"/>
  <c r="E138" i="8"/>
  <c r="F138" i="8"/>
  <c r="H138" i="8"/>
  <c r="D137" i="7"/>
  <c r="I137" i="7" s="1"/>
  <c r="E137" i="7"/>
  <c r="F137" i="7"/>
  <c r="H137" i="7"/>
  <c r="D137" i="6"/>
  <c r="I137" i="6" s="1"/>
  <c r="E137" i="6"/>
  <c r="F137" i="6"/>
  <c r="H137" i="6"/>
  <c r="D130" i="5"/>
  <c r="I130" i="5" s="1"/>
  <c r="E130" i="5"/>
  <c r="F130" i="5"/>
  <c r="H130" i="5"/>
  <c r="D132" i="3"/>
  <c r="I132" i="3" s="1"/>
  <c r="E132" i="3"/>
  <c r="F132" i="3"/>
  <c r="H132" i="3"/>
  <c r="D137" i="1"/>
  <c r="I137" i="1" s="1"/>
  <c r="E137" i="1"/>
  <c r="F137" i="1"/>
  <c r="H137" i="1"/>
  <c r="D134" i="23"/>
  <c r="I134" i="23" s="1"/>
  <c r="D135" i="23"/>
  <c r="I135" i="23" s="1"/>
  <c r="D136" i="23"/>
  <c r="I136" i="23" s="1"/>
  <c r="D137" i="23"/>
  <c r="I137" i="23" s="1"/>
  <c r="E134" i="23"/>
  <c r="E135" i="23"/>
  <c r="E136" i="23"/>
  <c r="E137" i="23"/>
  <c r="F134" i="23"/>
  <c r="F135" i="23"/>
  <c r="F136" i="23"/>
  <c r="F137" i="23"/>
  <c r="H134" i="23"/>
  <c r="H135" i="23"/>
  <c r="H136" i="23"/>
  <c r="H137" i="23"/>
  <c r="D126" i="22"/>
  <c r="I126" i="22" s="1"/>
  <c r="D127" i="22"/>
  <c r="I127" i="22" s="1"/>
  <c r="D128" i="22"/>
  <c r="I128" i="22" s="1"/>
  <c r="D129" i="22"/>
  <c r="I129" i="22" s="1"/>
  <c r="E126" i="22"/>
  <c r="E127" i="22"/>
  <c r="E128" i="22"/>
  <c r="E129" i="22"/>
  <c r="F126" i="22"/>
  <c r="F127" i="22"/>
  <c r="G127" i="22" s="1"/>
  <c r="F128" i="22"/>
  <c r="F129" i="22"/>
  <c r="G129" i="22" s="1"/>
  <c r="H126" i="22"/>
  <c r="H127" i="22"/>
  <c r="H128" i="22"/>
  <c r="H129" i="22"/>
  <c r="D134" i="21"/>
  <c r="I134" i="21" s="1"/>
  <c r="D135" i="21"/>
  <c r="I135" i="21" s="1"/>
  <c r="D136" i="21"/>
  <c r="I136" i="21" s="1"/>
  <c r="D137" i="21"/>
  <c r="I137" i="21" s="1"/>
  <c r="E134" i="21"/>
  <c r="E135" i="21"/>
  <c r="E136" i="21"/>
  <c r="E137" i="21"/>
  <c r="F134" i="21"/>
  <c r="F135" i="21"/>
  <c r="F136" i="21"/>
  <c r="F137" i="21"/>
  <c r="H134" i="21"/>
  <c r="H135" i="21"/>
  <c r="H136" i="21"/>
  <c r="H137" i="21"/>
  <c r="D125" i="20"/>
  <c r="D126" i="20"/>
  <c r="I126" i="20" s="1"/>
  <c r="D127" i="20"/>
  <c r="I127" i="20" s="1"/>
  <c r="D128" i="20"/>
  <c r="I128" i="20" s="1"/>
  <c r="E125" i="20"/>
  <c r="E126" i="20"/>
  <c r="E127" i="20"/>
  <c r="E128" i="20"/>
  <c r="F125" i="20"/>
  <c r="F126" i="20"/>
  <c r="G126" i="20" s="1"/>
  <c r="F127" i="20"/>
  <c r="F128" i="20"/>
  <c r="H125" i="20"/>
  <c r="H126" i="20"/>
  <c r="H127" i="20"/>
  <c r="H128" i="20"/>
  <c r="I125" i="20"/>
  <c r="D132" i="19"/>
  <c r="I132" i="19" s="1"/>
  <c r="D133" i="19"/>
  <c r="I133" i="19" s="1"/>
  <c r="D134" i="19"/>
  <c r="I134" i="19" s="1"/>
  <c r="D135" i="19"/>
  <c r="I135" i="19" s="1"/>
  <c r="E132" i="19"/>
  <c r="E133" i="19"/>
  <c r="E134" i="19"/>
  <c r="E135" i="19"/>
  <c r="F132" i="19"/>
  <c r="F133" i="19"/>
  <c r="F134" i="19"/>
  <c r="F135" i="19"/>
  <c r="H132" i="19"/>
  <c r="H133" i="19"/>
  <c r="H134" i="19"/>
  <c r="H135" i="19"/>
  <c r="D127" i="18"/>
  <c r="I127" i="18" s="1"/>
  <c r="D128" i="18"/>
  <c r="D129" i="18"/>
  <c r="I129" i="18" s="1"/>
  <c r="D130" i="18"/>
  <c r="I130" i="18" s="1"/>
  <c r="E127" i="18"/>
  <c r="E128" i="18"/>
  <c r="E129" i="18"/>
  <c r="E130" i="18"/>
  <c r="F127" i="18"/>
  <c r="F128" i="18"/>
  <c r="F129" i="18"/>
  <c r="F130" i="18"/>
  <c r="H127" i="18"/>
  <c r="H128" i="18"/>
  <c r="H129" i="18"/>
  <c r="H130" i="18"/>
  <c r="I128" i="18"/>
  <c r="D125" i="17"/>
  <c r="I125" i="17" s="1"/>
  <c r="D126" i="17"/>
  <c r="I126" i="17" s="1"/>
  <c r="D127" i="17"/>
  <c r="I127" i="17" s="1"/>
  <c r="D128" i="17"/>
  <c r="I128" i="17" s="1"/>
  <c r="E125" i="17"/>
  <c r="E126" i="17"/>
  <c r="E127" i="17"/>
  <c r="E128" i="17"/>
  <c r="F125" i="17"/>
  <c r="F126" i="17"/>
  <c r="F127" i="17"/>
  <c r="F128" i="17"/>
  <c r="H125" i="17"/>
  <c r="H126" i="17"/>
  <c r="H127" i="17"/>
  <c r="H128" i="17"/>
  <c r="D133" i="16"/>
  <c r="D134" i="16"/>
  <c r="D135" i="16"/>
  <c r="I135" i="16" s="1"/>
  <c r="D136" i="16"/>
  <c r="I136" i="16" s="1"/>
  <c r="E133" i="16"/>
  <c r="E134" i="16"/>
  <c r="E135" i="16"/>
  <c r="E136" i="16"/>
  <c r="F133" i="16"/>
  <c r="F134" i="16"/>
  <c r="F135" i="16"/>
  <c r="F136" i="16"/>
  <c r="H133" i="16"/>
  <c r="H134" i="16"/>
  <c r="H135" i="16"/>
  <c r="H136" i="16"/>
  <c r="I133" i="16"/>
  <c r="I134" i="16"/>
  <c r="D68" i="15"/>
  <c r="I68" i="15" s="1"/>
  <c r="D69" i="15"/>
  <c r="I69" i="15" s="1"/>
  <c r="E68" i="15"/>
  <c r="E69" i="15"/>
  <c r="F68" i="15"/>
  <c r="F69" i="15"/>
  <c r="H68" i="15"/>
  <c r="H69" i="15"/>
  <c r="D126" i="14"/>
  <c r="I126" i="14" s="1"/>
  <c r="D127" i="14"/>
  <c r="I127" i="14" s="1"/>
  <c r="D128" i="14"/>
  <c r="I128" i="14" s="1"/>
  <c r="D129" i="14"/>
  <c r="I129" i="14" s="1"/>
  <c r="E126" i="14"/>
  <c r="E127" i="14"/>
  <c r="E128" i="14"/>
  <c r="E129" i="14"/>
  <c r="F126" i="14"/>
  <c r="F127" i="14"/>
  <c r="F128" i="14"/>
  <c r="F129" i="14"/>
  <c r="H126" i="14"/>
  <c r="H127" i="14"/>
  <c r="H128" i="14"/>
  <c r="H129" i="14"/>
  <c r="D134" i="13"/>
  <c r="I134" i="13" s="1"/>
  <c r="D135" i="13"/>
  <c r="I135" i="13" s="1"/>
  <c r="D136" i="13"/>
  <c r="I136" i="13" s="1"/>
  <c r="D137" i="13"/>
  <c r="I137" i="13" s="1"/>
  <c r="E134" i="13"/>
  <c r="E135" i="13"/>
  <c r="E136" i="13"/>
  <c r="E137" i="13"/>
  <c r="F134" i="13"/>
  <c r="F135" i="13"/>
  <c r="F136" i="13"/>
  <c r="F137" i="13"/>
  <c r="H134" i="13"/>
  <c r="H135" i="13"/>
  <c r="H136" i="13"/>
  <c r="H137" i="13"/>
  <c r="D127" i="11"/>
  <c r="I127" i="11" s="1"/>
  <c r="D128" i="11"/>
  <c r="I128" i="11" s="1"/>
  <c r="D129" i="11"/>
  <c r="I129" i="11" s="1"/>
  <c r="E127" i="11"/>
  <c r="E128" i="11"/>
  <c r="E129" i="11"/>
  <c r="F127" i="11"/>
  <c r="F128" i="11"/>
  <c r="F129" i="11"/>
  <c r="H127" i="11"/>
  <c r="H128" i="11"/>
  <c r="H129" i="11"/>
  <c r="D132" i="12"/>
  <c r="D133" i="12"/>
  <c r="I133" i="12" s="1"/>
  <c r="D134" i="12"/>
  <c r="I134" i="12" s="1"/>
  <c r="D135" i="12"/>
  <c r="I135" i="12" s="1"/>
  <c r="E132" i="12"/>
  <c r="E133" i="12"/>
  <c r="E134" i="12"/>
  <c r="E135" i="12"/>
  <c r="F132" i="12"/>
  <c r="F133" i="12"/>
  <c r="F134" i="12"/>
  <c r="G134" i="12" s="1"/>
  <c r="F135" i="12"/>
  <c r="H132" i="12"/>
  <c r="H133" i="12"/>
  <c r="H134" i="12"/>
  <c r="H135" i="12"/>
  <c r="I132" i="12"/>
  <c r="D133" i="10"/>
  <c r="I133" i="10" s="1"/>
  <c r="D134" i="10"/>
  <c r="I134" i="10" s="1"/>
  <c r="D135" i="10"/>
  <c r="I135" i="10" s="1"/>
  <c r="D136" i="10"/>
  <c r="I136" i="10" s="1"/>
  <c r="E133" i="10"/>
  <c r="E134" i="10"/>
  <c r="E135" i="10"/>
  <c r="E136" i="10"/>
  <c r="F133" i="10"/>
  <c r="F134" i="10"/>
  <c r="F135" i="10"/>
  <c r="F136" i="10"/>
  <c r="H133" i="10"/>
  <c r="H134" i="10"/>
  <c r="H135" i="10"/>
  <c r="H136" i="10"/>
  <c r="D133" i="9"/>
  <c r="I133" i="9" s="1"/>
  <c r="D134" i="9"/>
  <c r="I134" i="9" s="1"/>
  <c r="D135" i="9"/>
  <c r="D136" i="9"/>
  <c r="I136" i="9" s="1"/>
  <c r="E133" i="9"/>
  <c r="E134" i="9"/>
  <c r="E135" i="9"/>
  <c r="E136" i="9"/>
  <c r="F133" i="9"/>
  <c r="F134" i="9"/>
  <c r="F135" i="9"/>
  <c r="F136" i="9"/>
  <c r="H133" i="9"/>
  <c r="H134" i="9"/>
  <c r="H135" i="9"/>
  <c r="H136" i="9"/>
  <c r="I135" i="9"/>
  <c r="D134" i="8"/>
  <c r="I134" i="8" s="1"/>
  <c r="D135" i="8"/>
  <c r="I135" i="8" s="1"/>
  <c r="D136" i="8"/>
  <c r="I136" i="8" s="1"/>
  <c r="D137" i="8"/>
  <c r="I137" i="8" s="1"/>
  <c r="E134" i="8"/>
  <c r="E135" i="8"/>
  <c r="E136" i="8"/>
  <c r="E137" i="8"/>
  <c r="F134" i="8"/>
  <c r="F135" i="8"/>
  <c r="F136" i="8"/>
  <c r="F137" i="8"/>
  <c r="H134" i="8"/>
  <c r="H135" i="8"/>
  <c r="H136" i="8"/>
  <c r="H137" i="8"/>
  <c r="D133" i="7"/>
  <c r="I133" i="7" s="1"/>
  <c r="D134" i="7"/>
  <c r="I134" i="7" s="1"/>
  <c r="D135" i="7"/>
  <c r="I135" i="7" s="1"/>
  <c r="D136" i="7"/>
  <c r="I136" i="7" s="1"/>
  <c r="E133" i="7"/>
  <c r="E134" i="7"/>
  <c r="E135" i="7"/>
  <c r="E136" i="7"/>
  <c r="F133" i="7"/>
  <c r="F134" i="7"/>
  <c r="F135" i="7"/>
  <c r="F136" i="7"/>
  <c r="H133" i="7"/>
  <c r="H134" i="7"/>
  <c r="H135" i="7"/>
  <c r="H136" i="7"/>
  <c r="D133" i="6"/>
  <c r="I133" i="6" s="1"/>
  <c r="D134" i="6"/>
  <c r="I134" i="6" s="1"/>
  <c r="D135" i="6"/>
  <c r="I135" i="6" s="1"/>
  <c r="D136" i="6"/>
  <c r="I136" i="6" s="1"/>
  <c r="E133" i="6"/>
  <c r="E134" i="6"/>
  <c r="E135" i="6"/>
  <c r="E136" i="6"/>
  <c r="F133" i="6"/>
  <c r="F134" i="6"/>
  <c r="F135" i="6"/>
  <c r="F136" i="6"/>
  <c r="H133" i="6"/>
  <c r="H134" i="6"/>
  <c r="H135" i="6"/>
  <c r="H136" i="6"/>
  <c r="D126" i="5"/>
  <c r="I126" i="5" s="1"/>
  <c r="D127" i="5"/>
  <c r="I127" i="5" s="1"/>
  <c r="D128" i="5"/>
  <c r="I128" i="5" s="1"/>
  <c r="D129" i="5"/>
  <c r="I129" i="5" s="1"/>
  <c r="E126" i="5"/>
  <c r="E127" i="5"/>
  <c r="E128" i="5"/>
  <c r="E129" i="5"/>
  <c r="F126" i="5"/>
  <c r="F127" i="5"/>
  <c r="F128" i="5"/>
  <c r="F129" i="5"/>
  <c r="H126" i="5"/>
  <c r="H127" i="5"/>
  <c r="H128" i="5"/>
  <c r="H129" i="5"/>
  <c r="D128" i="4"/>
  <c r="I128" i="4" s="1"/>
  <c r="D129" i="4"/>
  <c r="I129" i="4" s="1"/>
  <c r="D130" i="4"/>
  <c r="I130" i="4" s="1"/>
  <c r="E128" i="4"/>
  <c r="E129" i="4"/>
  <c r="E130" i="4"/>
  <c r="F128" i="4"/>
  <c r="F129" i="4"/>
  <c r="F130" i="4"/>
  <c r="H128" i="4"/>
  <c r="H129" i="4"/>
  <c r="H130" i="4"/>
  <c r="D128" i="3"/>
  <c r="I128" i="3" s="1"/>
  <c r="D129" i="3"/>
  <c r="I129" i="3" s="1"/>
  <c r="D130" i="3"/>
  <c r="I130" i="3" s="1"/>
  <c r="D131" i="3"/>
  <c r="I131" i="3" s="1"/>
  <c r="E128" i="3"/>
  <c r="E129" i="3"/>
  <c r="E130" i="3"/>
  <c r="E131" i="3"/>
  <c r="F128" i="3"/>
  <c r="F129" i="3"/>
  <c r="F130" i="3"/>
  <c r="F131" i="3"/>
  <c r="H128" i="3"/>
  <c r="H129" i="3"/>
  <c r="H130" i="3"/>
  <c r="H131" i="3"/>
  <c r="D133" i="1"/>
  <c r="I133" i="1" s="1"/>
  <c r="D134" i="1"/>
  <c r="I134" i="1" s="1"/>
  <c r="D135" i="1"/>
  <c r="I135" i="1" s="1"/>
  <c r="D136" i="1"/>
  <c r="I136" i="1" s="1"/>
  <c r="E133" i="1"/>
  <c r="E134" i="1"/>
  <c r="E135" i="1"/>
  <c r="E136" i="1"/>
  <c r="F133" i="1"/>
  <c r="F134" i="1"/>
  <c r="F135" i="1"/>
  <c r="F136" i="1"/>
  <c r="H133" i="1"/>
  <c r="H134" i="1"/>
  <c r="H135" i="1"/>
  <c r="H136" i="1"/>
  <c r="D133" i="23"/>
  <c r="I133" i="23" s="1"/>
  <c r="E133" i="23"/>
  <c r="F133" i="23"/>
  <c r="H133" i="23"/>
  <c r="D125" i="22"/>
  <c r="I125" i="22" s="1"/>
  <c r="E125" i="22"/>
  <c r="F125" i="22"/>
  <c r="H125" i="22"/>
  <c r="D133" i="21"/>
  <c r="I133" i="21" s="1"/>
  <c r="E133" i="21"/>
  <c r="F133" i="21"/>
  <c r="H133" i="21"/>
  <c r="D124" i="20"/>
  <c r="I124" i="20" s="1"/>
  <c r="E124" i="20"/>
  <c r="F124" i="20"/>
  <c r="H124" i="20"/>
  <c r="D130" i="19"/>
  <c r="I130" i="19" s="1"/>
  <c r="D131" i="19"/>
  <c r="I131" i="19" s="1"/>
  <c r="E130" i="19"/>
  <c r="E131" i="19"/>
  <c r="F130" i="19"/>
  <c r="F131" i="19"/>
  <c r="H130" i="19"/>
  <c r="H131" i="19"/>
  <c r="D126" i="18"/>
  <c r="I126" i="18" s="1"/>
  <c r="E126" i="18"/>
  <c r="F126" i="18"/>
  <c r="H126" i="18"/>
  <c r="D131" i="16"/>
  <c r="I131" i="16" s="1"/>
  <c r="D132" i="16"/>
  <c r="I132" i="16" s="1"/>
  <c r="E131" i="16"/>
  <c r="E132" i="16"/>
  <c r="F131" i="16"/>
  <c r="F132" i="16"/>
  <c r="H131" i="16"/>
  <c r="H132" i="16"/>
  <c r="D124" i="17"/>
  <c r="I124" i="17" s="1"/>
  <c r="E124" i="17"/>
  <c r="F124" i="17"/>
  <c r="H124" i="17"/>
  <c r="D125" i="14"/>
  <c r="I125" i="14" s="1"/>
  <c r="E125" i="14"/>
  <c r="F125" i="14"/>
  <c r="H125" i="14"/>
  <c r="D133" i="13"/>
  <c r="I133" i="13" s="1"/>
  <c r="E133" i="13"/>
  <c r="F133" i="13"/>
  <c r="H133" i="13"/>
  <c r="D131" i="12"/>
  <c r="I131" i="12" s="1"/>
  <c r="E131" i="12"/>
  <c r="F131" i="12"/>
  <c r="H131" i="12"/>
  <c r="D131" i="10"/>
  <c r="I131" i="10" s="1"/>
  <c r="D132" i="10"/>
  <c r="I132" i="10" s="1"/>
  <c r="E131" i="10"/>
  <c r="E132" i="10"/>
  <c r="F131" i="10"/>
  <c r="F132" i="10"/>
  <c r="H131" i="10"/>
  <c r="H132" i="10"/>
  <c r="D131" i="9"/>
  <c r="I131" i="9" s="1"/>
  <c r="D132" i="9"/>
  <c r="I132" i="9" s="1"/>
  <c r="E131" i="9"/>
  <c r="E132" i="9"/>
  <c r="F131" i="9"/>
  <c r="F132" i="9"/>
  <c r="H131" i="9"/>
  <c r="H132" i="9"/>
  <c r="D132" i="8"/>
  <c r="I132" i="8" s="1"/>
  <c r="D133" i="8"/>
  <c r="I133" i="8" s="1"/>
  <c r="E132" i="8"/>
  <c r="E133" i="8"/>
  <c r="F132" i="8"/>
  <c r="F133" i="8"/>
  <c r="H132" i="8"/>
  <c r="H133" i="8"/>
  <c r="D132" i="7"/>
  <c r="I132" i="7" s="1"/>
  <c r="E132" i="7"/>
  <c r="F132" i="7"/>
  <c r="H132" i="7"/>
  <c r="D132" i="6"/>
  <c r="I132" i="6" s="1"/>
  <c r="E132" i="6"/>
  <c r="F132" i="6"/>
  <c r="H132" i="6"/>
  <c r="D125" i="5"/>
  <c r="I125" i="5" s="1"/>
  <c r="E125" i="5"/>
  <c r="F125" i="5"/>
  <c r="H125" i="5"/>
  <c r="D127" i="4"/>
  <c r="I127" i="4" s="1"/>
  <c r="E127" i="4"/>
  <c r="F127" i="4"/>
  <c r="H127" i="4"/>
  <c r="D127" i="3"/>
  <c r="I127" i="3" s="1"/>
  <c r="E127" i="3"/>
  <c r="F127" i="3"/>
  <c r="H127" i="3"/>
  <c r="D131" i="1"/>
  <c r="I131" i="1" s="1"/>
  <c r="D132" i="1"/>
  <c r="I132" i="1" s="1"/>
  <c r="E131" i="1"/>
  <c r="E132" i="1"/>
  <c r="F131" i="1"/>
  <c r="F132" i="1"/>
  <c r="H131" i="1"/>
  <c r="H132" i="1"/>
  <c r="D131" i="23"/>
  <c r="D132" i="23"/>
  <c r="I132" i="23" s="1"/>
  <c r="E131" i="23"/>
  <c r="E132" i="23"/>
  <c r="F131" i="23"/>
  <c r="F132" i="23"/>
  <c r="H131" i="23"/>
  <c r="H132" i="23"/>
  <c r="I131" i="23"/>
  <c r="D122" i="22"/>
  <c r="I122" i="22" s="1"/>
  <c r="D123" i="22"/>
  <c r="I123" i="22" s="1"/>
  <c r="D124" i="22"/>
  <c r="I124" i="22" s="1"/>
  <c r="E122" i="22"/>
  <c r="E123" i="22"/>
  <c r="E124" i="22"/>
  <c r="F122" i="22"/>
  <c r="F123" i="22"/>
  <c r="F124" i="22"/>
  <c r="H122" i="22"/>
  <c r="H123" i="22"/>
  <c r="H124" i="22"/>
  <c r="D131" i="21"/>
  <c r="I131" i="21" s="1"/>
  <c r="D132" i="21"/>
  <c r="I132" i="21" s="1"/>
  <c r="E131" i="21"/>
  <c r="E132" i="21"/>
  <c r="F131" i="21"/>
  <c r="F132" i="21"/>
  <c r="H131" i="21"/>
  <c r="H132" i="21"/>
  <c r="D123" i="20"/>
  <c r="I123" i="20" s="1"/>
  <c r="E123" i="20"/>
  <c r="F123" i="20"/>
  <c r="H123" i="20"/>
  <c r="D129" i="19"/>
  <c r="I129" i="19" s="1"/>
  <c r="E129" i="19"/>
  <c r="F129" i="19"/>
  <c r="H129" i="19"/>
  <c r="D124" i="18"/>
  <c r="I124" i="18" s="1"/>
  <c r="D125" i="18"/>
  <c r="E124" i="18"/>
  <c r="E125" i="18"/>
  <c r="F124" i="18"/>
  <c r="F125" i="18"/>
  <c r="H124" i="18"/>
  <c r="H125" i="18"/>
  <c r="I125" i="18"/>
  <c r="D121" i="17"/>
  <c r="I121" i="17" s="1"/>
  <c r="D122" i="17"/>
  <c r="I122" i="17" s="1"/>
  <c r="D123" i="17"/>
  <c r="I123" i="17" s="1"/>
  <c r="E121" i="17"/>
  <c r="E122" i="17"/>
  <c r="E123" i="17"/>
  <c r="F121" i="17"/>
  <c r="F122" i="17"/>
  <c r="F123" i="17"/>
  <c r="H121" i="17"/>
  <c r="H122" i="17"/>
  <c r="H123" i="17"/>
  <c r="D130" i="16"/>
  <c r="I130" i="16" s="1"/>
  <c r="E130" i="16"/>
  <c r="F130" i="16"/>
  <c r="H130" i="16"/>
  <c r="D131" i="13"/>
  <c r="I131" i="13" s="1"/>
  <c r="D132" i="13"/>
  <c r="I132" i="13" s="1"/>
  <c r="E131" i="13"/>
  <c r="E132" i="13"/>
  <c r="F131" i="13"/>
  <c r="F132" i="13"/>
  <c r="H131" i="13"/>
  <c r="H132" i="13"/>
  <c r="D129" i="12"/>
  <c r="I129" i="12" s="1"/>
  <c r="D130" i="12"/>
  <c r="I130" i="12" s="1"/>
  <c r="E129" i="12"/>
  <c r="E130" i="12"/>
  <c r="F129" i="12"/>
  <c r="F130" i="12"/>
  <c r="H129" i="12"/>
  <c r="H130" i="12"/>
  <c r="D125" i="11"/>
  <c r="D126" i="11"/>
  <c r="I126" i="11" s="1"/>
  <c r="E125" i="11"/>
  <c r="E126" i="11"/>
  <c r="F125" i="11"/>
  <c r="F126" i="11"/>
  <c r="H125" i="11"/>
  <c r="H126" i="11"/>
  <c r="I125" i="11"/>
  <c r="D130" i="10"/>
  <c r="I130" i="10" s="1"/>
  <c r="E130" i="10"/>
  <c r="F130" i="10"/>
  <c r="H130" i="10"/>
  <c r="D130" i="9"/>
  <c r="I130" i="9" s="1"/>
  <c r="E130" i="9"/>
  <c r="F130" i="9"/>
  <c r="H130" i="9"/>
  <c r="D131" i="8"/>
  <c r="I131" i="8" s="1"/>
  <c r="E131" i="8"/>
  <c r="F131" i="8"/>
  <c r="H131" i="8"/>
  <c r="D130" i="7"/>
  <c r="I130" i="7" s="1"/>
  <c r="D131" i="7"/>
  <c r="I131" i="7" s="1"/>
  <c r="E130" i="7"/>
  <c r="E131" i="7"/>
  <c r="F130" i="7"/>
  <c r="F131" i="7"/>
  <c r="H130" i="7"/>
  <c r="H131" i="7"/>
  <c r="D130" i="6"/>
  <c r="I130" i="6" s="1"/>
  <c r="D131" i="6"/>
  <c r="I131" i="6" s="1"/>
  <c r="E130" i="6"/>
  <c r="E131" i="6"/>
  <c r="F130" i="6"/>
  <c r="F131" i="6"/>
  <c r="H130" i="6"/>
  <c r="H131" i="6"/>
  <c r="D123" i="5"/>
  <c r="I123" i="5" s="1"/>
  <c r="D124" i="5"/>
  <c r="I124" i="5" s="1"/>
  <c r="E123" i="5"/>
  <c r="E124" i="5"/>
  <c r="F123" i="5"/>
  <c r="F124" i="5"/>
  <c r="H123" i="5"/>
  <c r="H124" i="5"/>
  <c r="D125" i="4"/>
  <c r="I125" i="4" s="1"/>
  <c r="D126" i="4"/>
  <c r="I126" i="4" s="1"/>
  <c r="E125" i="4"/>
  <c r="E126" i="4"/>
  <c r="F125" i="4"/>
  <c r="F126" i="4"/>
  <c r="H125" i="4"/>
  <c r="H126" i="4"/>
  <c r="D126" i="3"/>
  <c r="I126" i="3" s="1"/>
  <c r="E126" i="3"/>
  <c r="F126" i="3"/>
  <c r="H126" i="3"/>
  <c r="D130" i="1"/>
  <c r="I130" i="1" s="1"/>
  <c r="E130" i="1"/>
  <c r="F130" i="1"/>
  <c r="H130" i="1"/>
  <c r="D130" i="23"/>
  <c r="I130" i="23" s="1"/>
  <c r="E130" i="23"/>
  <c r="F130" i="23"/>
  <c r="H130" i="23"/>
  <c r="D130" i="21"/>
  <c r="I130" i="21" s="1"/>
  <c r="E130" i="21"/>
  <c r="F130" i="21"/>
  <c r="H130" i="21"/>
  <c r="D121" i="20"/>
  <c r="I121" i="20" s="1"/>
  <c r="D122" i="20"/>
  <c r="I122" i="20" s="1"/>
  <c r="E121" i="20"/>
  <c r="E122" i="20"/>
  <c r="F121" i="20"/>
  <c r="F122" i="20"/>
  <c r="H121" i="20"/>
  <c r="H122" i="20"/>
  <c r="D128" i="19"/>
  <c r="I128" i="19" s="1"/>
  <c r="E128" i="19"/>
  <c r="F128" i="19"/>
  <c r="H128" i="19"/>
  <c r="D123" i="18"/>
  <c r="I123" i="18" s="1"/>
  <c r="E123" i="18"/>
  <c r="F123" i="18"/>
  <c r="H123" i="18"/>
  <c r="D129" i="16"/>
  <c r="I129" i="16" s="1"/>
  <c r="E129" i="16"/>
  <c r="F129" i="16"/>
  <c r="H129" i="16"/>
  <c r="D124" i="14"/>
  <c r="I124" i="14" s="1"/>
  <c r="E124" i="14"/>
  <c r="F124" i="14"/>
  <c r="H124" i="14"/>
  <c r="D130" i="13"/>
  <c r="I130" i="13" s="1"/>
  <c r="E130" i="13"/>
  <c r="F130" i="13"/>
  <c r="H130" i="13"/>
  <c r="D128" i="12"/>
  <c r="I128" i="12" s="1"/>
  <c r="E128" i="12"/>
  <c r="F128" i="12"/>
  <c r="H128" i="12"/>
  <c r="D124" i="11"/>
  <c r="I124" i="11" s="1"/>
  <c r="E124" i="11"/>
  <c r="F124" i="11"/>
  <c r="H124" i="11"/>
  <c r="D129" i="10"/>
  <c r="I129" i="10" s="1"/>
  <c r="E129" i="10"/>
  <c r="F129" i="10"/>
  <c r="H129" i="10"/>
  <c r="D129" i="9"/>
  <c r="I129" i="9" s="1"/>
  <c r="E129" i="9"/>
  <c r="F129" i="9"/>
  <c r="H129" i="9"/>
  <c r="D130" i="8"/>
  <c r="I130" i="8" s="1"/>
  <c r="E130" i="8"/>
  <c r="F130" i="8"/>
  <c r="H130" i="8"/>
  <c r="D129" i="7"/>
  <c r="I129" i="7" s="1"/>
  <c r="E129" i="7"/>
  <c r="F129" i="7"/>
  <c r="H129" i="7"/>
  <c r="D129" i="6"/>
  <c r="I129" i="6" s="1"/>
  <c r="E129" i="6"/>
  <c r="F129" i="6"/>
  <c r="H129" i="6"/>
  <c r="D124" i="4"/>
  <c r="I124" i="4" s="1"/>
  <c r="E124" i="4"/>
  <c r="F124" i="4"/>
  <c r="H124" i="4"/>
  <c r="D124" i="3"/>
  <c r="I124" i="3" s="1"/>
  <c r="D125" i="3"/>
  <c r="I125" i="3" s="1"/>
  <c r="E124" i="3"/>
  <c r="E125" i="3"/>
  <c r="F124" i="3"/>
  <c r="F125" i="3"/>
  <c r="H124" i="3"/>
  <c r="H125" i="3"/>
  <c r="D129" i="1"/>
  <c r="I129" i="1" s="1"/>
  <c r="E129" i="1"/>
  <c r="F129" i="1"/>
  <c r="H129" i="1"/>
  <c r="D129" i="23"/>
  <c r="I129" i="23" s="1"/>
  <c r="E129" i="23"/>
  <c r="F129" i="23"/>
  <c r="H129" i="23"/>
  <c r="D121" i="22"/>
  <c r="I121" i="22" s="1"/>
  <c r="E121" i="22"/>
  <c r="F121" i="22"/>
  <c r="H121" i="22"/>
  <c r="D129" i="21"/>
  <c r="I129" i="21" s="1"/>
  <c r="E129" i="21"/>
  <c r="F129" i="21"/>
  <c r="H129" i="21"/>
  <c r="D120" i="20"/>
  <c r="I120" i="20" s="1"/>
  <c r="E120" i="20"/>
  <c r="F120" i="20"/>
  <c r="H120" i="20"/>
  <c r="D127" i="19"/>
  <c r="I127" i="19" s="1"/>
  <c r="E127" i="19"/>
  <c r="F127" i="19"/>
  <c r="H127" i="19"/>
  <c r="D122" i="18"/>
  <c r="I122" i="18" s="1"/>
  <c r="E122" i="18"/>
  <c r="F122" i="18"/>
  <c r="H122" i="18"/>
  <c r="D128" i="16"/>
  <c r="I128" i="16" s="1"/>
  <c r="E128" i="16"/>
  <c r="F128" i="16"/>
  <c r="H128" i="16"/>
  <c r="D120" i="17"/>
  <c r="I120" i="17" s="1"/>
  <c r="E120" i="17"/>
  <c r="F120" i="17"/>
  <c r="H120" i="17"/>
  <c r="D123" i="14"/>
  <c r="I123" i="14" s="1"/>
  <c r="E123" i="14"/>
  <c r="F123" i="14"/>
  <c r="H123" i="14"/>
  <c r="D129" i="13"/>
  <c r="I129" i="13" s="1"/>
  <c r="E129" i="13"/>
  <c r="F129" i="13"/>
  <c r="H129" i="13"/>
  <c r="D127" i="12"/>
  <c r="I127" i="12" s="1"/>
  <c r="E127" i="12"/>
  <c r="F127" i="12"/>
  <c r="H127" i="12"/>
  <c r="D123" i="11"/>
  <c r="I123" i="11" s="1"/>
  <c r="E123" i="11"/>
  <c r="F123" i="11"/>
  <c r="H123" i="11"/>
  <c r="D128" i="10"/>
  <c r="I128" i="10" s="1"/>
  <c r="E128" i="10"/>
  <c r="F128" i="10"/>
  <c r="H128" i="10"/>
  <c r="D128" i="9"/>
  <c r="I128" i="9" s="1"/>
  <c r="E128" i="9"/>
  <c r="F128" i="9"/>
  <c r="H128" i="9"/>
  <c r="D129" i="8"/>
  <c r="I129" i="8" s="1"/>
  <c r="E129" i="8"/>
  <c r="F129" i="8"/>
  <c r="H129" i="8"/>
  <c r="D128" i="7"/>
  <c r="I128" i="7" s="1"/>
  <c r="E128" i="7"/>
  <c r="F128" i="7"/>
  <c r="H128" i="7"/>
  <c r="D128" i="6"/>
  <c r="I128" i="6" s="1"/>
  <c r="E128" i="6"/>
  <c r="F128" i="6"/>
  <c r="H128" i="6"/>
  <c r="D123" i="4"/>
  <c r="I123" i="4" s="1"/>
  <c r="E123" i="4"/>
  <c r="F123" i="4"/>
  <c r="H123" i="4"/>
  <c r="D123" i="3"/>
  <c r="I123" i="3" s="1"/>
  <c r="E123" i="3"/>
  <c r="F123" i="3"/>
  <c r="H123" i="3"/>
  <c r="D128" i="1"/>
  <c r="I128" i="1" s="1"/>
  <c r="E128" i="1"/>
  <c r="F128" i="1"/>
  <c r="H128" i="1"/>
  <c r="D125" i="23"/>
  <c r="I125" i="23" s="1"/>
  <c r="D126" i="23"/>
  <c r="I126" i="23" s="1"/>
  <c r="D127" i="23"/>
  <c r="I127" i="23" s="1"/>
  <c r="D128" i="23"/>
  <c r="I128" i="23" s="1"/>
  <c r="E125" i="23"/>
  <c r="E126" i="23"/>
  <c r="E127" i="23"/>
  <c r="E128" i="23"/>
  <c r="F125" i="23"/>
  <c r="F126" i="23"/>
  <c r="F127" i="23"/>
  <c r="F128" i="23"/>
  <c r="H125" i="23"/>
  <c r="H126" i="23"/>
  <c r="H127" i="23"/>
  <c r="H128" i="23"/>
  <c r="D117" i="22"/>
  <c r="I117" i="22" s="1"/>
  <c r="D118" i="22"/>
  <c r="I118" i="22" s="1"/>
  <c r="D119" i="22"/>
  <c r="I119" i="22" s="1"/>
  <c r="D120" i="22"/>
  <c r="I120" i="22" s="1"/>
  <c r="E117" i="22"/>
  <c r="E118" i="22"/>
  <c r="E119" i="22"/>
  <c r="E120" i="22"/>
  <c r="F117" i="22"/>
  <c r="F118" i="22"/>
  <c r="F119" i="22"/>
  <c r="F120" i="22"/>
  <c r="H117" i="22"/>
  <c r="H118" i="22"/>
  <c r="H119" i="22"/>
  <c r="H120" i="22"/>
  <c r="D125" i="21"/>
  <c r="I125" i="21" s="1"/>
  <c r="D126" i="21"/>
  <c r="I126" i="21" s="1"/>
  <c r="D127" i="21"/>
  <c r="I127" i="21" s="1"/>
  <c r="D128" i="21"/>
  <c r="I128" i="21" s="1"/>
  <c r="E125" i="21"/>
  <c r="E126" i="21"/>
  <c r="E127" i="21"/>
  <c r="E128" i="21"/>
  <c r="F125" i="21"/>
  <c r="F126" i="21"/>
  <c r="F127" i="21"/>
  <c r="F128" i="21"/>
  <c r="H125" i="21"/>
  <c r="H126" i="21"/>
  <c r="H127" i="21"/>
  <c r="H128" i="21"/>
  <c r="D116" i="20"/>
  <c r="I116" i="20" s="1"/>
  <c r="D117" i="20"/>
  <c r="I117" i="20" s="1"/>
  <c r="D118" i="20"/>
  <c r="I118" i="20" s="1"/>
  <c r="D119" i="20"/>
  <c r="I119" i="20" s="1"/>
  <c r="E116" i="20"/>
  <c r="E117" i="20"/>
  <c r="E118" i="20"/>
  <c r="E119" i="20"/>
  <c r="F116" i="20"/>
  <c r="F117" i="20"/>
  <c r="F118" i="20"/>
  <c r="F119" i="20"/>
  <c r="H116" i="20"/>
  <c r="H117" i="20"/>
  <c r="H118" i="20"/>
  <c r="H119" i="20"/>
  <c r="D123" i="19"/>
  <c r="I123" i="19" s="1"/>
  <c r="D124" i="19"/>
  <c r="I124" i="19" s="1"/>
  <c r="D125" i="19"/>
  <c r="I125" i="19" s="1"/>
  <c r="D126" i="19"/>
  <c r="I126" i="19" s="1"/>
  <c r="E123" i="19"/>
  <c r="E124" i="19"/>
  <c r="E125" i="19"/>
  <c r="E126" i="19"/>
  <c r="F123" i="19"/>
  <c r="F124" i="19"/>
  <c r="F125" i="19"/>
  <c r="F126" i="19"/>
  <c r="H123" i="19"/>
  <c r="H124" i="19"/>
  <c r="H125" i="19"/>
  <c r="H126" i="19"/>
  <c r="D118" i="18"/>
  <c r="I118" i="18" s="1"/>
  <c r="D119" i="18"/>
  <c r="I119" i="18" s="1"/>
  <c r="D120" i="18"/>
  <c r="I120" i="18" s="1"/>
  <c r="D121" i="18"/>
  <c r="I121" i="18" s="1"/>
  <c r="E118" i="18"/>
  <c r="E119" i="18"/>
  <c r="E120" i="18"/>
  <c r="E121" i="18"/>
  <c r="F118" i="18"/>
  <c r="F119" i="18"/>
  <c r="F120" i="18"/>
  <c r="F121" i="18"/>
  <c r="H118" i="18"/>
  <c r="H119" i="18"/>
  <c r="H120" i="18"/>
  <c r="H121" i="18"/>
  <c r="D116" i="17"/>
  <c r="I116" i="17" s="1"/>
  <c r="D117" i="17"/>
  <c r="I117" i="17" s="1"/>
  <c r="D118" i="17"/>
  <c r="I118" i="17" s="1"/>
  <c r="D119" i="17"/>
  <c r="I119" i="17" s="1"/>
  <c r="E116" i="17"/>
  <c r="E117" i="17"/>
  <c r="E118" i="17"/>
  <c r="E119" i="17"/>
  <c r="F116" i="17"/>
  <c r="F117" i="17"/>
  <c r="F118" i="17"/>
  <c r="F119" i="17"/>
  <c r="H116" i="17"/>
  <c r="H117" i="17"/>
  <c r="H118" i="17"/>
  <c r="H119" i="17"/>
  <c r="D124" i="16"/>
  <c r="I124" i="16" s="1"/>
  <c r="D125" i="16"/>
  <c r="I125" i="16" s="1"/>
  <c r="D126" i="16"/>
  <c r="I126" i="16" s="1"/>
  <c r="D127" i="16"/>
  <c r="I127" i="16" s="1"/>
  <c r="E124" i="16"/>
  <c r="E125" i="16"/>
  <c r="E126" i="16"/>
  <c r="E127" i="16"/>
  <c r="F124" i="16"/>
  <c r="F125" i="16"/>
  <c r="F126" i="16"/>
  <c r="F127" i="16"/>
  <c r="H124" i="16"/>
  <c r="H125" i="16"/>
  <c r="H126" i="16"/>
  <c r="H127" i="16"/>
  <c r="D64" i="15"/>
  <c r="I64" i="15" s="1"/>
  <c r="D65" i="15"/>
  <c r="I65" i="15" s="1"/>
  <c r="D66" i="15"/>
  <c r="I66" i="15" s="1"/>
  <c r="D67" i="15"/>
  <c r="I67" i="15" s="1"/>
  <c r="E64" i="15"/>
  <c r="E65" i="15"/>
  <c r="E66" i="15"/>
  <c r="E67" i="15"/>
  <c r="F64" i="15"/>
  <c r="F65" i="15"/>
  <c r="F66" i="15"/>
  <c r="F67" i="15"/>
  <c r="H64" i="15"/>
  <c r="H65" i="15"/>
  <c r="H66" i="15"/>
  <c r="H67" i="15"/>
  <c r="D119" i="14"/>
  <c r="I119" i="14" s="1"/>
  <c r="D120" i="14"/>
  <c r="I120" i="14" s="1"/>
  <c r="D121" i="14"/>
  <c r="I121" i="14" s="1"/>
  <c r="D122" i="14"/>
  <c r="I122" i="14" s="1"/>
  <c r="E119" i="14"/>
  <c r="E120" i="14"/>
  <c r="E121" i="14"/>
  <c r="E122" i="14"/>
  <c r="F119" i="14"/>
  <c r="F120" i="14"/>
  <c r="F121" i="14"/>
  <c r="F122" i="14"/>
  <c r="H119" i="14"/>
  <c r="H120" i="14"/>
  <c r="H121" i="14"/>
  <c r="H122" i="14"/>
  <c r="D125" i="13"/>
  <c r="I125" i="13" s="1"/>
  <c r="D126" i="13"/>
  <c r="I126" i="13" s="1"/>
  <c r="D127" i="13"/>
  <c r="I127" i="13" s="1"/>
  <c r="D128" i="13"/>
  <c r="I128" i="13" s="1"/>
  <c r="E125" i="13"/>
  <c r="E126" i="13"/>
  <c r="E127" i="13"/>
  <c r="E128" i="13"/>
  <c r="F125" i="13"/>
  <c r="F126" i="13"/>
  <c r="F127" i="13"/>
  <c r="F128" i="13"/>
  <c r="H125" i="13"/>
  <c r="H126" i="13"/>
  <c r="H127" i="13"/>
  <c r="H128" i="13"/>
  <c r="D124" i="12"/>
  <c r="I124" i="12" s="1"/>
  <c r="D125" i="12"/>
  <c r="I125" i="12" s="1"/>
  <c r="D126" i="12"/>
  <c r="I126" i="12" s="1"/>
  <c r="E124" i="12"/>
  <c r="E125" i="12"/>
  <c r="E126" i="12"/>
  <c r="F124" i="12"/>
  <c r="F125" i="12"/>
  <c r="F126" i="12"/>
  <c r="H124" i="12"/>
  <c r="H125" i="12"/>
  <c r="H126" i="12"/>
  <c r="D119" i="11"/>
  <c r="I119" i="11" s="1"/>
  <c r="D120" i="11"/>
  <c r="I120" i="11" s="1"/>
  <c r="D121" i="11"/>
  <c r="I121" i="11" s="1"/>
  <c r="D122" i="11"/>
  <c r="E119" i="11"/>
  <c r="E120" i="11"/>
  <c r="E121" i="11"/>
  <c r="E122" i="11"/>
  <c r="F119" i="11"/>
  <c r="F120" i="11"/>
  <c r="F121" i="11"/>
  <c r="F122" i="11"/>
  <c r="H119" i="11"/>
  <c r="H120" i="11"/>
  <c r="H121" i="11"/>
  <c r="H122" i="11"/>
  <c r="I122" i="11"/>
  <c r="D124" i="10"/>
  <c r="I124" i="10" s="1"/>
  <c r="D125" i="10"/>
  <c r="I125" i="10" s="1"/>
  <c r="D126" i="10"/>
  <c r="I126" i="10" s="1"/>
  <c r="D127" i="10"/>
  <c r="I127" i="10" s="1"/>
  <c r="E124" i="10"/>
  <c r="E125" i="10"/>
  <c r="E126" i="10"/>
  <c r="E127" i="10"/>
  <c r="F124" i="10"/>
  <c r="F125" i="10"/>
  <c r="F126" i="10"/>
  <c r="F127" i="10"/>
  <c r="H124" i="10"/>
  <c r="H125" i="10"/>
  <c r="H126" i="10"/>
  <c r="H127" i="10"/>
  <c r="H127" i="9"/>
  <c r="H126" i="9"/>
  <c r="H125" i="9"/>
  <c r="H124" i="9"/>
  <c r="F127" i="9"/>
  <c r="F126" i="9"/>
  <c r="F125" i="9"/>
  <c r="F124" i="9"/>
  <c r="E127" i="9"/>
  <c r="E126" i="9"/>
  <c r="E125" i="9"/>
  <c r="E124" i="9"/>
  <c r="D127" i="9"/>
  <c r="I127" i="9" s="1"/>
  <c r="D126" i="9"/>
  <c r="I126" i="9" s="1"/>
  <c r="D125" i="9"/>
  <c r="I125" i="9" s="1"/>
  <c r="D124" i="9"/>
  <c r="I124" i="9" s="1"/>
  <c r="H128" i="8"/>
  <c r="H127" i="8"/>
  <c r="H126" i="8"/>
  <c r="H125" i="8"/>
  <c r="F128" i="8"/>
  <c r="F127" i="8"/>
  <c r="F126" i="8"/>
  <c r="F125" i="8"/>
  <c r="E128" i="8"/>
  <c r="E127" i="8"/>
  <c r="E126" i="8"/>
  <c r="E125" i="8"/>
  <c r="D128" i="8"/>
  <c r="I128" i="8" s="1"/>
  <c r="D127" i="8"/>
  <c r="I127" i="8" s="1"/>
  <c r="D126" i="8"/>
  <c r="I126" i="8" s="1"/>
  <c r="D125" i="8"/>
  <c r="I125" i="8" s="1"/>
  <c r="D125" i="7"/>
  <c r="I125" i="7" s="1"/>
  <c r="D126" i="7"/>
  <c r="I126" i="7" s="1"/>
  <c r="D127" i="7"/>
  <c r="I127" i="7" s="1"/>
  <c r="E125" i="7"/>
  <c r="E126" i="7"/>
  <c r="E127" i="7"/>
  <c r="F125" i="7"/>
  <c r="F126" i="7"/>
  <c r="F127" i="7"/>
  <c r="H125" i="7"/>
  <c r="H126" i="7"/>
  <c r="H127" i="7"/>
  <c r="D124" i="6"/>
  <c r="I124" i="6" s="1"/>
  <c r="D125" i="6"/>
  <c r="I125" i="6" s="1"/>
  <c r="D126" i="6"/>
  <c r="I126" i="6" s="1"/>
  <c r="D127" i="6"/>
  <c r="I127" i="6" s="1"/>
  <c r="E124" i="6"/>
  <c r="E125" i="6"/>
  <c r="E126" i="6"/>
  <c r="E127" i="6"/>
  <c r="F124" i="6"/>
  <c r="F125" i="6"/>
  <c r="F126" i="6"/>
  <c r="F127" i="6"/>
  <c r="H124" i="6"/>
  <c r="H125" i="6"/>
  <c r="H126" i="6"/>
  <c r="H127" i="6"/>
  <c r="D119" i="5"/>
  <c r="I119" i="5" s="1"/>
  <c r="D120" i="5"/>
  <c r="I120" i="5" s="1"/>
  <c r="D121" i="5"/>
  <c r="I121" i="5" s="1"/>
  <c r="D122" i="5"/>
  <c r="I122" i="5" s="1"/>
  <c r="E119" i="5"/>
  <c r="E120" i="5"/>
  <c r="E121" i="5"/>
  <c r="E122" i="5"/>
  <c r="F119" i="5"/>
  <c r="F120" i="5"/>
  <c r="F121" i="5"/>
  <c r="F122" i="5"/>
  <c r="H119" i="5"/>
  <c r="H120" i="5"/>
  <c r="H121" i="5"/>
  <c r="H122" i="5"/>
  <c r="D119" i="4"/>
  <c r="I119" i="4" s="1"/>
  <c r="D120" i="4"/>
  <c r="I120" i="4" s="1"/>
  <c r="D121" i="4"/>
  <c r="I121" i="4" s="1"/>
  <c r="D122" i="4"/>
  <c r="I122" i="4" s="1"/>
  <c r="E119" i="4"/>
  <c r="E120" i="4"/>
  <c r="E121" i="4"/>
  <c r="E122" i="4"/>
  <c r="F119" i="4"/>
  <c r="F120" i="4"/>
  <c r="F121" i="4"/>
  <c r="F122" i="4"/>
  <c r="H119" i="4"/>
  <c r="H120" i="4"/>
  <c r="H121" i="4"/>
  <c r="H122" i="4"/>
  <c r="D119" i="3"/>
  <c r="I119" i="3" s="1"/>
  <c r="D120" i="3"/>
  <c r="I120" i="3" s="1"/>
  <c r="D121" i="3"/>
  <c r="I121" i="3" s="1"/>
  <c r="D122" i="3"/>
  <c r="I122" i="3" s="1"/>
  <c r="E119" i="3"/>
  <c r="E120" i="3"/>
  <c r="E121" i="3"/>
  <c r="E122" i="3"/>
  <c r="F119" i="3"/>
  <c r="F120" i="3"/>
  <c r="F121" i="3"/>
  <c r="F122" i="3"/>
  <c r="H119" i="3"/>
  <c r="H120" i="3"/>
  <c r="H121" i="3"/>
  <c r="H122" i="3"/>
  <c r="D124" i="1"/>
  <c r="I124" i="1" s="1"/>
  <c r="D125" i="1"/>
  <c r="I125" i="1" s="1"/>
  <c r="D126" i="1"/>
  <c r="I126" i="1" s="1"/>
  <c r="D127" i="1"/>
  <c r="I127" i="1" s="1"/>
  <c r="E124" i="1"/>
  <c r="E125" i="1"/>
  <c r="E126" i="1"/>
  <c r="E127" i="1"/>
  <c r="F124" i="1"/>
  <c r="F125" i="1"/>
  <c r="F126" i="1"/>
  <c r="F127" i="1"/>
  <c r="H124" i="1"/>
  <c r="H125" i="1"/>
  <c r="H126" i="1"/>
  <c r="H127" i="1"/>
  <c r="D124" i="23"/>
  <c r="I124" i="23" s="1"/>
  <c r="E124" i="23"/>
  <c r="F124" i="23"/>
  <c r="H124" i="23"/>
  <c r="D124" i="21"/>
  <c r="I124" i="21" s="1"/>
  <c r="E124" i="21"/>
  <c r="F124" i="21"/>
  <c r="H124" i="21"/>
  <c r="D115" i="20"/>
  <c r="I115" i="20" s="1"/>
  <c r="E115" i="20"/>
  <c r="F115" i="20"/>
  <c r="H115" i="20"/>
  <c r="D122" i="19"/>
  <c r="I122" i="19" s="1"/>
  <c r="E122" i="19"/>
  <c r="F122" i="19"/>
  <c r="H122" i="19"/>
  <c r="D117" i="18"/>
  <c r="I117" i="18" s="1"/>
  <c r="E117" i="18"/>
  <c r="F117" i="18"/>
  <c r="H117" i="18"/>
  <c r="D123" i="16"/>
  <c r="I123" i="16" s="1"/>
  <c r="E123" i="16"/>
  <c r="F123" i="16"/>
  <c r="H123" i="16"/>
  <c r="D115" i="17"/>
  <c r="I115" i="17" s="1"/>
  <c r="E115" i="17"/>
  <c r="F115" i="17"/>
  <c r="H115" i="17"/>
  <c r="D118" i="14"/>
  <c r="I118" i="14" s="1"/>
  <c r="E118" i="14"/>
  <c r="F118" i="14"/>
  <c r="H118" i="14"/>
  <c r="D124" i="13"/>
  <c r="I124" i="13" s="1"/>
  <c r="E124" i="13"/>
  <c r="F124" i="13"/>
  <c r="H124" i="13"/>
  <c r="D123" i="12"/>
  <c r="I123" i="12" s="1"/>
  <c r="E123" i="12"/>
  <c r="F123" i="12"/>
  <c r="H123" i="12"/>
  <c r="D118" i="11"/>
  <c r="I118" i="11" s="1"/>
  <c r="E118" i="11"/>
  <c r="F118" i="11"/>
  <c r="H118" i="11"/>
  <c r="D123" i="10"/>
  <c r="I123" i="10" s="1"/>
  <c r="E123" i="10"/>
  <c r="F123" i="10"/>
  <c r="H123" i="10"/>
  <c r="D123" i="9"/>
  <c r="I123" i="9" s="1"/>
  <c r="E123" i="9"/>
  <c r="F123" i="9"/>
  <c r="H123" i="9"/>
  <c r="D124" i="8"/>
  <c r="I124" i="8" s="1"/>
  <c r="E124" i="8"/>
  <c r="F124" i="8"/>
  <c r="H124" i="8"/>
  <c r="D124" i="7"/>
  <c r="I124" i="7" s="1"/>
  <c r="E124" i="7"/>
  <c r="F124" i="7"/>
  <c r="H124" i="7"/>
  <c r="D123" i="6"/>
  <c r="I123" i="6" s="1"/>
  <c r="E123" i="6"/>
  <c r="F123" i="6"/>
  <c r="H123" i="6"/>
  <c r="D118" i="5"/>
  <c r="I118" i="5" s="1"/>
  <c r="E118" i="5"/>
  <c r="F118" i="5"/>
  <c r="H118" i="5"/>
  <c r="D118" i="4"/>
  <c r="I118" i="4" s="1"/>
  <c r="E118" i="4"/>
  <c r="F118" i="4"/>
  <c r="H118" i="4"/>
  <c r="D118" i="3"/>
  <c r="I118" i="3" s="1"/>
  <c r="E118" i="3"/>
  <c r="F118" i="3"/>
  <c r="H118" i="3"/>
  <c r="D123" i="1"/>
  <c r="I123" i="1" s="1"/>
  <c r="E123" i="1"/>
  <c r="F123" i="1"/>
  <c r="H123" i="1"/>
  <c r="D77" i="1"/>
  <c r="I77" i="1" s="1"/>
  <c r="E77" i="1"/>
  <c r="F77" i="1"/>
  <c r="H77" i="1"/>
  <c r="D78" i="1"/>
  <c r="I78" i="1" s="1"/>
  <c r="E78" i="1"/>
  <c r="F78" i="1"/>
  <c r="H78" i="1"/>
  <c r="D79" i="1"/>
  <c r="I79" i="1" s="1"/>
  <c r="E79" i="1"/>
  <c r="F79" i="1"/>
  <c r="H79" i="1"/>
  <c r="D80" i="1"/>
  <c r="I80" i="1" s="1"/>
  <c r="E80" i="1"/>
  <c r="F80" i="1"/>
  <c r="H80" i="1"/>
  <c r="D81" i="1"/>
  <c r="I81" i="1" s="1"/>
  <c r="E81" i="1"/>
  <c r="F81" i="1"/>
  <c r="H81" i="1"/>
  <c r="D82" i="1"/>
  <c r="I82" i="1" s="1"/>
  <c r="E82" i="1"/>
  <c r="F82" i="1"/>
  <c r="H82" i="1"/>
  <c r="D83" i="1"/>
  <c r="I83" i="1" s="1"/>
  <c r="E83" i="1"/>
  <c r="F83" i="1"/>
  <c r="H83" i="1"/>
  <c r="D84" i="1"/>
  <c r="I84" i="1" s="1"/>
  <c r="E84" i="1"/>
  <c r="F84" i="1"/>
  <c r="H84" i="1"/>
  <c r="D85" i="1"/>
  <c r="I85" i="1" s="1"/>
  <c r="E85" i="1"/>
  <c r="F85" i="1"/>
  <c r="H85" i="1"/>
  <c r="D86" i="1"/>
  <c r="I86" i="1" s="1"/>
  <c r="E86" i="1"/>
  <c r="F86" i="1"/>
  <c r="H86" i="1"/>
  <c r="D87" i="1"/>
  <c r="I87" i="1" s="1"/>
  <c r="E87" i="1"/>
  <c r="F87" i="1"/>
  <c r="H87" i="1"/>
  <c r="D88" i="1"/>
  <c r="I88" i="1" s="1"/>
  <c r="E88" i="1"/>
  <c r="F88" i="1"/>
  <c r="H88" i="1"/>
  <c r="D89" i="1"/>
  <c r="I89" i="1" s="1"/>
  <c r="E89" i="1"/>
  <c r="F89" i="1"/>
  <c r="H89" i="1"/>
  <c r="D90" i="1"/>
  <c r="I90" i="1" s="1"/>
  <c r="E90" i="1"/>
  <c r="F90" i="1"/>
  <c r="H90" i="1"/>
  <c r="D91" i="1"/>
  <c r="I91" i="1" s="1"/>
  <c r="E91" i="1"/>
  <c r="F91" i="1"/>
  <c r="H91" i="1"/>
  <c r="D92" i="1"/>
  <c r="I92" i="1" s="1"/>
  <c r="E92" i="1"/>
  <c r="F92" i="1"/>
  <c r="H92" i="1"/>
  <c r="D93" i="1"/>
  <c r="I93" i="1" s="1"/>
  <c r="E93" i="1"/>
  <c r="F93" i="1"/>
  <c r="H93" i="1"/>
  <c r="D94" i="1"/>
  <c r="I94" i="1" s="1"/>
  <c r="E94" i="1"/>
  <c r="F94" i="1"/>
  <c r="H94" i="1"/>
  <c r="D95" i="1"/>
  <c r="I95" i="1" s="1"/>
  <c r="E95" i="1"/>
  <c r="F95" i="1"/>
  <c r="H95" i="1"/>
  <c r="D96" i="1"/>
  <c r="I96" i="1" s="1"/>
  <c r="E96" i="1"/>
  <c r="F96" i="1"/>
  <c r="H96" i="1"/>
  <c r="D97" i="1"/>
  <c r="I97" i="1" s="1"/>
  <c r="E97" i="1"/>
  <c r="F97" i="1"/>
  <c r="H97" i="1"/>
  <c r="D98" i="1"/>
  <c r="I98" i="1" s="1"/>
  <c r="E98" i="1"/>
  <c r="F98" i="1"/>
  <c r="H98" i="1"/>
  <c r="D99" i="1"/>
  <c r="I99" i="1" s="1"/>
  <c r="E99" i="1"/>
  <c r="F99" i="1"/>
  <c r="H99" i="1"/>
  <c r="D100" i="1"/>
  <c r="I100" i="1" s="1"/>
  <c r="E100" i="1"/>
  <c r="F100" i="1"/>
  <c r="H100" i="1"/>
  <c r="D101" i="1"/>
  <c r="I101" i="1" s="1"/>
  <c r="E101" i="1"/>
  <c r="F101" i="1"/>
  <c r="H101" i="1"/>
  <c r="D102" i="1"/>
  <c r="I102" i="1" s="1"/>
  <c r="E102" i="1"/>
  <c r="F102" i="1"/>
  <c r="H102" i="1"/>
  <c r="D103" i="1"/>
  <c r="I103" i="1" s="1"/>
  <c r="E103" i="1"/>
  <c r="F103" i="1"/>
  <c r="H103" i="1"/>
  <c r="D104" i="1"/>
  <c r="I104" i="1" s="1"/>
  <c r="E104" i="1"/>
  <c r="F104" i="1"/>
  <c r="H104" i="1"/>
  <c r="D105" i="1"/>
  <c r="I105" i="1" s="1"/>
  <c r="E105" i="1"/>
  <c r="F105" i="1"/>
  <c r="H105" i="1"/>
  <c r="D106" i="1"/>
  <c r="I106" i="1" s="1"/>
  <c r="E106" i="1"/>
  <c r="F106" i="1"/>
  <c r="H106" i="1"/>
  <c r="D107" i="1"/>
  <c r="I107" i="1" s="1"/>
  <c r="E107" i="1"/>
  <c r="F107" i="1"/>
  <c r="H107" i="1"/>
  <c r="D108" i="1"/>
  <c r="I108" i="1" s="1"/>
  <c r="E108" i="1"/>
  <c r="F108" i="1"/>
  <c r="H108" i="1"/>
  <c r="D109" i="1"/>
  <c r="I109" i="1" s="1"/>
  <c r="E109" i="1"/>
  <c r="F109" i="1"/>
  <c r="H109" i="1"/>
  <c r="D110" i="1"/>
  <c r="I110" i="1" s="1"/>
  <c r="E110" i="1"/>
  <c r="F110" i="1"/>
  <c r="H110" i="1"/>
  <c r="D111" i="1"/>
  <c r="I111" i="1" s="1"/>
  <c r="E111" i="1"/>
  <c r="F111" i="1"/>
  <c r="H111" i="1"/>
  <c r="D112" i="1"/>
  <c r="I112" i="1" s="1"/>
  <c r="E112" i="1"/>
  <c r="F112" i="1"/>
  <c r="H112" i="1"/>
  <c r="D113" i="1"/>
  <c r="I113" i="1" s="1"/>
  <c r="E113" i="1"/>
  <c r="F113" i="1"/>
  <c r="H113" i="1"/>
  <c r="D114" i="1"/>
  <c r="I114" i="1" s="1"/>
  <c r="E114" i="1"/>
  <c r="F114" i="1"/>
  <c r="H114" i="1"/>
  <c r="D115" i="1"/>
  <c r="I115" i="1" s="1"/>
  <c r="E115" i="1"/>
  <c r="F115" i="1"/>
  <c r="H115" i="1"/>
  <c r="D116" i="1"/>
  <c r="I116" i="1" s="1"/>
  <c r="E116" i="1"/>
  <c r="F116" i="1"/>
  <c r="H116" i="1"/>
  <c r="D117" i="1"/>
  <c r="I117" i="1" s="1"/>
  <c r="E117" i="1"/>
  <c r="F117" i="1"/>
  <c r="H117" i="1"/>
  <c r="D118" i="1"/>
  <c r="I118" i="1" s="1"/>
  <c r="E118" i="1"/>
  <c r="F118" i="1"/>
  <c r="H118" i="1"/>
  <c r="D119" i="1"/>
  <c r="I119" i="1" s="1"/>
  <c r="E119" i="1"/>
  <c r="F119" i="1"/>
  <c r="H119" i="1"/>
  <c r="D120" i="1"/>
  <c r="I120" i="1" s="1"/>
  <c r="E120" i="1"/>
  <c r="F120" i="1"/>
  <c r="H120" i="1"/>
  <c r="D121" i="1"/>
  <c r="I121" i="1" s="1"/>
  <c r="E121" i="1"/>
  <c r="F121" i="1"/>
  <c r="H121" i="1"/>
  <c r="D122" i="1"/>
  <c r="I122" i="1" s="1"/>
  <c r="E122" i="1"/>
  <c r="F122" i="1"/>
  <c r="H122" i="1"/>
  <c r="D123" i="23"/>
  <c r="I123" i="23" s="1"/>
  <c r="E123" i="23"/>
  <c r="F123" i="23"/>
  <c r="H123" i="23"/>
  <c r="D123" i="21"/>
  <c r="I123" i="21" s="1"/>
  <c r="E123" i="21"/>
  <c r="F123" i="21"/>
  <c r="H123" i="21"/>
  <c r="D114" i="20"/>
  <c r="I114" i="20" s="1"/>
  <c r="E114" i="20"/>
  <c r="F114" i="20"/>
  <c r="H114" i="20"/>
  <c r="D121" i="19"/>
  <c r="I121" i="19" s="1"/>
  <c r="E121" i="19"/>
  <c r="F121" i="19"/>
  <c r="H121" i="19"/>
  <c r="D116" i="18"/>
  <c r="I116" i="18" s="1"/>
  <c r="E116" i="18"/>
  <c r="F116" i="18"/>
  <c r="H116" i="18"/>
  <c r="D122" i="16"/>
  <c r="I122" i="16" s="1"/>
  <c r="E122" i="16"/>
  <c r="F122" i="16"/>
  <c r="H122" i="16"/>
  <c r="D114" i="17"/>
  <c r="I114" i="17" s="1"/>
  <c r="E114" i="17"/>
  <c r="F114" i="17"/>
  <c r="H114" i="17"/>
  <c r="D117" i="14"/>
  <c r="I117" i="14" s="1"/>
  <c r="E117" i="14"/>
  <c r="F117" i="14"/>
  <c r="H117" i="14"/>
  <c r="D123" i="13"/>
  <c r="I123" i="13" s="1"/>
  <c r="E123" i="13"/>
  <c r="F123" i="13"/>
  <c r="H123" i="13"/>
  <c r="D122" i="12"/>
  <c r="I122" i="12" s="1"/>
  <c r="E122" i="12"/>
  <c r="F122" i="12"/>
  <c r="H122" i="12"/>
  <c r="D117" i="11"/>
  <c r="I117" i="11" s="1"/>
  <c r="E117" i="11"/>
  <c r="F117" i="11"/>
  <c r="H117" i="11"/>
  <c r="D122" i="10"/>
  <c r="I122" i="10" s="1"/>
  <c r="E122" i="10"/>
  <c r="F122" i="10"/>
  <c r="H122" i="10"/>
  <c r="D122" i="9"/>
  <c r="I122" i="9" s="1"/>
  <c r="E122" i="9"/>
  <c r="F122" i="9"/>
  <c r="H122" i="9"/>
  <c r="D123" i="8"/>
  <c r="I123" i="8" s="1"/>
  <c r="E123" i="8"/>
  <c r="F123" i="8"/>
  <c r="H123" i="8"/>
  <c r="D123" i="7"/>
  <c r="I123" i="7" s="1"/>
  <c r="E123" i="7"/>
  <c r="F123" i="7"/>
  <c r="H123" i="7"/>
  <c r="D122" i="6"/>
  <c r="I122" i="6" s="1"/>
  <c r="E122" i="6"/>
  <c r="F122" i="6"/>
  <c r="H122" i="6"/>
  <c r="D117" i="5"/>
  <c r="I117" i="5" s="1"/>
  <c r="E117" i="5"/>
  <c r="F117" i="5"/>
  <c r="H117" i="5"/>
  <c r="D117" i="4"/>
  <c r="I117" i="4" s="1"/>
  <c r="E117" i="4"/>
  <c r="F117" i="4"/>
  <c r="H117" i="4"/>
  <c r="D117" i="3"/>
  <c r="I117" i="3" s="1"/>
  <c r="E117" i="3"/>
  <c r="F117" i="3"/>
  <c r="H117" i="3"/>
  <c r="G145" i="23" l="1"/>
  <c r="G144" i="23"/>
  <c r="G143" i="23"/>
  <c r="G146" i="23"/>
  <c r="G143" i="21"/>
  <c r="G146" i="21"/>
  <c r="G145" i="21"/>
  <c r="G144" i="21"/>
  <c r="G140" i="21"/>
  <c r="G142" i="19"/>
  <c r="G145" i="19"/>
  <c r="G144" i="19"/>
  <c r="G134" i="18"/>
  <c r="G137" i="18"/>
  <c r="G135" i="18"/>
  <c r="G139" i="16"/>
  <c r="G143" i="16"/>
  <c r="G145" i="16"/>
  <c r="G142" i="16"/>
  <c r="G74" i="15"/>
  <c r="G72" i="15"/>
  <c r="G139" i="14"/>
  <c r="L3" i="14"/>
  <c r="G144" i="13"/>
  <c r="G143" i="13"/>
  <c r="G139" i="12"/>
  <c r="G142" i="12"/>
  <c r="G139" i="11"/>
  <c r="G141" i="10"/>
  <c r="G146" i="10"/>
  <c r="G145" i="9"/>
  <c r="G142" i="9"/>
  <c r="G141" i="8"/>
  <c r="G145" i="8"/>
  <c r="G143" i="8"/>
  <c r="G146" i="8"/>
  <c r="G143" i="7"/>
  <c r="G144" i="7"/>
  <c r="G145" i="7"/>
  <c r="G142" i="6"/>
  <c r="G145" i="6"/>
  <c r="G144" i="6"/>
  <c r="G137" i="5"/>
  <c r="G136" i="5"/>
  <c r="G135" i="5"/>
  <c r="G136" i="4"/>
  <c r="G138" i="4"/>
  <c r="G135" i="4"/>
  <c r="G137" i="3"/>
  <c r="G145" i="1"/>
  <c r="G143" i="1"/>
  <c r="G146" i="1"/>
  <c r="G133" i="1"/>
  <c r="G144" i="1"/>
  <c r="G142" i="23"/>
  <c r="G133" i="22"/>
  <c r="G141" i="21"/>
  <c r="G132" i="20"/>
  <c r="G139" i="19"/>
  <c r="G140" i="19"/>
  <c r="G138" i="18"/>
  <c r="G140" i="16"/>
  <c r="G142" i="13"/>
  <c r="G138" i="12"/>
  <c r="G142" i="10"/>
  <c r="G141" i="9"/>
  <c r="G141" i="7"/>
  <c r="G141" i="6"/>
  <c r="G134" i="5"/>
  <c r="G134" i="4"/>
  <c r="G136" i="3"/>
  <c r="G142" i="1"/>
  <c r="G141" i="23"/>
  <c r="G131" i="22"/>
  <c r="G132" i="22"/>
  <c r="G122" i="22"/>
  <c r="G131" i="20"/>
  <c r="G133" i="18"/>
  <c r="G131" i="17"/>
  <c r="G71" i="15"/>
  <c r="G141" i="13"/>
  <c r="G133" i="12"/>
  <c r="G134" i="11"/>
  <c r="G132" i="11"/>
  <c r="G130" i="11"/>
  <c r="G140" i="10"/>
  <c r="G135" i="9"/>
  <c r="G139" i="9"/>
  <c r="G140" i="9"/>
  <c r="G140" i="7"/>
  <c r="G140" i="6"/>
  <c r="G132" i="5"/>
  <c r="G133" i="5"/>
  <c r="G133" i="4"/>
  <c r="G134" i="3"/>
  <c r="G135" i="3"/>
  <c r="G141" i="1"/>
  <c r="G140" i="23"/>
  <c r="G135" i="23"/>
  <c r="G125" i="23"/>
  <c r="G125" i="22"/>
  <c r="G126" i="22"/>
  <c r="G133" i="21"/>
  <c r="G136" i="21"/>
  <c r="G139" i="21"/>
  <c r="G130" i="20"/>
  <c r="G125" i="20"/>
  <c r="G132" i="18"/>
  <c r="G129" i="18"/>
  <c r="G130" i="18"/>
  <c r="G129" i="17"/>
  <c r="G125" i="17"/>
  <c r="G130" i="17"/>
  <c r="G138" i="16"/>
  <c r="G69" i="15"/>
  <c r="G64" i="15"/>
  <c r="G70" i="15"/>
  <c r="G130" i="14"/>
  <c r="G132" i="14"/>
  <c r="G124" i="14"/>
  <c r="G126" i="14"/>
  <c r="G140" i="13"/>
  <c r="G139" i="13"/>
  <c r="G137" i="12"/>
  <c r="G121" i="11"/>
  <c r="G139" i="10"/>
  <c r="G138" i="9"/>
  <c r="G134" i="9"/>
  <c r="G132" i="9"/>
  <c r="G140" i="8"/>
  <c r="G134" i="8"/>
  <c r="G139" i="7"/>
  <c r="G137" i="7"/>
  <c r="G139" i="6"/>
  <c r="G130" i="5"/>
  <c r="G132" i="4"/>
  <c r="G140" i="1"/>
  <c r="G138" i="1"/>
  <c r="G138" i="23"/>
  <c r="G139" i="23"/>
  <c r="G128" i="22"/>
  <c r="G127" i="20"/>
  <c r="G129" i="20"/>
  <c r="G137" i="19"/>
  <c r="G135" i="19"/>
  <c r="G118" i="18"/>
  <c r="G128" i="18"/>
  <c r="G127" i="18"/>
  <c r="G126" i="17"/>
  <c r="G135" i="16"/>
  <c r="G125" i="16"/>
  <c r="G68" i="15"/>
  <c r="G131" i="14"/>
  <c r="G129" i="14"/>
  <c r="G134" i="13"/>
  <c r="G131" i="11"/>
  <c r="G138" i="10"/>
  <c r="G139" i="8"/>
  <c r="G133" i="8"/>
  <c r="G132" i="8"/>
  <c r="G137" i="8"/>
  <c r="G132" i="7"/>
  <c r="G138" i="7"/>
  <c r="G132" i="6"/>
  <c r="G133" i="6"/>
  <c r="G138" i="6"/>
  <c r="G131" i="5"/>
  <c r="G126" i="5"/>
  <c r="G129" i="4"/>
  <c r="G127" i="4"/>
  <c r="G131" i="4"/>
  <c r="G127" i="3"/>
  <c r="G133" i="3"/>
  <c r="G139" i="1"/>
  <c r="G135" i="1"/>
  <c r="G134" i="1"/>
  <c r="G134" i="23"/>
  <c r="G130" i="22"/>
  <c r="G138" i="21"/>
  <c r="G124" i="20"/>
  <c r="G117" i="20"/>
  <c r="G122" i="20"/>
  <c r="G133" i="19"/>
  <c r="G136" i="19"/>
  <c r="G126" i="18"/>
  <c r="G137" i="16"/>
  <c r="G134" i="16"/>
  <c r="G127" i="17"/>
  <c r="G124" i="17"/>
  <c r="G128" i="17"/>
  <c r="G125" i="14"/>
  <c r="G127" i="14"/>
  <c r="G128" i="14"/>
  <c r="G138" i="13"/>
  <c r="G132" i="13"/>
  <c r="G135" i="13"/>
  <c r="G136" i="12"/>
  <c r="G127" i="11"/>
  <c r="G137" i="10"/>
  <c r="G134" i="10"/>
  <c r="G137" i="9"/>
  <c r="G131" i="9"/>
  <c r="G136" i="9"/>
  <c r="G136" i="8"/>
  <c r="G135" i="8"/>
  <c r="G138" i="8"/>
  <c r="G130" i="7"/>
  <c r="G133" i="7"/>
  <c r="G135" i="7"/>
  <c r="G136" i="7"/>
  <c r="G135" i="6"/>
  <c r="G136" i="6"/>
  <c r="G134" i="6"/>
  <c r="G137" i="6"/>
  <c r="G128" i="4"/>
  <c r="G132" i="3"/>
  <c r="G128" i="3"/>
  <c r="G137" i="1"/>
  <c r="G136" i="23"/>
  <c r="G137" i="23"/>
  <c r="G135" i="21"/>
  <c r="G134" i="21"/>
  <c r="G137" i="21"/>
  <c r="G132" i="21"/>
  <c r="G121" i="20"/>
  <c r="G119" i="20"/>
  <c r="G134" i="19"/>
  <c r="G132" i="19"/>
  <c r="G123" i="19"/>
  <c r="G131" i="18"/>
  <c r="G125" i="18"/>
  <c r="G124" i="18"/>
  <c r="G123" i="17"/>
  <c r="G118" i="17"/>
  <c r="G133" i="16"/>
  <c r="G136" i="16"/>
  <c r="G120" i="14"/>
  <c r="G133" i="13"/>
  <c r="G137" i="13"/>
  <c r="G136" i="13"/>
  <c r="G132" i="12"/>
  <c r="G135" i="12"/>
  <c r="G129" i="11"/>
  <c r="G135" i="10"/>
  <c r="G133" i="10"/>
  <c r="G131" i="10"/>
  <c r="G132" i="10"/>
  <c r="G136" i="10"/>
  <c r="G133" i="9"/>
  <c r="G129" i="8"/>
  <c r="G134" i="7"/>
  <c r="G127" i="5"/>
  <c r="G125" i="5"/>
  <c r="G128" i="5"/>
  <c r="G130" i="4"/>
  <c r="G130" i="3"/>
  <c r="G129" i="3"/>
  <c r="G131" i="3"/>
  <c r="G136" i="1"/>
  <c r="K23" i="1"/>
  <c r="V2" i="24" s="1"/>
  <c r="L23" i="1"/>
  <c r="W2" i="24" s="1"/>
  <c r="M23" i="1"/>
  <c r="X2" i="24" s="1"/>
  <c r="G131" i="1"/>
  <c r="N23" i="1"/>
  <c r="Y2" i="24" s="1"/>
  <c r="G129" i="5"/>
  <c r="G133" i="23"/>
  <c r="G121" i="22"/>
  <c r="G131" i="21"/>
  <c r="G123" i="21"/>
  <c r="G128" i="20"/>
  <c r="G123" i="20"/>
  <c r="G130" i="19"/>
  <c r="G131" i="19"/>
  <c r="G122" i="17"/>
  <c r="G121" i="17"/>
  <c r="G132" i="16"/>
  <c r="G131" i="16"/>
  <c r="G65" i="15"/>
  <c r="G128" i="11"/>
  <c r="G126" i="11"/>
  <c r="G124" i="11"/>
  <c r="G126" i="12"/>
  <c r="G129" i="12"/>
  <c r="G131" i="12"/>
  <c r="G130" i="10"/>
  <c r="G128" i="7"/>
  <c r="G131" i="7"/>
  <c r="G131" i="6"/>
  <c r="G129" i="6"/>
  <c r="G130" i="6"/>
  <c r="G124" i="5"/>
  <c r="G123" i="5"/>
  <c r="G125" i="4"/>
  <c r="G126" i="4"/>
  <c r="G132" i="1"/>
  <c r="G124" i="23"/>
  <c r="G132" i="23"/>
  <c r="G131" i="23"/>
  <c r="G118" i="22"/>
  <c r="G124" i="19"/>
  <c r="G129" i="19"/>
  <c r="G120" i="18"/>
  <c r="G119" i="18"/>
  <c r="G123" i="18"/>
  <c r="G130" i="16"/>
  <c r="G128" i="16"/>
  <c r="G129" i="16"/>
  <c r="G120" i="17"/>
  <c r="G119" i="14"/>
  <c r="G131" i="13"/>
  <c r="G126" i="13"/>
  <c r="G130" i="12"/>
  <c r="G125" i="11"/>
  <c r="G130" i="9"/>
  <c r="G131" i="8"/>
  <c r="G121" i="5"/>
  <c r="G124" i="4"/>
  <c r="G126" i="3"/>
  <c r="G121" i="3"/>
  <c r="G130" i="1"/>
  <c r="G128" i="1"/>
  <c r="G126" i="1"/>
  <c r="G130" i="23"/>
  <c r="G123" i="22"/>
  <c r="G124" i="22"/>
  <c r="G119" i="22"/>
  <c r="G130" i="21"/>
  <c r="G127" i="21"/>
  <c r="G126" i="21"/>
  <c r="G128" i="21"/>
  <c r="G118" i="20"/>
  <c r="G128" i="19"/>
  <c r="G119" i="17"/>
  <c r="G130" i="13"/>
  <c r="G129" i="13"/>
  <c r="G127" i="12"/>
  <c r="G128" i="12"/>
  <c r="G117" i="11"/>
  <c r="G123" i="11"/>
  <c r="G125" i="10"/>
  <c r="G129" i="10"/>
  <c r="G129" i="9"/>
  <c r="G130" i="8"/>
  <c r="G129" i="7"/>
  <c r="G120" i="5"/>
  <c r="G125" i="3"/>
  <c r="G124" i="3"/>
  <c r="G123" i="3"/>
  <c r="G121" i="1"/>
  <c r="G113" i="1"/>
  <c r="G129" i="1"/>
  <c r="G125" i="1"/>
  <c r="G126" i="23"/>
  <c r="G129" i="23"/>
  <c r="G117" i="22"/>
  <c r="G129" i="21"/>
  <c r="G120" i="20"/>
  <c r="G127" i="19"/>
  <c r="G125" i="19"/>
  <c r="G122" i="18"/>
  <c r="G124" i="16"/>
  <c r="G123" i="14"/>
  <c r="G121" i="14"/>
  <c r="G123" i="13"/>
  <c r="G125" i="12"/>
  <c r="G123" i="12"/>
  <c r="G119" i="11"/>
  <c r="G128" i="10"/>
  <c r="G126" i="10"/>
  <c r="G128" i="9"/>
  <c r="G128" i="8"/>
  <c r="G128" i="6"/>
  <c r="G125" i="6"/>
  <c r="G122" i="5"/>
  <c r="G123" i="4"/>
  <c r="G120" i="4"/>
  <c r="G118" i="4"/>
  <c r="G120" i="3"/>
  <c r="G127" i="1"/>
  <c r="G128" i="23"/>
  <c r="G127" i="23"/>
  <c r="G125" i="21"/>
  <c r="G116" i="20"/>
  <c r="G122" i="19"/>
  <c r="G126" i="19"/>
  <c r="G121" i="18"/>
  <c r="G127" i="16"/>
  <c r="G126" i="16"/>
  <c r="G117" i="17"/>
  <c r="G116" i="17"/>
  <c r="G67" i="15"/>
  <c r="G66" i="15"/>
  <c r="G118" i="14"/>
  <c r="G122" i="14"/>
  <c r="G125" i="13"/>
  <c r="G128" i="13"/>
  <c r="G127" i="13"/>
  <c r="G124" i="12"/>
  <c r="G122" i="12"/>
  <c r="G118" i="11"/>
  <c r="G120" i="11"/>
  <c r="G122" i="11"/>
  <c r="G124" i="10"/>
  <c r="G127" i="10"/>
  <c r="G125" i="9"/>
  <c r="G125" i="8"/>
  <c r="G124" i="8"/>
  <c r="G126" i="8"/>
  <c r="G127" i="8"/>
  <c r="G127" i="7"/>
  <c r="G126" i="7"/>
  <c r="G125" i="7"/>
  <c r="G127" i="6"/>
  <c r="G124" i="6"/>
  <c r="G126" i="6"/>
  <c r="G117" i="5"/>
  <c r="G119" i="5"/>
  <c r="G119" i="4"/>
  <c r="G122" i="4"/>
  <c r="G121" i="4"/>
  <c r="G119" i="3"/>
  <c r="G117" i="3"/>
  <c r="G122" i="3"/>
  <c r="G122" i="1"/>
  <c r="G94" i="1"/>
  <c r="G124" i="1"/>
  <c r="G82" i="1"/>
  <c r="G78" i="1"/>
  <c r="G123" i="1"/>
  <c r="G120" i="22"/>
  <c r="G124" i="21"/>
  <c r="G115" i="20"/>
  <c r="G114" i="20"/>
  <c r="G116" i="18"/>
  <c r="G117" i="18"/>
  <c r="G115" i="17"/>
  <c r="G123" i="16"/>
  <c r="G124" i="13"/>
  <c r="G123" i="10"/>
  <c r="G122" i="10"/>
  <c r="G124" i="9"/>
  <c r="G126" i="9"/>
  <c r="G127" i="9"/>
  <c r="G123" i="9"/>
  <c r="G123" i="7"/>
  <c r="G124" i="7"/>
  <c r="G123" i="6"/>
  <c r="G118" i="5"/>
  <c r="G118" i="3"/>
  <c r="G99" i="1"/>
  <c r="G97" i="1"/>
  <c r="G95" i="1"/>
  <c r="G93" i="1"/>
  <c r="G118" i="1"/>
  <c r="G108" i="1"/>
  <c r="G87" i="1"/>
  <c r="G83" i="1"/>
  <c r="G81" i="1"/>
  <c r="G105" i="1"/>
  <c r="G123" i="23"/>
  <c r="G121" i="19"/>
  <c r="G122" i="16"/>
  <c r="G114" i="17"/>
  <c r="G117" i="14"/>
  <c r="G122" i="9"/>
  <c r="G123" i="8"/>
  <c r="G122" i="6"/>
  <c r="G117" i="4"/>
  <c r="G114" i="1"/>
  <c r="G112" i="1"/>
  <c r="G103" i="1"/>
  <c r="G101" i="1"/>
  <c r="G80" i="1"/>
  <c r="G119" i="1"/>
  <c r="G117" i="1"/>
  <c r="G106" i="1"/>
  <c r="G89" i="1"/>
  <c r="G85" i="1"/>
  <c r="G111" i="1"/>
  <c r="G109" i="1"/>
  <c r="G100" i="1"/>
  <c r="G98" i="1"/>
  <c r="G120" i="1"/>
  <c r="G79" i="1"/>
  <c r="G77" i="1"/>
  <c r="G115" i="1"/>
  <c r="G110" i="1"/>
  <c r="G90" i="1"/>
  <c r="G102" i="1"/>
  <c r="G88" i="1"/>
  <c r="G107" i="1"/>
  <c r="G116" i="1"/>
  <c r="G96" i="1"/>
  <c r="G91" i="1"/>
  <c r="G86" i="1"/>
  <c r="G84" i="1"/>
  <c r="G104" i="1"/>
  <c r="G92" i="1"/>
  <c r="D122" i="23" l="1"/>
  <c r="I122" i="23" s="1"/>
  <c r="E122" i="23"/>
  <c r="F122" i="23"/>
  <c r="H122" i="23"/>
  <c r="D116" i="22"/>
  <c r="I116" i="22" s="1"/>
  <c r="E116" i="22"/>
  <c r="F116" i="22"/>
  <c r="H116" i="22"/>
  <c r="D122" i="21"/>
  <c r="I122" i="21" s="1"/>
  <c r="E122" i="21"/>
  <c r="F122" i="21"/>
  <c r="H122" i="21"/>
  <c r="D113" i="20"/>
  <c r="I113" i="20" s="1"/>
  <c r="E113" i="20"/>
  <c r="F113" i="20"/>
  <c r="H113" i="20"/>
  <c r="D115" i="18"/>
  <c r="I115" i="18" s="1"/>
  <c r="E115" i="18"/>
  <c r="F115" i="18"/>
  <c r="H115" i="18"/>
  <c r="D113" i="17"/>
  <c r="I113" i="17" s="1"/>
  <c r="E113" i="17"/>
  <c r="F113" i="17"/>
  <c r="H113" i="17"/>
  <c r="D121" i="16"/>
  <c r="I121" i="16" s="1"/>
  <c r="E121" i="16"/>
  <c r="F121" i="16"/>
  <c r="H121" i="16"/>
  <c r="D63" i="15"/>
  <c r="I63" i="15" s="1"/>
  <c r="E63" i="15"/>
  <c r="F63" i="15"/>
  <c r="H63" i="15"/>
  <c r="D116" i="14"/>
  <c r="I116" i="14" s="1"/>
  <c r="E116" i="14"/>
  <c r="F116" i="14"/>
  <c r="H116" i="14"/>
  <c r="D122" i="13"/>
  <c r="I122" i="13" s="1"/>
  <c r="E122" i="13"/>
  <c r="F122" i="13"/>
  <c r="H122" i="13"/>
  <c r="D121" i="12"/>
  <c r="I121" i="12" s="1"/>
  <c r="E121" i="12"/>
  <c r="F121" i="12"/>
  <c r="H121" i="12"/>
  <c r="D116" i="11"/>
  <c r="I116" i="11" s="1"/>
  <c r="E116" i="11"/>
  <c r="F116" i="11"/>
  <c r="H116" i="11"/>
  <c r="D122" i="8"/>
  <c r="I122" i="8" s="1"/>
  <c r="E122" i="8"/>
  <c r="F122" i="8"/>
  <c r="H122" i="8"/>
  <c r="D122" i="7"/>
  <c r="I122" i="7" s="1"/>
  <c r="E122" i="7"/>
  <c r="F122" i="7"/>
  <c r="H122" i="7"/>
  <c r="D121" i="6"/>
  <c r="I121" i="6" s="1"/>
  <c r="E121" i="6"/>
  <c r="F121" i="6"/>
  <c r="H121" i="6"/>
  <c r="D116" i="5"/>
  <c r="I116" i="5" s="1"/>
  <c r="E116" i="5"/>
  <c r="F116" i="5"/>
  <c r="H116" i="5"/>
  <c r="D116" i="4"/>
  <c r="I116" i="4" s="1"/>
  <c r="E116" i="4"/>
  <c r="F116" i="4"/>
  <c r="H116" i="4"/>
  <c r="D116" i="3"/>
  <c r="I116" i="3" s="1"/>
  <c r="E116" i="3"/>
  <c r="F116" i="3"/>
  <c r="H116" i="3"/>
  <c r="G116" i="14" l="1"/>
  <c r="G121" i="12"/>
  <c r="G113" i="17"/>
  <c r="G116" i="3"/>
  <c r="G122" i="21"/>
  <c r="G113" i="20"/>
  <c r="G115" i="18"/>
  <c r="G63" i="15"/>
  <c r="G116" i="5"/>
  <c r="G122" i="23"/>
  <c r="G116" i="22"/>
  <c r="G122" i="8"/>
  <c r="G122" i="7"/>
  <c r="G121" i="6"/>
  <c r="G116" i="4"/>
  <c r="G121" i="16"/>
  <c r="G122" i="13"/>
  <c r="G116" i="11"/>
  <c r="D121" i="23" l="1"/>
  <c r="I121" i="23" s="1"/>
  <c r="E121" i="23"/>
  <c r="F121" i="23"/>
  <c r="H121" i="23"/>
  <c r="D115" i="22"/>
  <c r="I115" i="22" s="1"/>
  <c r="E115" i="22"/>
  <c r="F115" i="22"/>
  <c r="H115" i="22"/>
  <c r="D121" i="21"/>
  <c r="I121" i="21" s="1"/>
  <c r="E121" i="21"/>
  <c r="F121" i="21"/>
  <c r="H121" i="21"/>
  <c r="D112" i="20"/>
  <c r="I112" i="20" s="1"/>
  <c r="E112" i="20"/>
  <c r="F112" i="20"/>
  <c r="H112" i="20"/>
  <c r="D120" i="19"/>
  <c r="I120" i="19" s="1"/>
  <c r="E120" i="19"/>
  <c r="F120" i="19"/>
  <c r="H120" i="19"/>
  <c r="D114" i="18"/>
  <c r="I114" i="18" s="1"/>
  <c r="E114" i="18"/>
  <c r="F114" i="18"/>
  <c r="H114" i="18"/>
  <c r="D112" i="17"/>
  <c r="I112" i="17" s="1"/>
  <c r="E112" i="17"/>
  <c r="F112" i="17"/>
  <c r="H112" i="17"/>
  <c r="D120" i="16"/>
  <c r="I120" i="16" s="1"/>
  <c r="E120" i="16"/>
  <c r="F120" i="16"/>
  <c r="H120" i="16"/>
  <c r="D62" i="15"/>
  <c r="I62" i="15" s="1"/>
  <c r="E62" i="15"/>
  <c r="F62" i="15"/>
  <c r="H62" i="15"/>
  <c r="D115" i="14"/>
  <c r="I115" i="14" s="1"/>
  <c r="E115" i="14"/>
  <c r="F115" i="14"/>
  <c r="H115" i="14"/>
  <c r="D121" i="13"/>
  <c r="I121" i="13" s="1"/>
  <c r="E121" i="13"/>
  <c r="F121" i="13"/>
  <c r="H121" i="13"/>
  <c r="D120" i="12"/>
  <c r="I120" i="12" s="1"/>
  <c r="E120" i="12"/>
  <c r="F120" i="12"/>
  <c r="H120" i="12"/>
  <c r="D121" i="10"/>
  <c r="I121" i="10" s="1"/>
  <c r="E121" i="10"/>
  <c r="F121" i="10"/>
  <c r="H121" i="10"/>
  <c r="D115" i="11"/>
  <c r="I115" i="11" s="1"/>
  <c r="E115" i="11"/>
  <c r="F115" i="11"/>
  <c r="H115" i="11"/>
  <c r="D121" i="9"/>
  <c r="I121" i="9" s="1"/>
  <c r="E121" i="9"/>
  <c r="F121" i="9"/>
  <c r="H121" i="9"/>
  <c r="D121" i="8"/>
  <c r="I121" i="8" s="1"/>
  <c r="E121" i="8"/>
  <c r="F121" i="8"/>
  <c r="H121" i="8"/>
  <c r="D121" i="7"/>
  <c r="I121" i="7" s="1"/>
  <c r="E121" i="7"/>
  <c r="F121" i="7"/>
  <c r="H121" i="7"/>
  <c r="D120" i="6"/>
  <c r="I120" i="6" s="1"/>
  <c r="E120" i="6"/>
  <c r="F120" i="6"/>
  <c r="H120" i="6"/>
  <c r="D115" i="5"/>
  <c r="I115" i="5" s="1"/>
  <c r="E115" i="5"/>
  <c r="F115" i="5"/>
  <c r="H115" i="5"/>
  <c r="D115" i="4"/>
  <c r="I115" i="4" s="1"/>
  <c r="E115" i="4"/>
  <c r="F115" i="4"/>
  <c r="H115" i="4"/>
  <c r="D115" i="3"/>
  <c r="I115" i="3" s="1"/>
  <c r="E115" i="3"/>
  <c r="F115" i="3"/>
  <c r="H115" i="3"/>
  <c r="D113" i="23"/>
  <c r="I113" i="23" s="1"/>
  <c r="D114" i="23"/>
  <c r="I114" i="23" s="1"/>
  <c r="D115" i="23"/>
  <c r="I115" i="23" s="1"/>
  <c r="D116" i="23"/>
  <c r="I116" i="23" s="1"/>
  <c r="D117" i="23"/>
  <c r="I117" i="23" s="1"/>
  <c r="D118" i="23"/>
  <c r="I118" i="23" s="1"/>
  <c r="D119" i="23"/>
  <c r="I119" i="23" s="1"/>
  <c r="D120" i="23"/>
  <c r="I120" i="23" s="1"/>
  <c r="E113" i="23"/>
  <c r="E114" i="23"/>
  <c r="E115" i="23"/>
  <c r="E116" i="23"/>
  <c r="E117" i="23"/>
  <c r="E118" i="23"/>
  <c r="E119" i="23"/>
  <c r="E120" i="23"/>
  <c r="F113" i="23"/>
  <c r="F114" i="23"/>
  <c r="F115" i="23"/>
  <c r="F116" i="23"/>
  <c r="F117" i="23"/>
  <c r="F118" i="23"/>
  <c r="F119" i="23"/>
  <c r="F120" i="23"/>
  <c r="H113" i="23"/>
  <c r="H114" i="23"/>
  <c r="H115" i="23"/>
  <c r="H116" i="23"/>
  <c r="H117" i="23"/>
  <c r="H118" i="23"/>
  <c r="H119" i="23"/>
  <c r="H120" i="23"/>
  <c r="D108" i="22"/>
  <c r="I108" i="22" s="1"/>
  <c r="D109" i="22"/>
  <c r="I109" i="22" s="1"/>
  <c r="D110" i="22"/>
  <c r="I110" i="22" s="1"/>
  <c r="D111" i="22"/>
  <c r="I111" i="22" s="1"/>
  <c r="D112" i="22"/>
  <c r="I112" i="22" s="1"/>
  <c r="D113" i="22"/>
  <c r="D114" i="22"/>
  <c r="I114" i="22" s="1"/>
  <c r="E108" i="22"/>
  <c r="E109" i="22"/>
  <c r="E110" i="22"/>
  <c r="E111" i="22"/>
  <c r="E112" i="22"/>
  <c r="E113" i="22"/>
  <c r="E114" i="22"/>
  <c r="F108" i="22"/>
  <c r="F109" i="22"/>
  <c r="F110" i="22"/>
  <c r="F111" i="22"/>
  <c r="F112" i="22"/>
  <c r="F113" i="22"/>
  <c r="F114" i="22"/>
  <c r="H108" i="22"/>
  <c r="H109" i="22"/>
  <c r="H110" i="22"/>
  <c r="H111" i="22"/>
  <c r="H112" i="22"/>
  <c r="H113" i="22"/>
  <c r="H114" i="22"/>
  <c r="I113" i="22"/>
  <c r="D114" i="21"/>
  <c r="I114" i="21" s="1"/>
  <c r="D115" i="21"/>
  <c r="I115" i="21" s="1"/>
  <c r="D116" i="21"/>
  <c r="I116" i="21" s="1"/>
  <c r="D117" i="21"/>
  <c r="I117" i="21" s="1"/>
  <c r="D118" i="21"/>
  <c r="I118" i="21" s="1"/>
  <c r="D119" i="21"/>
  <c r="I119" i="21" s="1"/>
  <c r="D120" i="21"/>
  <c r="I120" i="21" s="1"/>
  <c r="E114" i="21"/>
  <c r="E115" i="21"/>
  <c r="E116" i="21"/>
  <c r="E117" i="21"/>
  <c r="E118" i="21"/>
  <c r="E119" i="21"/>
  <c r="E120" i="21"/>
  <c r="F114" i="21"/>
  <c r="F115" i="21"/>
  <c r="F116" i="21"/>
  <c r="F117" i="21"/>
  <c r="F118" i="21"/>
  <c r="F119" i="21"/>
  <c r="F120" i="21"/>
  <c r="H114" i="21"/>
  <c r="H115" i="21"/>
  <c r="H116" i="21"/>
  <c r="H117" i="21"/>
  <c r="H118" i="21"/>
  <c r="H119" i="21"/>
  <c r="H120" i="21"/>
  <c r="D107" i="20"/>
  <c r="I107" i="20" s="1"/>
  <c r="D108" i="20"/>
  <c r="I108" i="20" s="1"/>
  <c r="D109" i="20"/>
  <c r="I109" i="20" s="1"/>
  <c r="D110" i="20"/>
  <c r="I110" i="20" s="1"/>
  <c r="D111" i="20"/>
  <c r="I111" i="20" s="1"/>
  <c r="E107" i="20"/>
  <c r="E108" i="20"/>
  <c r="E109" i="20"/>
  <c r="E110" i="20"/>
  <c r="E111" i="20"/>
  <c r="F107" i="20"/>
  <c r="F108" i="20"/>
  <c r="F109" i="20"/>
  <c r="F110" i="20"/>
  <c r="F111" i="20"/>
  <c r="H107" i="20"/>
  <c r="H108" i="20"/>
  <c r="H109" i="20"/>
  <c r="H110" i="20"/>
  <c r="H111" i="20"/>
  <c r="D113" i="19"/>
  <c r="I113" i="19" s="1"/>
  <c r="D114" i="19"/>
  <c r="I114" i="19" s="1"/>
  <c r="D115" i="19"/>
  <c r="I115" i="19" s="1"/>
  <c r="D116" i="19"/>
  <c r="I116" i="19" s="1"/>
  <c r="D117" i="19"/>
  <c r="I117" i="19" s="1"/>
  <c r="D118" i="19"/>
  <c r="I118" i="19" s="1"/>
  <c r="D119" i="19"/>
  <c r="I119" i="19" s="1"/>
  <c r="E113" i="19"/>
  <c r="E114" i="19"/>
  <c r="E115" i="19"/>
  <c r="E116" i="19"/>
  <c r="E117" i="19"/>
  <c r="E118" i="19"/>
  <c r="E119" i="19"/>
  <c r="F113" i="19"/>
  <c r="F114" i="19"/>
  <c r="F115" i="19"/>
  <c r="F116" i="19"/>
  <c r="F117" i="19"/>
  <c r="F118" i="19"/>
  <c r="F119" i="19"/>
  <c r="H113" i="19"/>
  <c r="H114" i="19"/>
  <c r="H115" i="19"/>
  <c r="H116" i="19"/>
  <c r="H117" i="19"/>
  <c r="H118" i="19"/>
  <c r="H119" i="19"/>
  <c r="D107" i="18"/>
  <c r="I107" i="18" s="1"/>
  <c r="D108" i="18"/>
  <c r="I108" i="18" s="1"/>
  <c r="D109" i="18"/>
  <c r="I109" i="18" s="1"/>
  <c r="D110" i="18"/>
  <c r="I110" i="18" s="1"/>
  <c r="D111" i="18"/>
  <c r="I111" i="18" s="1"/>
  <c r="D112" i="18"/>
  <c r="I112" i="18" s="1"/>
  <c r="D113" i="18"/>
  <c r="I113" i="18" s="1"/>
  <c r="E107" i="18"/>
  <c r="E108" i="18"/>
  <c r="E109" i="18"/>
  <c r="E110" i="18"/>
  <c r="E111" i="18"/>
  <c r="E112" i="18"/>
  <c r="E113" i="18"/>
  <c r="F107" i="18"/>
  <c r="F108" i="18"/>
  <c r="F109" i="18"/>
  <c r="F110" i="18"/>
  <c r="F111" i="18"/>
  <c r="F112" i="18"/>
  <c r="F113" i="18"/>
  <c r="H107" i="18"/>
  <c r="H108" i="18"/>
  <c r="H109" i="18"/>
  <c r="H110" i="18"/>
  <c r="H111" i="18"/>
  <c r="H112" i="18"/>
  <c r="H113" i="18"/>
  <c r="D107" i="17"/>
  <c r="I107" i="17" s="1"/>
  <c r="D108" i="17"/>
  <c r="I108" i="17" s="1"/>
  <c r="D109" i="17"/>
  <c r="I109" i="17" s="1"/>
  <c r="D110" i="17"/>
  <c r="I110" i="17" s="1"/>
  <c r="D111" i="17"/>
  <c r="I111" i="17" s="1"/>
  <c r="E107" i="17"/>
  <c r="E108" i="17"/>
  <c r="E109" i="17"/>
  <c r="E110" i="17"/>
  <c r="E111" i="17"/>
  <c r="F107" i="17"/>
  <c r="F108" i="17"/>
  <c r="F109" i="17"/>
  <c r="F110" i="17"/>
  <c r="F111" i="17"/>
  <c r="H107" i="17"/>
  <c r="H108" i="17"/>
  <c r="H109" i="17"/>
  <c r="H110" i="17"/>
  <c r="H111" i="17"/>
  <c r="D113" i="16"/>
  <c r="I113" i="16" s="1"/>
  <c r="D114" i="16"/>
  <c r="I114" i="16" s="1"/>
  <c r="D115" i="16"/>
  <c r="I115" i="16" s="1"/>
  <c r="D116" i="16"/>
  <c r="I116" i="16" s="1"/>
  <c r="D117" i="16"/>
  <c r="I117" i="16" s="1"/>
  <c r="D118" i="16"/>
  <c r="I118" i="16" s="1"/>
  <c r="D119" i="16"/>
  <c r="I119" i="16" s="1"/>
  <c r="E113" i="16"/>
  <c r="E114" i="16"/>
  <c r="E115" i="16"/>
  <c r="E116" i="16"/>
  <c r="E117" i="16"/>
  <c r="E118" i="16"/>
  <c r="E119" i="16"/>
  <c r="F113" i="16"/>
  <c r="F114" i="16"/>
  <c r="F115" i="16"/>
  <c r="F116" i="16"/>
  <c r="F117" i="16"/>
  <c r="F118" i="16"/>
  <c r="F119" i="16"/>
  <c r="H113" i="16"/>
  <c r="H114" i="16"/>
  <c r="H115" i="16"/>
  <c r="H116" i="16"/>
  <c r="H117" i="16"/>
  <c r="H118" i="16"/>
  <c r="H119" i="16"/>
  <c r="D59" i="15"/>
  <c r="I59" i="15" s="1"/>
  <c r="D60" i="15"/>
  <c r="I60" i="15" s="1"/>
  <c r="D61" i="15"/>
  <c r="I61" i="15" s="1"/>
  <c r="E59" i="15"/>
  <c r="E60" i="15"/>
  <c r="E61" i="15"/>
  <c r="F59" i="15"/>
  <c r="F60" i="15"/>
  <c r="F61" i="15"/>
  <c r="H59" i="15"/>
  <c r="H60" i="15"/>
  <c r="H61" i="15"/>
  <c r="D108" i="14"/>
  <c r="I108" i="14" s="1"/>
  <c r="D109" i="14"/>
  <c r="I109" i="14" s="1"/>
  <c r="D110" i="14"/>
  <c r="I110" i="14" s="1"/>
  <c r="D111" i="14"/>
  <c r="I111" i="14" s="1"/>
  <c r="D112" i="14"/>
  <c r="I112" i="14" s="1"/>
  <c r="D113" i="14"/>
  <c r="D114" i="14"/>
  <c r="I114" i="14" s="1"/>
  <c r="E108" i="14"/>
  <c r="E109" i="14"/>
  <c r="E110" i="14"/>
  <c r="E111" i="14"/>
  <c r="E112" i="14"/>
  <c r="E113" i="14"/>
  <c r="E114" i="14"/>
  <c r="F108" i="14"/>
  <c r="F109" i="14"/>
  <c r="F110" i="14"/>
  <c r="F111" i="14"/>
  <c r="F112" i="14"/>
  <c r="F113" i="14"/>
  <c r="F114" i="14"/>
  <c r="H108" i="14"/>
  <c r="H109" i="14"/>
  <c r="H110" i="14"/>
  <c r="H111" i="14"/>
  <c r="H112" i="14"/>
  <c r="H113" i="14"/>
  <c r="H114" i="14"/>
  <c r="I113" i="14"/>
  <c r="D114" i="13"/>
  <c r="I114" i="13" s="1"/>
  <c r="D115" i="13"/>
  <c r="I115" i="13" s="1"/>
  <c r="D116" i="13"/>
  <c r="I116" i="13" s="1"/>
  <c r="D117" i="13"/>
  <c r="I117" i="13" s="1"/>
  <c r="D118" i="13"/>
  <c r="I118" i="13" s="1"/>
  <c r="D119" i="13"/>
  <c r="I119" i="13" s="1"/>
  <c r="D120" i="13"/>
  <c r="I120" i="13" s="1"/>
  <c r="E114" i="13"/>
  <c r="E115" i="13"/>
  <c r="E116" i="13"/>
  <c r="E117" i="13"/>
  <c r="E118" i="13"/>
  <c r="E119" i="13"/>
  <c r="E120" i="13"/>
  <c r="F114" i="13"/>
  <c r="F115" i="13"/>
  <c r="F116" i="13"/>
  <c r="F117" i="13"/>
  <c r="F118" i="13"/>
  <c r="F119" i="13"/>
  <c r="F120" i="13"/>
  <c r="H114" i="13"/>
  <c r="H115" i="13"/>
  <c r="H116" i="13"/>
  <c r="H117" i="13"/>
  <c r="H118" i="13"/>
  <c r="H119" i="13"/>
  <c r="H120" i="13"/>
  <c r="D113" i="12"/>
  <c r="I113" i="12" s="1"/>
  <c r="D114" i="12"/>
  <c r="I114" i="12" s="1"/>
  <c r="D115" i="12"/>
  <c r="I115" i="12" s="1"/>
  <c r="D116" i="12"/>
  <c r="I116" i="12" s="1"/>
  <c r="D117" i="12"/>
  <c r="I117" i="12" s="1"/>
  <c r="D118" i="12"/>
  <c r="I118" i="12" s="1"/>
  <c r="D119" i="12"/>
  <c r="I119" i="12" s="1"/>
  <c r="E113" i="12"/>
  <c r="E114" i="12"/>
  <c r="E115" i="12"/>
  <c r="E116" i="12"/>
  <c r="E117" i="12"/>
  <c r="E118" i="12"/>
  <c r="E119" i="12"/>
  <c r="F113" i="12"/>
  <c r="F114" i="12"/>
  <c r="F115" i="12"/>
  <c r="F116" i="12"/>
  <c r="F117" i="12"/>
  <c r="F118" i="12"/>
  <c r="F119" i="12"/>
  <c r="H113" i="12"/>
  <c r="H114" i="12"/>
  <c r="H115" i="12"/>
  <c r="H116" i="12"/>
  <c r="H117" i="12"/>
  <c r="H118" i="12"/>
  <c r="H119" i="12"/>
  <c r="D108" i="11"/>
  <c r="I108" i="11" s="1"/>
  <c r="D109" i="11"/>
  <c r="I109" i="11" s="1"/>
  <c r="D110" i="11"/>
  <c r="I110" i="11" s="1"/>
  <c r="D111" i="11"/>
  <c r="I111" i="11" s="1"/>
  <c r="D112" i="11"/>
  <c r="I112" i="11" s="1"/>
  <c r="D113" i="11"/>
  <c r="I113" i="11" s="1"/>
  <c r="D114" i="11"/>
  <c r="I114" i="11" s="1"/>
  <c r="E108" i="11"/>
  <c r="E109" i="11"/>
  <c r="E110" i="11"/>
  <c r="E111" i="11"/>
  <c r="E112" i="11"/>
  <c r="E113" i="11"/>
  <c r="E114" i="11"/>
  <c r="F108" i="11"/>
  <c r="F109" i="11"/>
  <c r="F110" i="11"/>
  <c r="F111" i="11"/>
  <c r="F112" i="11"/>
  <c r="F113" i="11"/>
  <c r="F114" i="11"/>
  <c r="H108" i="11"/>
  <c r="H109" i="11"/>
  <c r="H110" i="11"/>
  <c r="H111" i="11"/>
  <c r="H112" i="11"/>
  <c r="H113" i="11"/>
  <c r="H114" i="11"/>
  <c r="D114" i="10"/>
  <c r="I114" i="10" s="1"/>
  <c r="D115" i="10"/>
  <c r="I115" i="10" s="1"/>
  <c r="D116" i="10"/>
  <c r="I116" i="10" s="1"/>
  <c r="D117" i="10"/>
  <c r="I117" i="10" s="1"/>
  <c r="D118" i="10"/>
  <c r="I118" i="10" s="1"/>
  <c r="D119" i="10"/>
  <c r="I119" i="10" s="1"/>
  <c r="D120" i="10"/>
  <c r="I120" i="10" s="1"/>
  <c r="E114" i="10"/>
  <c r="E115" i="10"/>
  <c r="E116" i="10"/>
  <c r="E117" i="10"/>
  <c r="E118" i="10"/>
  <c r="E119" i="10"/>
  <c r="E120" i="10"/>
  <c r="F114" i="10"/>
  <c r="F115" i="10"/>
  <c r="F116" i="10"/>
  <c r="F117" i="10"/>
  <c r="F118" i="10"/>
  <c r="F119" i="10"/>
  <c r="F120" i="10"/>
  <c r="H114" i="10"/>
  <c r="H115" i="10"/>
  <c r="H116" i="10"/>
  <c r="H117" i="10"/>
  <c r="H118" i="10"/>
  <c r="H119" i="10"/>
  <c r="H120" i="10"/>
  <c r="D114" i="9"/>
  <c r="I114" i="9" s="1"/>
  <c r="D115" i="9"/>
  <c r="I115" i="9" s="1"/>
  <c r="D116" i="9"/>
  <c r="I116" i="9" s="1"/>
  <c r="D117" i="9"/>
  <c r="I117" i="9" s="1"/>
  <c r="D118" i="9"/>
  <c r="I118" i="9" s="1"/>
  <c r="D119" i="9"/>
  <c r="I119" i="9" s="1"/>
  <c r="D120" i="9"/>
  <c r="I120" i="9" s="1"/>
  <c r="E114" i="9"/>
  <c r="E115" i="9"/>
  <c r="E116" i="9"/>
  <c r="E117" i="9"/>
  <c r="E118" i="9"/>
  <c r="E119" i="9"/>
  <c r="E120" i="9"/>
  <c r="F114" i="9"/>
  <c r="F115" i="9"/>
  <c r="F116" i="9"/>
  <c r="F117" i="9"/>
  <c r="F118" i="9"/>
  <c r="F119" i="9"/>
  <c r="F120" i="9"/>
  <c r="H114" i="9"/>
  <c r="H115" i="9"/>
  <c r="H116" i="9"/>
  <c r="H117" i="9"/>
  <c r="H118" i="9"/>
  <c r="H119" i="9"/>
  <c r="H120" i="9"/>
  <c r="D114" i="8"/>
  <c r="I114" i="8" s="1"/>
  <c r="D115" i="8"/>
  <c r="I115" i="8" s="1"/>
  <c r="D116" i="8"/>
  <c r="I116" i="8" s="1"/>
  <c r="D117" i="8"/>
  <c r="I117" i="8" s="1"/>
  <c r="D118" i="8"/>
  <c r="I118" i="8" s="1"/>
  <c r="D119" i="8"/>
  <c r="I119" i="8" s="1"/>
  <c r="D120" i="8"/>
  <c r="I120" i="8" s="1"/>
  <c r="E114" i="8"/>
  <c r="E115" i="8"/>
  <c r="E116" i="8"/>
  <c r="E117" i="8"/>
  <c r="E118" i="8"/>
  <c r="E119" i="8"/>
  <c r="E120" i="8"/>
  <c r="F114" i="8"/>
  <c r="F115" i="8"/>
  <c r="F116" i="8"/>
  <c r="F117" i="8"/>
  <c r="F118" i="8"/>
  <c r="F119" i="8"/>
  <c r="F120" i="8"/>
  <c r="H114" i="8"/>
  <c r="H115" i="8"/>
  <c r="H116" i="8"/>
  <c r="H117" i="8"/>
  <c r="H118" i="8"/>
  <c r="H119" i="8"/>
  <c r="H120" i="8"/>
  <c r="D114" i="7"/>
  <c r="I114" i="7" s="1"/>
  <c r="D115" i="7"/>
  <c r="I115" i="7" s="1"/>
  <c r="D116" i="7"/>
  <c r="I116" i="7" s="1"/>
  <c r="D117" i="7"/>
  <c r="I117" i="7" s="1"/>
  <c r="D118" i="7"/>
  <c r="I118" i="7" s="1"/>
  <c r="D119" i="7"/>
  <c r="I119" i="7" s="1"/>
  <c r="D120" i="7"/>
  <c r="I120" i="7" s="1"/>
  <c r="E114" i="7"/>
  <c r="E115" i="7"/>
  <c r="E116" i="7"/>
  <c r="E117" i="7"/>
  <c r="E118" i="7"/>
  <c r="E119" i="7"/>
  <c r="E120" i="7"/>
  <c r="F114" i="7"/>
  <c r="F115" i="7"/>
  <c r="F116" i="7"/>
  <c r="F117" i="7"/>
  <c r="F118" i="7"/>
  <c r="F119" i="7"/>
  <c r="F120" i="7"/>
  <c r="H114" i="7"/>
  <c r="H115" i="7"/>
  <c r="H116" i="7"/>
  <c r="H117" i="7"/>
  <c r="H118" i="7"/>
  <c r="H119" i="7"/>
  <c r="H120" i="7"/>
  <c r="D112" i="6"/>
  <c r="I112" i="6" s="1"/>
  <c r="D113" i="6"/>
  <c r="I113" i="6" s="1"/>
  <c r="D114" i="6"/>
  <c r="I114" i="6" s="1"/>
  <c r="D115" i="6"/>
  <c r="I115" i="6" s="1"/>
  <c r="D116" i="6"/>
  <c r="I116" i="6" s="1"/>
  <c r="D117" i="6"/>
  <c r="I117" i="6" s="1"/>
  <c r="D118" i="6"/>
  <c r="I118" i="6" s="1"/>
  <c r="D119" i="6"/>
  <c r="I119" i="6" s="1"/>
  <c r="E112" i="6"/>
  <c r="E113" i="6"/>
  <c r="E114" i="6"/>
  <c r="E115" i="6"/>
  <c r="E116" i="6"/>
  <c r="E117" i="6"/>
  <c r="E118" i="6"/>
  <c r="E119" i="6"/>
  <c r="F112" i="6"/>
  <c r="F113" i="6"/>
  <c r="F114" i="6"/>
  <c r="F115" i="6"/>
  <c r="F116" i="6"/>
  <c r="F117" i="6"/>
  <c r="F118" i="6"/>
  <c r="F119" i="6"/>
  <c r="H112" i="6"/>
  <c r="H113" i="6"/>
  <c r="H114" i="6"/>
  <c r="H115" i="6"/>
  <c r="H116" i="6"/>
  <c r="H117" i="6"/>
  <c r="H118" i="6"/>
  <c r="H119" i="6"/>
  <c r="D108" i="5"/>
  <c r="I108" i="5" s="1"/>
  <c r="D109" i="5"/>
  <c r="I109" i="5" s="1"/>
  <c r="D110" i="5"/>
  <c r="I110" i="5" s="1"/>
  <c r="D111" i="5"/>
  <c r="I111" i="5" s="1"/>
  <c r="D112" i="5"/>
  <c r="I112" i="5" s="1"/>
  <c r="D113" i="5"/>
  <c r="I113" i="5" s="1"/>
  <c r="D114" i="5"/>
  <c r="I114" i="5" s="1"/>
  <c r="E108" i="5"/>
  <c r="E109" i="5"/>
  <c r="E110" i="5"/>
  <c r="E111" i="5"/>
  <c r="E112" i="5"/>
  <c r="E113" i="5"/>
  <c r="E114" i="5"/>
  <c r="F108" i="5"/>
  <c r="F109" i="5"/>
  <c r="F110" i="5"/>
  <c r="F111" i="5"/>
  <c r="F112" i="5"/>
  <c r="F113" i="5"/>
  <c r="F114" i="5"/>
  <c r="H108" i="5"/>
  <c r="H109" i="5"/>
  <c r="H110" i="5"/>
  <c r="H111" i="5"/>
  <c r="H112" i="5"/>
  <c r="H113" i="5"/>
  <c r="H114" i="5"/>
  <c r="D108" i="4"/>
  <c r="I108" i="4" s="1"/>
  <c r="D109" i="4"/>
  <c r="I109" i="4" s="1"/>
  <c r="D110" i="4"/>
  <c r="I110" i="4" s="1"/>
  <c r="D111" i="4"/>
  <c r="I111" i="4" s="1"/>
  <c r="D112" i="4"/>
  <c r="I112" i="4" s="1"/>
  <c r="D113" i="4"/>
  <c r="I113" i="4" s="1"/>
  <c r="D114" i="4"/>
  <c r="I114" i="4" s="1"/>
  <c r="E108" i="4"/>
  <c r="E109" i="4"/>
  <c r="E110" i="4"/>
  <c r="E111" i="4"/>
  <c r="E112" i="4"/>
  <c r="E113" i="4"/>
  <c r="E114" i="4"/>
  <c r="F108" i="4"/>
  <c r="F109" i="4"/>
  <c r="F110" i="4"/>
  <c r="F111" i="4"/>
  <c r="F112" i="4"/>
  <c r="F113" i="4"/>
  <c r="F114" i="4"/>
  <c r="H108" i="4"/>
  <c r="H109" i="4"/>
  <c r="H110" i="4"/>
  <c r="H111" i="4"/>
  <c r="H112" i="4"/>
  <c r="H113" i="4"/>
  <c r="H114" i="4"/>
  <c r="D108" i="3"/>
  <c r="I108" i="3" s="1"/>
  <c r="D109" i="3"/>
  <c r="I109" i="3" s="1"/>
  <c r="D110" i="3"/>
  <c r="I110" i="3" s="1"/>
  <c r="D111" i="3"/>
  <c r="I111" i="3" s="1"/>
  <c r="D112" i="3"/>
  <c r="I112" i="3" s="1"/>
  <c r="D113" i="3"/>
  <c r="I113" i="3" s="1"/>
  <c r="D114" i="3"/>
  <c r="I114" i="3" s="1"/>
  <c r="E108" i="3"/>
  <c r="E109" i="3"/>
  <c r="E110" i="3"/>
  <c r="E111" i="3"/>
  <c r="E112" i="3"/>
  <c r="E113" i="3"/>
  <c r="E114" i="3"/>
  <c r="F108" i="3"/>
  <c r="F109" i="3"/>
  <c r="F110" i="3"/>
  <c r="F111" i="3"/>
  <c r="F112" i="3"/>
  <c r="F113" i="3"/>
  <c r="F114" i="3"/>
  <c r="H108" i="3"/>
  <c r="H109" i="3"/>
  <c r="H110" i="3"/>
  <c r="H111" i="3"/>
  <c r="H112" i="3"/>
  <c r="H113" i="3"/>
  <c r="H114" i="3"/>
  <c r="G114" i="23" l="1"/>
  <c r="G110" i="14"/>
  <c r="G114" i="14"/>
  <c r="G109" i="18"/>
  <c r="G113" i="23"/>
  <c r="G111" i="18"/>
  <c r="G112" i="14"/>
  <c r="G111" i="14"/>
  <c r="G112" i="5"/>
  <c r="G120" i="7"/>
  <c r="G118" i="23"/>
  <c r="G114" i="19"/>
  <c r="G110" i="17"/>
  <c r="G59" i="15"/>
  <c r="G115" i="6"/>
  <c r="G109" i="5"/>
  <c r="G62" i="15"/>
  <c r="G116" i="12"/>
  <c r="G114" i="10"/>
  <c r="G115" i="9"/>
  <c r="G118" i="9"/>
  <c r="G116" i="8"/>
  <c r="G115" i="23"/>
  <c r="G119" i="23"/>
  <c r="G114" i="22"/>
  <c r="G110" i="20"/>
  <c r="G118" i="19"/>
  <c r="G120" i="19"/>
  <c r="G110" i="18"/>
  <c r="G108" i="18"/>
  <c r="G111" i="17"/>
  <c r="G107" i="17"/>
  <c r="G110" i="11"/>
  <c r="G116" i="10"/>
  <c r="G118" i="10"/>
  <c r="G121" i="8"/>
  <c r="G113" i="5"/>
  <c r="G115" i="4"/>
  <c r="G111" i="4"/>
  <c r="G111" i="22"/>
  <c r="G116" i="21"/>
  <c r="G112" i="20"/>
  <c r="G115" i="19"/>
  <c r="G113" i="16"/>
  <c r="G109" i="17"/>
  <c r="G113" i="11"/>
  <c r="G121" i="10"/>
  <c r="G121" i="9"/>
  <c r="G119" i="9"/>
  <c r="G114" i="9"/>
  <c r="G113" i="6"/>
  <c r="G111" i="5"/>
  <c r="G115" i="5"/>
  <c r="G112" i="4"/>
  <c r="G113" i="3"/>
  <c r="G117" i="23"/>
  <c r="G116" i="23"/>
  <c r="G121" i="23"/>
  <c r="G110" i="22"/>
  <c r="G109" i="22"/>
  <c r="G115" i="22"/>
  <c r="G121" i="21"/>
  <c r="G120" i="21"/>
  <c r="G117" i="21"/>
  <c r="G107" i="20"/>
  <c r="G114" i="18"/>
  <c r="G113" i="18"/>
  <c r="G112" i="18"/>
  <c r="G112" i="17"/>
  <c r="G120" i="16"/>
  <c r="G119" i="16"/>
  <c r="G115" i="14"/>
  <c r="G116" i="13"/>
  <c r="G121" i="13"/>
  <c r="G115" i="12"/>
  <c r="G114" i="12"/>
  <c r="G113" i="12"/>
  <c r="G120" i="12"/>
  <c r="G119" i="12"/>
  <c r="G118" i="12"/>
  <c r="G115" i="11"/>
  <c r="G114" i="11"/>
  <c r="G112" i="11"/>
  <c r="G111" i="11"/>
  <c r="G119" i="8"/>
  <c r="G120" i="8"/>
  <c r="G119" i="7"/>
  <c r="G118" i="7"/>
  <c r="G116" i="7"/>
  <c r="G114" i="7"/>
  <c r="G121" i="7"/>
  <c r="G117" i="6"/>
  <c r="G114" i="6"/>
  <c r="G120" i="6"/>
  <c r="G116" i="6"/>
  <c r="G112" i="6"/>
  <c r="G119" i="6"/>
  <c r="G118" i="6"/>
  <c r="G110" i="5"/>
  <c r="G110" i="4"/>
  <c r="G109" i="4"/>
  <c r="G108" i="4"/>
  <c r="G114" i="3"/>
  <c r="G111" i="3"/>
  <c r="G109" i="3"/>
  <c r="G115" i="3"/>
  <c r="G120" i="23"/>
  <c r="G112" i="22"/>
  <c r="G113" i="22"/>
  <c r="G118" i="21"/>
  <c r="G115" i="21"/>
  <c r="G114" i="21"/>
  <c r="G119" i="21"/>
  <c r="G109" i="20"/>
  <c r="G111" i="20"/>
  <c r="G108" i="20"/>
  <c r="G117" i="19"/>
  <c r="G119" i="19"/>
  <c r="G116" i="19"/>
  <c r="G113" i="19"/>
  <c r="G108" i="17"/>
  <c r="G114" i="16"/>
  <c r="G118" i="16"/>
  <c r="G116" i="16"/>
  <c r="G117" i="16"/>
  <c r="G115" i="16"/>
  <c r="G60" i="15"/>
  <c r="G61" i="15"/>
  <c r="G113" i="14"/>
  <c r="G109" i="14"/>
  <c r="G118" i="13"/>
  <c r="G117" i="13"/>
  <c r="G115" i="13"/>
  <c r="G114" i="13"/>
  <c r="G120" i="13"/>
  <c r="G119" i="13"/>
  <c r="G117" i="12"/>
  <c r="G117" i="10"/>
  <c r="G119" i="10"/>
  <c r="G115" i="10"/>
  <c r="G120" i="10"/>
  <c r="G109" i="11"/>
  <c r="G117" i="9"/>
  <c r="G116" i="9"/>
  <c r="G120" i="9"/>
  <c r="G118" i="8"/>
  <c r="G115" i="8"/>
  <c r="G114" i="8"/>
  <c r="G117" i="8"/>
  <c r="G117" i="7"/>
  <c r="G115" i="7"/>
  <c r="G114" i="5"/>
  <c r="G108" i="5"/>
  <c r="G114" i="4"/>
  <c r="G113" i="4"/>
  <c r="G110" i="3"/>
  <c r="G112" i="3"/>
  <c r="G108" i="3"/>
  <c r="G108" i="22"/>
  <c r="G107" i="18"/>
  <c r="G108" i="14"/>
  <c r="G108" i="11"/>
  <c r="D109" i="23" l="1"/>
  <c r="I109" i="23" s="1"/>
  <c r="D110" i="23"/>
  <c r="I110" i="23" s="1"/>
  <c r="D111" i="23"/>
  <c r="I111" i="23" s="1"/>
  <c r="D112" i="23"/>
  <c r="I112" i="23" s="1"/>
  <c r="E109" i="23"/>
  <c r="E110" i="23"/>
  <c r="E111" i="23"/>
  <c r="E112" i="23"/>
  <c r="F109" i="23"/>
  <c r="F110" i="23"/>
  <c r="F111" i="23"/>
  <c r="F112" i="23"/>
  <c r="H109" i="23"/>
  <c r="H110" i="23"/>
  <c r="H111" i="23"/>
  <c r="H112" i="23"/>
  <c r="D104" i="22"/>
  <c r="I104" i="22" s="1"/>
  <c r="D105" i="22"/>
  <c r="I105" i="22" s="1"/>
  <c r="D106" i="22"/>
  <c r="I106" i="22" s="1"/>
  <c r="D107" i="22"/>
  <c r="I107" i="22" s="1"/>
  <c r="E104" i="22"/>
  <c r="E105" i="22"/>
  <c r="E106" i="22"/>
  <c r="E107" i="22"/>
  <c r="F104" i="22"/>
  <c r="F105" i="22"/>
  <c r="F106" i="22"/>
  <c r="F107" i="22"/>
  <c r="H104" i="22"/>
  <c r="H105" i="22"/>
  <c r="H106" i="22"/>
  <c r="H107" i="22"/>
  <c r="D110" i="21"/>
  <c r="I110" i="21" s="1"/>
  <c r="D111" i="21"/>
  <c r="I111" i="21" s="1"/>
  <c r="D112" i="21"/>
  <c r="I112" i="21" s="1"/>
  <c r="D113" i="21"/>
  <c r="I113" i="21" s="1"/>
  <c r="E110" i="21"/>
  <c r="E111" i="21"/>
  <c r="E112" i="21"/>
  <c r="E113" i="21"/>
  <c r="F110" i="21"/>
  <c r="F111" i="21"/>
  <c r="F112" i="21"/>
  <c r="F113" i="21"/>
  <c r="H110" i="21"/>
  <c r="H111" i="21"/>
  <c r="H112" i="21"/>
  <c r="H113" i="21"/>
  <c r="D103" i="20"/>
  <c r="I103" i="20" s="1"/>
  <c r="D104" i="20"/>
  <c r="I104" i="20" s="1"/>
  <c r="D105" i="20"/>
  <c r="I105" i="20" s="1"/>
  <c r="D106" i="20"/>
  <c r="I106" i="20" s="1"/>
  <c r="E103" i="20"/>
  <c r="E104" i="20"/>
  <c r="E105" i="20"/>
  <c r="E106" i="20"/>
  <c r="F103" i="20"/>
  <c r="F104" i="20"/>
  <c r="F105" i="20"/>
  <c r="F106" i="20"/>
  <c r="H103" i="20"/>
  <c r="H104" i="20"/>
  <c r="H105" i="20"/>
  <c r="H106" i="20"/>
  <c r="D109" i="19"/>
  <c r="I109" i="19" s="1"/>
  <c r="D110" i="19"/>
  <c r="I110" i="19" s="1"/>
  <c r="D111" i="19"/>
  <c r="I111" i="19" s="1"/>
  <c r="D112" i="19"/>
  <c r="I112" i="19" s="1"/>
  <c r="E109" i="19"/>
  <c r="E110" i="19"/>
  <c r="E111" i="19"/>
  <c r="E112" i="19"/>
  <c r="F109" i="19"/>
  <c r="F110" i="19"/>
  <c r="F111" i="19"/>
  <c r="F112" i="19"/>
  <c r="H109" i="19"/>
  <c r="H110" i="19"/>
  <c r="H111" i="19"/>
  <c r="H112" i="19"/>
  <c r="D103" i="18"/>
  <c r="I103" i="18" s="1"/>
  <c r="D104" i="18"/>
  <c r="I104" i="18" s="1"/>
  <c r="D105" i="18"/>
  <c r="I105" i="18" s="1"/>
  <c r="D106" i="18"/>
  <c r="I106" i="18" s="1"/>
  <c r="E103" i="18"/>
  <c r="E104" i="18"/>
  <c r="E105" i="18"/>
  <c r="E106" i="18"/>
  <c r="F103" i="18"/>
  <c r="F104" i="18"/>
  <c r="F105" i="18"/>
  <c r="F106" i="18"/>
  <c r="H103" i="18"/>
  <c r="H104" i="18"/>
  <c r="H105" i="18"/>
  <c r="H106" i="18"/>
  <c r="D103" i="17"/>
  <c r="I103" i="17" s="1"/>
  <c r="D104" i="17"/>
  <c r="I104" i="17" s="1"/>
  <c r="D105" i="17"/>
  <c r="I105" i="17" s="1"/>
  <c r="D106" i="17"/>
  <c r="I106" i="17" s="1"/>
  <c r="E103" i="17"/>
  <c r="E104" i="17"/>
  <c r="E105" i="17"/>
  <c r="E106" i="17"/>
  <c r="F103" i="17"/>
  <c r="F104" i="17"/>
  <c r="F105" i="17"/>
  <c r="F106" i="17"/>
  <c r="H103" i="17"/>
  <c r="H104" i="17"/>
  <c r="H105" i="17"/>
  <c r="H106" i="17"/>
  <c r="D109" i="16"/>
  <c r="I109" i="16" s="1"/>
  <c r="D110" i="16"/>
  <c r="I110" i="16" s="1"/>
  <c r="D111" i="16"/>
  <c r="I111" i="16" s="1"/>
  <c r="D112" i="16"/>
  <c r="I112" i="16" s="1"/>
  <c r="E109" i="16"/>
  <c r="E110" i="16"/>
  <c r="E111" i="16"/>
  <c r="E112" i="16"/>
  <c r="F109" i="16"/>
  <c r="F110" i="16"/>
  <c r="F111" i="16"/>
  <c r="F112" i="16"/>
  <c r="H109" i="16"/>
  <c r="H110" i="16"/>
  <c r="H111" i="16"/>
  <c r="H112" i="16"/>
  <c r="D57" i="15"/>
  <c r="I57" i="15" s="1"/>
  <c r="D58" i="15"/>
  <c r="I58" i="15" s="1"/>
  <c r="E57" i="15"/>
  <c r="E58" i="15"/>
  <c r="F57" i="15"/>
  <c r="F58" i="15"/>
  <c r="H57" i="15"/>
  <c r="H58" i="15"/>
  <c r="D105" i="14"/>
  <c r="I105" i="14" s="1"/>
  <c r="D106" i="14"/>
  <c r="I106" i="14" s="1"/>
  <c r="D107" i="14"/>
  <c r="I107" i="14" s="1"/>
  <c r="E105" i="14"/>
  <c r="E106" i="14"/>
  <c r="E107" i="14"/>
  <c r="F105" i="14"/>
  <c r="F106" i="14"/>
  <c r="F107" i="14"/>
  <c r="H105" i="14"/>
  <c r="H106" i="14"/>
  <c r="H107" i="14"/>
  <c r="D110" i="13"/>
  <c r="I110" i="13" s="1"/>
  <c r="D111" i="13"/>
  <c r="I111" i="13" s="1"/>
  <c r="D112" i="13"/>
  <c r="I112" i="13" s="1"/>
  <c r="D113" i="13"/>
  <c r="I113" i="13" s="1"/>
  <c r="E110" i="13"/>
  <c r="E111" i="13"/>
  <c r="E112" i="13"/>
  <c r="E113" i="13"/>
  <c r="F110" i="13"/>
  <c r="F111" i="13"/>
  <c r="F112" i="13"/>
  <c r="F113" i="13"/>
  <c r="H110" i="13"/>
  <c r="H111" i="13"/>
  <c r="H112" i="13"/>
  <c r="H113" i="13"/>
  <c r="D109" i="12"/>
  <c r="I109" i="12" s="1"/>
  <c r="D110" i="12"/>
  <c r="I110" i="12" s="1"/>
  <c r="D111" i="12"/>
  <c r="I111" i="12" s="1"/>
  <c r="D112" i="12"/>
  <c r="I112" i="12" s="1"/>
  <c r="E109" i="12"/>
  <c r="E110" i="12"/>
  <c r="E111" i="12"/>
  <c r="E112" i="12"/>
  <c r="F109" i="12"/>
  <c r="F110" i="12"/>
  <c r="F111" i="12"/>
  <c r="F112" i="12"/>
  <c r="H109" i="12"/>
  <c r="H110" i="12"/>
  <c r="H111" i="12"/>
  <c r="H112" i="12"/>
  <c r="D104" i="11"/>
  <c r="I104" i="11" s="1"/>
  <c r="D105" i="11"/>
  <c r="I105" i="11" s="1"/>
  <c r="D106" i="11"/>
  <c r="I106" i="11" s="1"/>
  <c r="D107" i="11"/>
  <c r="I107" i="11" s="1"/>
  <c r="E104" i="11"/>
  <c r="E105" i="11"/>
  <c r="E106" i="11"/>
  <c r="E107" i="11"/>
  <c r="F104" i="11"/>
  <c r="F105" i="11"/>
  <c r="F106" i="11"/>
  <c r="F107" i="11"/>
  <c r="H104" i="11"/>
  <c r="H105" i="11"/>
  <c r="H106" i="11"/>
  <c r="H107" i="11"/>
  <c r="D110" i="9"/>
  <c r="I110" i="9" s="1"/>
  <c r="D111" i="9"/>
  <c r="I111" i="9" s="1"/>
  <c r="D112" i="9"/>
  <c r="I112" i="9" s="1"/>
  <c r="D113" i="9"/>
  <c r="I113" i="9" s="1"/>
  <c r="E110" i="9"/>
  <c r="E111" i="9"/>
  <c r="E112" i="9"/>
  <c r="E113" i="9"/>
  <c r="F110" i="9"/>
  <c r="F111" i="9"/>
  <c r="F112" i="9"/>
  <c r="F113" i="9"/>
  <c r="H110" i="9"/>
  <c r="H111" i="9"/>
  <c r="H112" i="9"/>
  <c r="H113" i="9"/>
  <c r="D110" i="8"/>
  <c r="I110" i="8" s="1"/>
  <c r="D111" i="8"/>
  <c r="I111" i="8" s="1"/>
  <c r="D112" i="8"/>
  <c r="I112" i="8" s="1"/>
  <c r="D113" i="8"/>
  <c r="I113" i="8" s="1"/>
  <c r="E110" i="8"/>
  <c r="E111" i="8"/>
  <c r="E112" i="8"/>
  <c r="E113" i="8"/>
  <c r="F110" i="8"/>
  <c r="F111" i="8"/>
  <c r="F112" i="8"/>
  <c r="F113" i="8"/>
  <c r="H110" i="8"/>
  <c r="H111" i="8"/>
  <c r="H112" i="8"/>
  <c r="H113" i="8"/>
  <c r="D110" i="10"/>
  <c r="I110" i="10" s="1"/>
  <c r="D111" i="10"/>
  <c r="I111" i="10" s="1"/>
  <c r="D112" i="10"/>
  <c r="I112" i="10" s="1"/>
  <c r="D113" i="10"/>
  <c r="I113" i="10" s="1"/>
  <c r="E110" i="10"/>
  <c r="E111" i="10"/>
  <c r="E112" i="10"/>
  <c r="E113" i="10"/>
  <c r="F110" i="10"/>
  <c r="F111" i="10"/>
  <c r="F112" i="10"/>
  <c r="F113" i="10"/>
  <c r="H110" i="10"/>
  <c r="H111" i="10"/>
  <c r="H112" i="10"/>
  <c r="H113" i="10"/>
  <c r="D110" i="7"/>
  <c r="I110" i="7" s="1"/>
  <c r="D111" i="7"/>
  <c r="I111" i="7" s="1"/>
  <c r="D112" i="7"/>
  <c r="I112" i="7" s="1"/>
  <c r="D113" i="7"/>
  <c r="I113" i="7" s="1"/>
  <c r="E110" i="7"/>
  <c r="E111" i="7"/>
  <c r="E112" i="7"/>
  <c r="E113" i="7"/>
  <c r="F110" i="7"/>
  <c r="F111" i="7"/>
  <c r="F112" i="7"/>
  <c r="F113" i="7"/>
  <c r="H110" i="7"/>
  <c r="H111" i="7"/>
  <c r="H112" i="7"/>
  <c r="H113" i="7"/>
  <c r="D108" i="6"/>
  <c r="I108" i="6" s="1"/>
  <c r="D109" i="6"/>
  <c r="I109" i="6" s="1"/>
  <c r="D110" i="6"/>
  <c r="I110" i="6" s="1"/>
  <c r="D111" i="6"/>
  <c r="I111" i="6" s="1"/>
  <c r="E108" i="6"/>
  <c r="E109" i="6"/>
  <c r="E110" i="6"/>
  <c r="E111" i="6"/>
  <c r="F108" i="6"/>
  <c r="F109" i="6"/>
  <c r="F110" i="6"/>
  <c r="F111" i="6"/>
  <c r="H108" i="6"/>
  <c r="H109" i="6"/>
  <c r="H110" i="6"/>
  <c r="H111" i="6"/>
  <c r="D104" i="5"/>
  <c r="I104" i="5" s="1"/>
  <c r="D105" i="5"/>
  <c r="I105" i="5" s="1"/>
  <c r="D106" i="5"/>
  <c r="I106" i="5" s="1"/>
  <c r="D107" i="5"/>
  <c r="I107" i="5" s="1"/>
  <c r="E104" i="5"/>
  <c r="E105" i="5"/>
  <c r="E106" i="5"/>
  <c r="E107" i="5"/>
  <c r="F104" i="5"/>
  <c r="F105" i="5"/>
  <c r="F106" i="5"/>
  <c r="F107" i="5"/>
  <c r="H104" i="5"/>
  <c r="H105" i="5"/>
  <c r="H106" i="5"/>
  <c r="H107" i="5"/>
  <c r="D104" i="4"/>
  <c r="I104" i="4" s="1"/>
  <c r="D105" i="4"/>
  <c r="I105" i="4" s="1"/>
  <c r="D106" i="4"/>
  <c r="I106" i="4" s="1"/>
  <c r="D107" i="4"/>
  <c r="I107" i="4" s="1"/>
  <c r="E104" i="4"/>
  <c r="E105" i="4"/>
  <c r="E106" i="4"/>
  <c r="E107" i="4"/>
  <c r="F104" i="4"/>
  <c r="F105" i="4"/>
  <c r="F106" i="4"/>
  <c r="F107" i="4"/>
  <c r="H104" i="4"/>
  <c r="H105" i="4"/>
  <c r="H106" i="4"/>
  <c r="H107" i="4"/>
  <c r="D104" i="3"/>
  <c r="I104" i="3" s="1"/>
  <c r="D105" i="3"/>
  <c r="I105" i="3" s="1"/>
  <c r="D106" i="3"/>
  <c r="I106" i="3" s="1"/>
  <c r="D107" i="3"/>
  <c r="I107" i="3" s="1"/>
  <c r="E104" i="3"/>
  <c r="E105" i="3"/>
  <c r="E106" i="3"/>
  <c r="E107" i="3"/>
  <c r="F104" i="3"/>
  <c r="F105" i="3"/>
  <c r="F106" i="3"/>
  <c r="F107" i="3"/>
  <c r="H104" i="3"/>
  <c r="H105" i="3"/>
  <c r="H106" i="3"/>
  <c r="H107" i="3"/>
  <c r="G111" i="7" l="1"/>
  <c r="G105" i="3"/>
  <c r="G104" i="20"/>
  <c r="G105" i="18"/>
  <c r="G112" i="10"/>
  <c r="G106" i="5"/>
  <c r="G106" i="22"/>
  <c r="G112" i="9"/>
  <c r="G104" i="4"/>
  <c r="G112" i="19"/>
  <c r="G105" i="17"/>
  <c r="G106" i="11"/>
  <c r="G111" i="10"/>
  <c r="G110" i="10"/>
  <c r="G111" i="9"/>
  <c r="G105" i="22"/>
  <c r="G103" i="18"/>
  <c r="G104" i="17"/>
  <c r="G110" i="16"/>
  <c r="G112" i="12"/>
  <c r="G110" i="7"/>
  <c r="G111" i="23"/>
  <c r="G110" i="21"/>
  <c r="G103" i="20"/>
  <c r="G111" i="19"/>
  <c r="G110" i="19"/>
  <c r="G104" i="18"/>
  <c r="G109" i="16"/>
  <c r="G105" i="14"/>
  <c r="G112" i="13"/>
  <c r="G110" i="13"/>
  <c r="G111" i="12"/>
  <c r="G110" i="12"/>
  <c r="G105" i="11"/>
  <c r="G110" i="9"/>
  <c r="G110" i="8"/>
  <c r="G110" i="6"/>
  <c r="G106" i="3"/>
  <c r="G109" i="23"/>
  <c r="G112" i="23"/>
  <c r="G110" i="23"/>
  <c r="G104" i="22"/>
  <c r="G111" i="21"/>
  <c r="G112" i="21"/>
  <c r="G113" i="21"/>
  <c r="G105" i="20"/>
  <c r="G109" i="19"/>
  <c r="G103" i="17"/>
  <c r="G112" i="16"/>
  <c r="G111" i="16"/>
  <c r="G58" i="15"/>
  <c r="G57" i="15"/>
  <c r="G111" i="13"/>
  <c r="G113" i="13"/>
  <c r="G109" i="12"/>
  <c r="G104" i="11"/>
  <c r="G113" i="10"/>
  <c r="G113" i="9"/>
  <c r="G113" i="8"/>
  <c r="G112" i="8"/>
  <c r="G111" i="8"/>
  <c r="G113" i="7"/>
  <c r="G112" i="7"/>
  <c r="G109" i="6"/>
  <c r="G108" i="6"/>
  <c r="G111" i="6"/>
  <c r="G107" i="5"/>
  <c r="G104" i="5"/>
  <c r="G105" i="5"/>
  <c r="G106" i="4"/>
  <c r="G107" i="4"/>
  <c r="G105" i="4"/>
  <c r="G104" i="3"/>
  <c r="G107" i="3"/>
  <c r="G107" i="22"/>
  <c r="G107" i="14"/>
  <c r="G106" i="14"/>
  <c r="G106" i="20"/>
  <c r="G106" i="18"/>
  <c r="G106" i="17"/>
  <c r="G107" i="11"/>
  <c r="D108" i="23" l="1"/>
  <c r="I108" i="23" s="1"/>
  <c r="E108" i="23"/>
  <c r="F108" i="23"/>
  <c r="H108" i="23"/>
  <c r="D103" i="22"/>
  <c r="I103" i="22" s="1"/>
  <c r="E103" i="22"/>
  <c r="F103" i="22"/>
  <c r="H103" i="22"/>
  <c r="D109" i="21"/>
  <c r="I109" i="21" s="1"/>
  <c r="E109" i="21"/>
  <c r="F109" i="21"/>
  <c r="H109" i="21"/>
  <c r="D102" i="20"/>
  <c r="I102" i="20" s="1"/>
  <c r="E102" i="20"/>
  <c r="F102" i="20"/>
  <c r="H102" i="20"/>
  <c r="D108" i="19"/>
  <c r="I108" i="19" s="1"/>
  <c r="E108" i="19"/>
  <c r="F108" i="19"/>
  <c r="H108" i="19"/>
  <c r="D102" i="18"/>
  <c r="I102" i="18" s="1"/>
  <c r="E102" i="18"/>
  <c r="F102" i="18"/>
  <c r="H102" i="18"/>
  <c r="D102" i="17"/>
  <c r="I102" i="17" s="1"/>
  <c r="E102" i="17"/>
  <c r="F102" i="17"/>
  <c r="H102" i="17"/>
  <c r="D108" i="16"/>
  <c r="I108" i="16" s="1"/>
  <c r="E108" i="16"/>
  <c r="F108" i="16"/>
  <c r="H108" i="16"/>
  <c r="D56" i="15"/>
  <c r="I56" i="15" s="1"/>
  <c r="E56" i="15"/>
  <c r="F56" i="15"/>
  <c r="H56" i="15"/>
  <c r="D104" i="14"/>
  <c r="I104" i="14" s="1"/>
  <c r="E104" i="14"/>
  <c r="F104" i="14"/>
  <c r="H104" i="14"/>
  <c r="D109" i="13"/>
  <c r="I109" i="13" s="1"/>
  <c r="E109" i="13"/>
  <c r="F109" i="13"/>
  <c r="H109" i="13"/>
  <c r="D108" i="12"/>
  <c r="I108" i="12" s="1"/>
  <c r="E108" i="12"/>
  <c r="F108" i="12"/>
  <c r="H108" i="12"/>
  <c r="D103" i="11"/>
  <c r="I103" i="11" s="1"/>
  <c r="E103" i="11"/>
  <c r="F103" i="11"/>
  <c r="H103" i="11"/>
  <c r="D109" i="10"/>
  <c r="I109" i="10" s="1"/>
  <c r="E109" i="10"/>
  <c r="F109" i="10"/>
  <c r="H109" i="10"/>
  <c r="D109" i="9"/>
  <c r="I109" i="9" s="1"/>
  <c r="E109" i="9"/>
  <c r="F109" i="9"/>
  <c r="H109" i="9"/>
  <c r="D109" i="8"/>
  <c r="I109" i="8" s="1"/>
  <c r="E109" i="8"/>
  <c r="F109" i="8"/>
  <c r="H109" i="8"/>
  <c r="D109" i="7"/>
  <c r="I109" i="7" s="1"/>
  <c r="E109" i="7"/>
  <c r="F109" i="7"/>
  <c r="H109" i="7"/>
  <c r="D107" i="6"/>
  <c r="I107" i="6" s="1"/>
  <c r="E107" i="6"/>
  <c r="F107" i="6"/>
  <c r="H107" i="6"/>
  <c r="D103" i="5"/>
  <c r="I103" i="5" s="1"/>
  <c r="E103" i="5"/>
  <c r="F103" i="5"/>
  <c r="H103" i="5"/>
  <c r="D103" i="4"/>
  <c r="I103" i="4" s="1"/>
  <c r="E103" i="4"/>
  <c r="F103" i="4"/>
  <c r="H103" i="4"/>
  <c r="D103" i="3"/>
  <c r="I103" i="3" s="1"/>
  <c r="E103" i="3"/>
  <c r="F103" i="3"/>
  <c r="H103" i="3"/>
  <c r="G108" i="23" l="1"/>
  <c r="G56" i="15"/>
  <c r="G109" i="9"/>
  <c r="G103" i="22"/>
  <c r="G109" i="21"/>
  <c r="G102" i="20"/>
  <c r="G108" i="16"/>
  <c r="G104" i="14"/>
  <c r="G108" i="12"/>
  <c r="G103" i="11"/>
  <c r="G109" i="10"/>
  <c r="G109" i="7"/>
  <c r="G107" i="6"/>
  <c r="G103" i="5"/>
  <c r="G103" i="4"/>
  <c r="G103" i="3"/>
  <c r="G108" i="19"/>
  <c r="G109" i="13"/>
  <c r="G109" i="8"/>
  <c r="G102" i="18"/>
  <c r="G102" i="17"/>
  <c r="D105" i="23" l="1"/>
  <c r="I105" i="23" s="1"/>
  <c r="D106" i="23"/>
  <c r="I106" i="23" s="1"/>
  <c r="D107" i="23"/>
  <c r="I107" i="23" s="1"/>
  <c r="E105" i="23"/>
  <c r="E106" i="23"/>
  <c r="E107" i="23"/>
  <c r="F105" i="23"/>
  <c r="F106" i="23"/>
  <c r="F107" i="23"/>
  <c r="H105" i="23"/>
  <c r="H106" i="23"/>
  <c r="H107" i="23"/>
  <c r="D100" i="22"/>
  <c r="I100" i="22" s="1"/>
  <c r="D101" i="22"/>
  <c r="I101" i="22" s="1"/>
  <c r="D102" i="22"/>
  <c r="I102" i="22" s="1"/>
  <c r="E100" i="22"/>
  <c r="E101" i="22"/>
  <c r="E102" i="22"/>
  <c r="F100" i="22"/>
  <c r="F101" i="22"/>
  <c r="F102" i="22"/>
  <c r="H100" i="22"/>
  <c r="H101" i="22"/>
  <c r="H102" i="22"/>
  <c r="D106" i="21"/>
  <c r="I106" i="21" s="1"/>
  <c r="D107" i="21"/>
  <c r="I107" i="21" s="1"/>
  <c r="D108" i="21"/>
  <c r="I108" i="21" s="1"/>
  <c r="E106" i="21"/>
  <c r="E107" i="21"/>
  <c r="E108" i="21"/>
  <c r="F106" i="21"/>
  <c r="F107" i="21"/>
  <c r="F108" i="21"/>
  <c r="H106" i="21"/>
  <c r="H107" i="21"/>
  <c r="H108" i="21"/>
  <c r="D99" i="20"/>
  <c r="I99" i="20" s="1"/>
  <c r="D100" i="20"/>
  <c r="I100" i="20" s="1"/>
  <c r="D101" i="20"/>
  <c r="I101" i="20" s="1"/>
  <c r="E99" i="20"/>
  <c r="E100" i="20"/>
  <c r="E101" i="20"/>
  <c r="F99" i="20"/>
  <c r="F100" i="20"/>
  <c r="F101" i="20"/>
  <c r="H99" i="20"/>
  <c r="H100" i="20"/>
  <c r="H101" i="20"/>
  <c r="D105" i="19"/>
  <c r="I105" i="19" s="1"/>
  <c r="D106" i="19"/>
  <c r="I106" i="19" s="1"/>
  <c r="D107" i="19"/>
  <c r="I107" i="19" s="1"/>
  <c r="E105" i="19"/>
  <c r="E106" i="19"/>
  <c r="E107" i="19"/>
  <c r="F105" i="19"/>
  <c r="F106" i="19"/>
  <c r="F107" i="19"/>
  <c r="H105" i="19"/>
  <c r="H106" i="19"/>
  <c r="H107" i="19"/>
  <c r="D99" i="18"/>
  <c r="I99" i="18" s="1"/>
  <c r="D100" i="18"/>
  <c r="I100" i="18" s="1"/>
  <c r="D101" i="18"/>
  <c r="I101" i="18" s="1"/>
  <c r="E99" i="18"/>
  <c r="E100" i="18"/>
  <c r="E101" i="18"/>
  <c r="F99" i="18"/>
  <c r="F100" i="18"/>
  <c r="F101" i="18"/>
  <c r="H99" i="18"/>
  <c r="H100" i="18"/>
  <c r="H101" i="18"/>
  <c r="D99" i="17"/>
  <c r="I99" i="17" s="1"/>
  <c r="D100" i="17"/>
  <c r="I100" i="17" s="1"/>
  <c r="D101" i="17"/>
  <c r="I101" i="17" s="1"/>
  <c r="E99" i="17"/>
  <c r="E100" i="17"/>
  <c r="E101" i="17"/>
  <c r="F99" i="17"/>
  <c r="F100" i="17"/>
  <c r="F101" i="17"/>
  <c r="H99" i="17"/>
  <c r="H100" i="17"/>
  <c r="H101" i="17"/>
  <c r="D105" i="16"/>
  <c r="I105" i="16" s="1"/>
  <c r="D106" i="16"/>
  <c r="I106" i="16" s="1"/>
  <c r="D107" i="16"/>
  <c r="I107" i="16" s="1"/>
  <c r="E105" i="16"/>
  <c r="E106" i="16"/>
  <c r="E107" i="16"/>
  <c r="F105" i="16"/>
  <c r="F106" i="16"/>
  <c r="F107" i="16"/>
  <c r="H105" i="16"/>
  <c r="H106" i="16"/>
  <c r="H107" i="16"/>
  <c r="D101" i="14"/>
  <c r="I101" i="14" s="1"/>
  <c r="D102" i="14"/>
  <c r="I102" i="14" s="1"/>
  <c r="D103" i="14"/>
  <c r="I103" i="14" s="1"/>
  <c r="E101" i="14"/>
  <c r="E102" i="14"/>
  <c r="E103" i="14"/>
  <c r="F101" i="14"/>
  <c r="F102" i="14"/>
  <c r="F103" i="14"/>
  <c r="H101" i="14"/>
  <c r="H102" i="14"/>
  <c r="H103" i="14"/>
  <c r="D106" i="13"/>
  <c r="I106" i="13" s="1"/>
  <c r="D107" i="13"/>
  <c r="I107" i="13" s="1"/>
  <c r="D108" i="13"/>
  <c r="I108" i="13" s="1"/>
  <c r="E106" i="13"/>
  <c r="E107" i="13"/>
  <c r="E108" i="13"/>
  <c r="F106" i="13"/>
  <c r="F107" i="13"/>
  <c r="F108" i="13"/>
  <c r="H106" i="13"/>
  <c r="H107" i="13"/>
  <c r="H108" i="13"/>
  <c r="D105" i="12"/>
  <c r="I105" i="12" s="1"/>
  <c r="D106" i="12"/>
  <c r="I106" i="12" s="1"/>
  <c r="D107" i="12"/>
  <c r="I107" i="12" s="1"/>
  <c r="E105" i="12"/>
  <c r="E106" i="12"/>
  <c r="E107" i="12"/>
  <c r="F105" i="12"/>
  <c r="F106" i="12"/>
  <c r="F107" i="12"/>
  <c r="H105" i="12"/>
  <c r="H106" i="12"/>
  <c r="H107" i="12"/>
  <c r="D102" i="11"/>
  <c r="I102" i="11" s="1"/>
  <c r="E102" i="11"/>
  <c r="F102" i="11"/>
  <c r="H102" i="11"/>
  <c r="D106" i="9"/>
  <c r="I106" i="9" s="1"/>
  <c r="D107" i="9"/>
  <c r="I107" i="9" s="1"/>
  <c r="D108" i="9"/>
  <c r="I108" i="9" s="1"/>
  <c r="E106" i="9"/>
  <c r="E107" i="9"/>
  <c r="E108" i="9"/>
  <c r="F106" i="9"/>
  <c r="F107" i="9"/>
  <c r="F108" i="9"/>
  <c r="H106" i="9"/>
  <c r="H107" i="9"/>
  <c r="H108" i="9"/>
  <c r="D106" i="10"/>
  <c r="I106" i="10" s="1"/>
  <c r="D107" i="10"/>
  <c r="I107" i="10" s="1"/>
  <c r="D108" i="10"/>
  <c r="I108" i="10" s="1"/>
  <c r="E106" i="10"/>
  <c r="E107" i="10"/>
  <c r="E108" i="10"/>
  <c r="F106" i="10"/>
  <c r="F107" i="10"/>
  <c r="F108" i="10"/>
  <c r="H106" i="10"/>
  <c r="H107" i="10"/>
  <c r="H108" i="10"/>
  <c r="D106" i="8"/>
  <c r="I106" i="8" s="1"/>
  <c r="D107" i="8"/>
  <c r="I107" i="8" s="1"/>
  <c r="D108" i="8"/>
  <c r="I108" i="8" s="1"/>
  <c r="E106" i="8"/>
  <c r="E107" i="8"/>
  <c r="E108" i="8"/>
  <c r="F106" i="8"/>
  <c r="F107" i="8"/>
  <c r="F108" i="8"/>
  <c r="H106" i="8"/>
  <c r="H107" i="8"/>
  <c r="H108" i="8"/>
  <c r="D106" i="7"/>
  <c r="I106" i="7" s="1"/>
  <c r="D107" i="7"/>
  <c r="I107" i="7" s="1"/>
  <c r="D108" i="7"/>
  <c r="I108" i="7" s="1"/>
  <c r="E106" i="7"/>
  <c r="E107" i="7"/>
  <c r="E108" i="7"/>
  <c r="F106" i="7"/>
  <c r="F107" i="7"/>
  <c r="F108" i="7"/>
  <c r="H106" i="7"/>
  <c r="H107" i="7"/>
  <c r="H108" i="7"/>
  <c r="D104" i="6"/>
  <c r="I104" i="6" s="1"/>
  <c r="D105" i="6"/>
  <c r="I105" i="6" s="1"/>
  <c r="D106" i="6"/>
  <c r="I106" i="6" s="1"/>
  <c r="E104" i="6"/>
  <c r="E105" i="6"/>
  <c r="E106" i="6"/>
  <c r="F104" i="6"/>
  <c r="F105" i="6"/>
  <c r="F106" i="6"/>
  <c r="H104" i="6"/>
  <c r="H105" i="6"/>
  <c r="H106" i="6"/>
  <c r="D100" i="5"/>
  <c r="I100" i="5" s="1"/>
  <c r="D101" i="5"/>
  <c r="I101" i="5" s="1"/>
  <c r="D102" i="5"/>
  <c r="I102" i="5" s="1"/>
  <c r="E100" i="5"/>
  <c r="E101" i="5"/>
  <c r="E102" i="5"/>
  <c r="F100" i="5"/>
  <c r="F101" i="5"/>
  <c r="F102" i="5"/>
  <c r="H100" i="5"/>
  <c r="H101" i="5"/>
  <c r="H102" i="5"/>
  <c r="D101" i="4"/>
  <c r="I101" i="4" s="1"/>
  <c r="D102" i="4"/>
  <c r="I102" i="4" s="1"/>
  <c r="E101" i="4"/>
  <c r="E102" i="4"/>
  <c r="F101" i="4"/>
  <c r="F102" i="4"/>
  <c r="H101" i="4"/>
  <c r="H102" i="4"/>
  <c r="D100" i="3"/>
  <c r="I100" i="3" s="1"/>
  <c r="D101" i="3"/>
  <c r="I101" i="3" s="1"/>
  <c r="D102" i="3"/>
  <c r="I102" i="3" s="1"/>
  <c r="E100" i="3"/>
  <c r="E101" i="3"/>
  <c r="E102" i="3"/>
  <c r="F100" i="3"/>
  <c r="F101" i="3"/>
  <c r="F102" i="3"/>
  <c r="H100" i="3"/>
  <c r="H101" i="3"/>
  <c r="H102" i="3"/>
  <c r="G100" i="22" l="1"/>
  <c r="G102" i="22"/>
  <c r="G107" i="7"/>
  <c r="G101" i="20"/>
  <c r="G100" i="20"/>
  <c r="G101" i="18"/>
  <c r="G106" i="10"/>
  <c r="G107" i="23"/>
  <c r="G105" i="23"/>
  <c r="G108" i="21"/>
  <c r="G105" i="19"/>
  <c r="G100" i="17"/>
  <c r="G108" i="10"/>
  <c r="G106" i="6"/>
  <c r="G101" i="4"/>
  <c r="G106" i="23"/>
  <c r="G101" i="22"/>
  <c r="G106" i="21"/>
  <c r="G106" i="19"/>
  <c r="G106" i="16"/>
  <c r="G102" i="14"/>
  <c r="G101" i="14"/>
  <c r="G106" i="12"/>
  <c r="G105" i="12"/>
  <c r="G107" i="9"/>
  <c r="G106" i="8"/>
  <c r="G107" i="10"/>
  <c r="G106" i="7"/>
  <c r="G100" i="3"/>
  <c r="G102" i="3"/>
  <c r="G101" i="3"/>
  <c r="G107" i="21"/>
  <c r="G107" i="19"/>
  <c r="G100" i="18"/>
  <c r="G99" i="18"/>
  <c r="G99" i="17"/>
  <c r="G101" i="17"/>
  <c r="G105" i="16"/>
  <c r="G107" i="16"/>
  <c r="G108" i="13"/>
  <c r="G107" i="13"/>
  <c r="G106" i="13"/>
  <c r="G107" i="12"/>
  <c r="G102" i="11"/>
  <c r="G106" i="9"/>
  <c r="G108" i="9"/>
  <c r="G108" i="8"/>
  <c r="G107" i="8"/>
  <c r="G108" i="7"/>
  <c r="G104" i="6"/>
  <c r="G105" i="6"/>
  <c r="G102" i="5"/>
  <c r="G100" i="5"/>
  <c r="G101" i="5"/>
  <c r="G102" i="4"/>
  <c r="G99" i="20"/>
  <c r="G103" i="14"/>
  <c r="D104" i="23" l="1"/>
  <c r="I104" i="23" s="1"/>
  <c r="E104" i="23"/>
  <c r="F104" i="23"/>
  <c r="H104" i="23"/>
  <c r="D99" i="22"/>
  <c r="I99" i="22" s="1"/>
  <c r="E99" i="22"/>
  <c r="F99" i="22"/>
  <c r="H99" i="22"/>
  <c r="D105" i="21"/>
  <c r="I105" i="21" s="1"/>
  <c r="E105" i="21"/>
  <c r="F105" i="21"/>
  <c r="H105" i="21"/>
  <c r="D96" i="20"/>
  <c r="I96" i="20" s="1"/>
  <c r="D97" i="20"/>
  <c r="I97" i="20" s="1"/>
  <c r="D98" i="20"/>
  <c r="I98" i="20" s="1"/>
  <c r="E96" i="20"/>
  <c r="E97" i="20"/>
  <c r="E98" i="20"/>
  <c r="F96" i="20"/>
  <c r="F97" i="20"/>
  <c r="F98" i="20"/>
  <c r="H96" i="20"/>
  <c r="H97" i="20"/>
  <c r="H98" i="20"/>
  <c r="D104" i="19"/>
  <c r="I104" i="19" s="1"/>
  <c r="E104" i="19"/>
  <c r="F104" i="19"/>
  <c r="H104" i="19"/>
  <c r="D98" i="18"/>
  <c r="I98" i="18" s="1"/>
  <c r="E98" i="18"/>
  <c r="F98" i="18"/>
  <c r="H98" i="18"/>
  <c r="D104" i="16"/>
  <c r="I104" i="16" s="1"/>
  <c r="E104" i="16"/>
  <c r="F104" i="16"/>
  <c r="H104" i="16"/>
  <c r="D96" i="17"/>
  <c r="I96" i="17" s="1"/>
  <c r="D97" i="17"/>
  <c r="I97" i="17" s="1"/>
  <c r="D98" i="17"/>
  <c r="I98" i="17" s="1"/>
  <c r="E96" i="17"/>
  <c r="E97" i="17"/>
  <c r="E98" i="17"/>
  <c r="F96" i="17"/>
  <c r="F97" i="17"/>
  <c r="F98" i="17"/>
  <c r="H96" i="17"/>
  <c r="H97" i="17"/>
  <c r="H98" i="17"/>
  <c r="D98" i="14"/>
  <c r="I98" i="14" s="1"/>
  <c r="D99" i="14"/>
  <c r="I99" i="14" s="1"/>
  <c r="D100" i="14"/>
  <c r="I100" i="14" s="1"/>
  <c r="E98" i="14"/>
  <c r="E99" i="14"/>
  <c r="E100" i="14"/>
  <c r="F98" i="14"/>
  <c r="F99" i="14"/>
  <c r="F100" i="14"/>
  <c r="H98" i="14"/>
  <c r="H99" i="14"/>
  <c r="H100" i="14"/>
  <c r="D105" i="13"/>
  <c r="I105" i="13" s="1"/>
  <c r="E105" i="13"/>
  <c r="F105" i="13"/>
  <c r="H105" i="13"/>
  <c r="D104" i="12"/>
  <c r="I104" i="12" s="1"/>
  <c r="E104" i="12"/>
  <c r="F104" i="12"/>
  <c r="H104" i="12"/>
  <c r="D101" i="11"/>
  <c r="I101" i="11" s="1"/>
  <c r="E101" i="11"/>
  <c r="F101" i="11"/>
  <c r="H101" i="11"/>
  <c r="D105" i="10"/>
  <c r="I105" i="10" s="1"/>
  <c r="E105" i="10"/>
  <c r="F105" i="10"/>
  <c r="H105" i="10"/>
  <c r="D105" i="9"/>
  <c r="I105" i="9" s="1"/>
  <c r="E105" i="9"/>
  <c r="F105" i="9"/>
  <c r="H105" i="9"/>
  <c r="D105" i="8"/>
  <c r="I105" i="8" s="1"/>
  <c r="E105" i="8"/>
  <c r="F105" i="8"/>
  <c r="H105" i="8"/>
  <c r="D105" i="7"/>
  <c r="I105" i="7" s="1"/>
  <c r="E105" i="7"/>
  <c r="F105" i="7"/>
  <c r="H105" i="7"/>
  <c r="D103" i="6"/>
  <c r="I103" i="6" s="1"/>
  <c r="E103" i="6"/>
  <c r="F103" i="6"/>
  <c r="H103" i="6"/>
  <c r="D99" i="5"/>
  <c r="I99" i="5" s="1"/>
  <c r="E99" i="5"/>
  <c r="F99" i="5"/>
  <c r="H99" i="5"/>
  <c r="D99" i="3"/>
  <c r="I99" i="3" s="1"/>
  <c r="E99" i="3"/>
  <c r="F99" i="3"/>
  <c r="H99" i="3"/>
  <c r="D102" i="23"/>
  <c r="I102" i="23" s="1"/>
  <c r="D103" i="23"/>
  <c r="I103" i="23" s="1"/>
  <c r="E102" i="23"/>
  <c r="E103" i="23"/>
  <c r="F102" i="23"/>
  <c r="F103" i="23"/>
  <c r="H102" i="23"/>
  <c r="H103" i="23"/>
  <c r="D103" i="21"/>
  <c r="I103" i="21" s="1"/>
  <c r="D104" i="21"/>
  <c r="I104" i="21" s="1"/>
  <c r="E103" i="21"/>
  <c r="E104" i="21"/>
  <c r="F103" i="21"/>
  <c r="F104" i="21"/>
  <c r="H103" i="21"/>
  <c r="H104" i="21"/>
  <c r="D102" i="19"/>
  <c r="I102" i="19" s="1"/>
  <c r="D103" i="19"/>
  <c r="I103" i="19" s="1"/>
  <c r="E102" i="19"/>
  <c r="E103" i="19"/>
  <c r="F102" i="19"/>
  <c r="F103" i="19"/>
  <c r="H102" i="19"/>
  <c r="H103" i="19"/>
  <c r="D96" i="18"/>
  <c r="I96" i="18" s="1"/>
  <c r="D97" i="18"/>
  <c r="I97" i="18" s="1"/>
  <c r="E96" i="18"/>
  <c r="E97" i="18"/>
  <c r="F96" i="18"/>
  <c r="F97" i="18"/>
  <c r="H96" i="18"/>
  <c r="H97" i="18"/>
  <c r="D102" i="16"/>
  <c r="I102" i="16" s="1"/>
  <c r="D103" i="16"/>
  <c r="I103" i="16" s="1"/>
  <c r="E102" i="16"/>
  <c r="E103" i="16"/>
  <c r="F102" i="16"/>
  <c r="F103" i="16"/>
  <c r="H102" i="16"/>
  <c r="H103" i="16"/>
  <c r="D103" i="13"/>
  <c r="I103" i="13" s="1"/>
  <c r="D104" i="13"/>
  <c r="I104" i="13" s="1"/>
  <c r="E103" i="13"/>
  <c r="E104" i="13"/>
  <c r="F103" i="13"/>
  <c r="F104" i="13"/>
  <c r="H103" i="13"/>
  <c r="H104" i="13"/>
  <c r="D102" i="12"/>
  <c r="I102" i="12" s="1"/>
  <c r="D103" i="12"/>
  <c r="I103" i="12" s="1"/>
  <c r="E102" i="12"/>
  <c r="E103" i="12"/>
  <c r="F102" i="12"/>
  <c r="F103" i="12"/>
  <c r="H102" i="12"/>
  <c r="H103" i="12"/>
  <c r="D99" i="11"/>
  <c r="I99" i="11" s="1"/>
  <c r="D100" i="11"/>
  <c r="I100" i="11" s="1"/>
  <c r="E99" i="11"/>
  <c r="E100" i="11"/>
  <c r="F99" i="11"/>
  <c r="F100" i="11"/>
  <c r="H99" i="11"/>
  <c r="H100" i="11"/>
  <c r="D102" i="10"/>
  <c r="I102" i="10" s="1"/>
  <c r="D103" i="10"/>
  <c r="I103" i="10" s="1"/>
  <c r="D104" i="10"/>
  <c r="I104" i="10" s="1"/>
  <c r="E102" i="10"/>
  <c r="E103" i="10"/>
  <c r="E104" i="10"/>
  <c r="F102" i="10"/>
  <c r="F103" i="10"/>
  <c r="F104" i="10"/>
  <c r="H102" i="10"/>
  <c r="H103" i="10"/>
  <c r="H104" i="10"/>
  <c r="D103" i="9"/>
  <c r="I103" i="9" s="1"/>
  <c r="D104" i="9"/>
  <c r="I104" i="9" s="1"/>
  <c r="E103" i="9"/>
  <c r="E104" i="9"/>
  <c r="F103" i="9"/>
  <c r="F104" i="9"/>
  <c r="H103" i="9"/>
  <c r="H104" i="9"/>
  <c r="D103" i="8"/>
  <c r="I103" i="8" s="1"/>
  <c r="D104" i="8"/>
  <c r="I104" i="8" s="1"/>
  <c r="E103" i="8"/>
  <c r="E104" i="8"/>
  <c r="F103" i="8"/>
  <c r="F104" i="8"/>
  <c r="H103" i="8"/>
  <c r="H104" i="8"/>
  <c r="D103" i="7"/>
  <c r="I103" i="7" s="1"/>
  <c r="D104" i="7"/>
  <c r="I104" i="7" s="1"/>
  <c r="E103" i="7"/>
  <c r="E104" i="7"/>
  <c r="F103" i="7"/>
  <c r="F104" i="7"/>
  <c r="H103" i="7"/>
  <c r="H104" i="7"/>
  <c r="D101" i="6"/>
  <c r="I101" i="6" s="1"/>
  <c r="D102" i="6"/>
  <c r="I102" i="6" s="1"/>
  <c r="E101" i="6"/>
  <c r="E102" i="6"/>
  <c r="F101" i="6"/>
  <c r="F102" i="6"/>
  <c r="H101" i="6"/>
  <c r="H102" i="6"/>
  <c r="D97" i="5"/>
  <c r="I97" i="5" s="1"/>
  <c r="D98" i="5"/>
  <c r="I98" i="5" s="1"/>
  <c r="E97" i="5"/>
  <c r="E98" i="5"/>
  <c r="F97" i="5"/>
  <c r="F98" i="5"/>
  <c r="H97" i="5"/>
  <c r="H98" i="5"/>
  <c r="D99" i="4"/>
  <c r="I99" i="4" s="1"/>
  <c r="D100" i="4"/>
  <c r="I100" i="4" s="1"/>
  <c r="E99" i="4"/>
  <c r="E100" i="4"/>
  <c r="F99" i="4"/>
  <c r="F100" i="4"/>
  <c r="H99" i="4"/>
  <c r="H100" i="4"/>
  <c r="D97" i="3"/>
  <c r="I97" i="3" s="1"/>
  <c r="D98" i="3"/>
  <c r="I98" i="3" s="1"/>
  <c r="E97" i="3"/>
  <c r="E98" i="3"/>
  <c r="F97" i="3"/>
  <c r="F98" i="3"/>
  <c r="H97" i="3"/>
  <c r="H98" i="3"/>
  <c r="D99" i="23"/>
  <c r="I99" i="23" s="1"/>
  <c r="D100" i="23"/>
  <c r="I100" i="23" s="1"/>
  <c r="D101" i="23"/>
  <c r="I101" i="23" s="1"/>
  <c r="E99" i="23"/>
  <c r="E100" i="23"/>
  <c r="E101" i="23"/>
  <c r="F99" i="23"/>
  <c r="F100" i="23"/>
  <c r="F101" i="23"/>
  <c r="H99" i="23"/>
  <c r="H100" i="23"/>
  <c r="H101" i="23"/>
  <c r="D96" i="22"/>
  <c r="I96" i="22" s="1"/>
  <c r="D97" i="22"/>
  <c r="I97" i="22" s="1"/>
  <c r="D98" i="22"/>
  <c r="I98" i="22" s="1"/>
  <c r="E96" i="22"/>
  <c r="E97" i="22"/>
  <c r="E98" i="22"/>
  <c r="F96" i="22"/>
  <c r="F97" i="22"/>
  <c r="F98" i="22"/>
  <c r="H96" i="22"/>
  <c r="H97" i="22"/>
  <c r="H98" i="22"/>
  <c r="D100" i="21"/>
  <c r="I100" i="21" s="1"/>
  <c r="D101" i="21"/>
  <c r="I101" i="21" s="1"/>
  <c r="D102" i="21"/>
  <c r="I102" i="21" s="1"/>
  <c r="E100" i="21"/>
  <c r="E101" i="21"/>
  <c r="E102" i="21"/>
  <c r="F100" i="21"/>
  <c r="F101" i="21"/>
  <c r="F102" i="21"/>
  <c r="H100" i="21"/>
  <c r="H101" i="21"/>
  <c r="H102" i="21"/>
  <c r="D93" i="20"/>
  <c r="I93" i="20" s="1"/>
  <c r="D94" i="20"/>
  <c r="I94" i="20" s="1"/>
  <c r="D95" i="20"/>
  <c r="I95" i="20" s="1"/>
  <c r="E93" i="20"/>
  <c r="E94" i="20"/>
  <c r="E95" i="20"/>
  <c r="F93" i="20"/>
  <c r="F94" i="20"/>
  <c r="F95" i="20"/>
  <c r="H93" i="20"/>
  <c r="H94" i="20"/>
  <c r="H95" i="20"/>
  <c r="D99" i="19"/>
  <c r="I99" i="19" s="1"/>
  <c r="D100" i="19"/>
  <c r="I100" i="19" s="1"/>
  <c r="D101" i="19"/>
  <c r="I101" i="19" s="1"/>
  <c r="E99" i="19"/>
  <c r="E100" i="19"/>
  <c r="E101" i="19"/>
  <c r="F99" i="19"/>
  <c r="F100" i="19"/>
  <c r="F101" i="19"/>
  <c r="H99" i="19"/>
  <c r="H100" i="19"/>
  <c r="H101" i="19"/>
  <c r="D93" i="18"/>
  <c r="I93" i="18" s="1"/>
  <c r="D94" i="18"/>
  <c r="I94" i="18" s="1"/>
  <c r="D95" i="18"/>
  <c r="I95" i="18" s="1"/>
  <c r="E93" i="18"/>
  <c r="E94" i="18"/>
  <c r="E95" i="18"/>
  <c r="F93" i="18"/>
  <c r="F94" i="18"/>
  <c r="F95" i="18"/>
  <c r="H93" i="18"/>
  <c r="H94" i="18"/>
  <c r="H95" i="18"/>
  <c r="D93" i="17"/>
  <c r="I93" i="17" s="1"/>
  <c r="D94" i="17"/>
  <c r="I94" i="17" s="1"/>
  <c r="D95" i="17"/>
  <c r="I95" i="17" s="1"/>
  <c r="E93" i="17"/>
  <c r="E94" i="17"/>
  <c r="E95" i="17"/>
  <c r="F93" i="17"/>
  <c r="F94" i="17"/>
  <c r="F95" i="17"/>
  <c r="H93" i="17"/>
  <c r="H94" i="17"/>
  <c r="H95" i="17"/>
  <c r="D99" i="16"/>
  <c r="I99" i="16" s="1"/>
  <c r="D100" i="16"/>
  <c r="I100" i="16" s="1"/>
  <c r="D101" i="16"/>
  <c r="I101" i="16" s="1"/>
  <c r="E99" i="16"/>
  <c r="E100" i="16"/>
  <c r="E101" i="16"/>
  <c r="F99" i="16"/>
  <c r="F100" i="16"/>
  <c r="F101" i="16"/>
  <c r="H99" i="16"/>
  <c r="H100" i="16"/>
  <c r="H101" i="16"/>
  <c r="D53" i="15"/>
  <c r="I53" i="15" s="1"/>
  <c r="D54" i="15"/>
  <c r="I54" i="15" s="1"/>
  <c r="D55" i="15"/>
  <c r="I55" i="15" s="1"/>
  <c r="E53" i="15"/>
  <c r="E54" i="15"/>
  <c r="E55" i="15"/>
  <c r="F53" i="15"/>
  <c r="F54" i="15"/>
  <c r="F55" i="15"/>
  <c r="H53" i="15"/>
  <c r="H54" i="15"/>
  <c r="H55" i="15"/>
  <c r="D95" i="14"/>
  <c r="I95" i="14" s="1"/>
  <c r="D96" i="14"/>
  <c r="I96" i="14" s="1"/>
  <c r="D97" i="14"/>
  <c r="I97" i="14" s="1"/>
  <c r="E95" i="14"/>
  <c r="E96" i="14"/>
  <c r="E97" i="14"/>
  <c r="F95" i="14"/>
  <c r="F96" i="14"/>
  <c r="F97" i="14"/>
  <c r="H95" i="14"/>
  <c r="H96" i="14"/>
  <c r="H97" i="14"/>
  <c r="D100" i="13"/>
  <c r="I100" i="13" s="1"/>
  <c r="D101" i="13"/>
  <c r="I101" i="13" s="1"/>
  <c r="D102" i="13"/>
  <c r="I102" i="13" s="1"/>
  <c r="E100" i="13"/>
  <c r="E101" i="13"/>
  <c r="E102" i="13"/>
  <c r="F100" i="13"/>
  <c r="F101" i="13"/>
  <c r="F102" i="13"/>
  <c r="H100" i="13"/>
  <c r="H101" i="13"/>
  <c r="H102" i="13"/>
  <c r="D99" i="12"/>
  <c r="I99" i="12" s="1"/>
  <c r="D100" i="12"/>
  <c r="I100" i="12" s="1"/>
  <c r="D101" i="12"/>
  <c r="I101" i="12" s="1"/>
  <c r="E99" i="12"/>
  <c r="E100" i="12"/>
  <c r="E101" i="12"/>
  <c r="F99" i="12"/>
  <c r="F100" i="12"/>
  <c r="F101" i="12"/>
  <c r="H99" i="12"/>
  <c r="H100" i="12"/>
  <c r="H101" i="12"/>
  <c r="D96" i="11"/>
  <c r="I96" i="11" s="1"/>
  <c r="D97" i="11"/>
  <c r="I97" i="11" s="1"/>
  <c r="D98" i="11"/>
  <c r="I98" i="11" s="1"/>
  <c r="E96" i="11"/>
  <c r="E97" i="11"/>
  <c r="E98" i="11"/>
  <c r="F96" i="11"/>
  <c r="F97" i="11"/>
  <c r="F98" i="11"/>
  <c r="H96" i="11"/>
  <c r="H97" i="11"/>
  <c r="H98" i="11"/>
  <c r="D99" i="10"/>
  <c r="I99" i="10" s="1"/>
  <c r="D100" i="10"/>
  <c r="I100" i="10" s="1"/>
  <c r="D101" i="10"/>
  <c r="I101" i="10" s="1"/>
  <c r="E99" i="10"/>
  <c r="E100" i="10"/>
  <c r="E101" i="10"/>
  <c r="F99" i="10"/>
  <c r="F100" i="10"/>
  <c r="F101" i="10"/>
  <c r="H99" i="10"/>
  <c r="H100" i="10"/>
  <c r="H101" i="10"/>
  <c r="D100" i="9"/>
  <c r="I100" i="9" s="1"/>
  <c r="D101" i="9"/>
  <c r="I101" i="9" s="1"/>
  <c r="D102" i="9"/>
  <c r="I102" i="9" s="1"/>
  <c r="E100" i="9"/>
  <c r="E101" i="9"/>
  <c r="E102" i="9"/>
  <c r="F100" i="9"/>
  <c r="F101" i="9"/>
  <c r="F102" i="9"/>
  <c r="H100" i="9"/>
  <c r="H101" i="9"/>
  <c r="H102" i="9"/>
  <c r="D100" i="8"/>
  <c r="I100" i="8" s="1"/>
  <c r="D101" i="8"/>
  <c r="I101" i="8" s="1"/>
  <c r="D102" i="8"/>
  <c r="I102" i="8" s="1"/>
  <c r="E100" i="8"/>
  <c r="E101" i="8"/>
  <c r="E102" i="8"/>
  <c r="F100" i="8"/>
  <c r="F101" i="8"/>
  <c r="F102" i="8"/>
  <c r="H100" i="8"/>
  <c r="H101" i="8"/>
  <c r="H102" i="8"/>
  <c r="D100" i="7"/>
  <c r="I100" i="7" s="1"/>
  <c r="D101" i="7"/>
  <c r="I101" i="7" s="1"/>
  <c r="D102" i="7"/>
  <c r="I102" i="7" s="1"/>
  <c r="E100" i="7"/>
  <c r="E101" i="7"/>
  <c r="E102" i="7"/>
  <c r="F100" i="7"/>
  <c r="F101" i="7"/>
  <c r="F102" i="7"/>
  <c r="H100" i="7"/>
  <c r="H101" i="7"/>
  <c r="H102" i="7"/>
  <c r="D98" i="6"/>
  <c r="I98" i="6" s="1"/>
  <c r="D99" i="6"/>
  <c r="I99" i="6" s="1"/>
  <c r="D100" i="6"/>
  <c r="I100" i="6" s="1"/>
  <c r="E98" i="6"/>
  <c r="E99" i="6"/>
  <c r="E100" i="6"/>
  <c r="F98" i="6"/>
  <c r="F99" i="6"/>
  <c r="F100" i="6"/>
  <c r="H98" i="6"/>
  <c r="H99" i="6"/>
  <c r="H100" i="6"/>
  <c r="D94" i="5"/>
  <c r="I94" i="5" s="1"/>
  <c r="D95" i="5"/>
  <c r="I95" i="5" s="1"/>
  <c r="D96" i="5"/>
  <c r="I96" i="5" s="1"/>
  <c r="E94" i="5"/>
  <c r="E95" i="5"/>
  <c r="E96" i="5"/>
  <c r="F94" i="5"/>
  <c r="F95" i="5"/>
  <c r="F96" i="5"/>
  <c r="H94" i="5"/>
  <c r="H95" i="5"/>
  <c r="H96" i="5"/>
  <c r="D96" i="4"/>
  <c r="I96" i="4" s="1"/>
  <c r="D97" i="4"/>
  <c r="I97" i="4" s="1"/>
  <c r="D98" i="4"/>
  <c r="I98" i="4" s="1"/>
  <c r="E96" i="4"/>
  <c r="E97" i="4"/>
  <c r="E98" i="4"/>
  <c r="F96" i="4"/>
  <c r="F97" i="4"/>
  <c r="F98" i="4"/>
  <c r="H96" i="4"/>
  <c r="H97" i="4"/>
  <c r="H98" i="4"/>
  <c r="D94" i="3"/>
  <c r="I94" i="3" s="1"/>
  <c r="D95" i="3"/>
  <c r="I95" i="3" s="1"/>
  <c r="D96" i="3"/>
  <c r="I96" i="3" s="1"/>
  <c r="E94" i="3"/>
  <c r="E95" i="3"/>
  <c r="E96" i="3"/>
  <c r="F94" i="3"/>
  <c r="F95" i="3"/>
  <c r="F96" i="3"/>
  <c r="H94" i="3"/>
  <c r="H95" i="3"/>
  <c r="H96" i="3"/>
  <c r="G100" i="12" l="1"/>
  <c r="G99" i="4"/>
  <c r="G102" i="23"/>
  <c r="G98" i="14"/>
  <c r="G102" i="10"/>
  <c r="G96" i="22"/>
  <c r="G102" i="21"/>
  <c r="G94" i="17"/>
  <c r="G93" i="17"/>
  <c r="G55" i="15"/>
  <c r="G100" i="14"/>
  <c r="G100" i="11"/>
  <c r="G99" i="11"/>
  <c r="G105" i="8"/>
  <c r="G103" i="6"/>
  <c r="G104" i="23"/>
  <c r="G105" i="21"/>
  <c r="G103" i="21"/>
  <c r="G99" i="19"/>
  <c r="G103" i="19"/>
  <c r="G96" i="18"/>
  <c r="G98" i="18"/>
  <c r="G95" i="17"/>
  <c r="G104" i="16"/>
  <c r="G102" i="16"/>
  <c r="G105" i="13"/>
  <c r="G103" i="12"/>
  <c r="G104" i="12"/>
  <c r="G101" i="11"/>
  <c r="G99" i="10"/>
  <c r="G104" i="9"/>
  <c r="G99" i="5"/>
  <c r="G94" i="3"/>
  <c r="G103" i="23"/>
  <c r="G99" i="22"/>
  <c r="G93" i="20"/>
  <c r="G104" i="19"/>
  <c r="G97" i="18"/>
  <c r="G97" i="17"/>
  <c r="G96" i="17"/>
  <c r="G98" i="17"/>
  <c r="G103" i="16"/>
  <c r="G100" i="16"/>
  <c r="G53" i="15"/>
  <c r="G54" i="15"/>
  <c r="G99" i="14"/>
  <c r="G103" i="9"/>
  <c r="G105" i="9"/>
  <c r="G104" i="10"/>
  <c r="G105" i="10"/>
  <c r="G103" i="10"/>
  <c r="G104" i="7"/>
  <c r="G105" i="7"/>
  <c r="G98" i="6"/>
  <c r="G102" i="6"/>
  <c r="G98" i="5"/>
  <c r="G100" i="4"/>
  <c r="G97" i="4"/>
  <c r="G99" i="3"/>
  <c r="G100" i="23"/>
  <c r="G99" i="23"/>
  <c r="G98" i="22"/>
  <c r="G104" i="21"/>
  <c r="G98" i="20"/>
  <c r="G97" i="20"/>
  <c r="G96" i="20"/>
  <c r="G95" i="20"/>
  <c r="G102" i="19"/>
  <c r="G94" i="18"/>
  <c r="G93" i="18"/>
  <c r="G101" i="16"/>
  <c r="G99" i="16"/>
  <c r="G102" i="13"/>
  <c r="G104" i="13"/>
  <c r="G103" i="13"/>
  <c r="G99" i="12"/>
  <c r="G102" i="12"/>
  <c r="G101" i="12"/>
  <c r="G100" i="9"/>
  <c r="G104" i="8"/>
  <c r="G101" i="7"/>
  <c r="G103" i="7"/>
  <c r="G99" i="6"/>
  <c r="G101" i="6"/>
  <c r="G97" i="5"/>
  <c r="G98" i="3"/>
  <c r="G97" i="3"/>
  <c r="G96" i="5"/>
  <c r="G96" i="4"/>
  <c r="G101" i="23"/>
  <c r="G97" i="22"/>
  <c r="G100" i="21"/>
  <c r="G101" i="21"/>
  <c r="G101" i="19"/>
  <c r="G100" i="19"/>
  <c r="G95" i="18"/>
  <c r="G96" i="14"/>
  <c r="G95" i="14"/>
  <c r="G100" i="13"/>
  <c r="G101" i="13"/>
  <c r="G100" i="8"/>
  <c r="G103" i="8"/>
  <c r="G96" i="11"/>
  <c r="G97" i="11"/>
  <c r="G100" i="10"/>
  <c r="G101" i="10"/>
  <c r="G102" i="9"/>
  <c r="G101" i="9"/>
  <c r="G102" i="8"/>
  <c r="G101" i="8"/>
  <c r="G100" i="7"/>
  <c r="G102" i="7"/>
  <c r="G100" i="6"/>
  <c r="G95" i="5"/>
  <c r="G94" i="5"/>
  <c r="G98" i="4"/>
  <c r="G95" i="3"/>
  <c r="G96" i="3"/>
  <c r="G94" i="20"/>
  <c r="G97" i="14"/>
  <c r="G98" i="11"/>
  <c r="J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" i="24"/>
  <c r="F23" i="24"/>
  <c r="H23" i="24" s="1"/>
  <c r="F22" i="24"/>
  <c r="H22" i="24" s="1"/>
  <c r="F21" i="24"/>
  <c r="H21" i="24" s="1"/>
  <c r="F20" i="24"/>
  <c r="H20" i="24" s="1"/>
  <c r="F19" i="24"/>
  <c r="H19" i="24" s="1"/>
  <c r="F18" i="24"/>
  <c r="H18" i="24" s="1"/>
  <c r="F17" i="24"/>
  <c r="H17" i="24" s="1"/>
  <c r="F16" i="24"/>
  <c r="H16" i="24" s="1"/>
  <c r="F15" i="24"/>
  <c r="H15" i="24" s="1"/>
  <c r="F14" i="24"/>
  <c r="H14" i="24" s="1"/>
  <c r="F13" i="24"/>
  <c r="H13" i="24" s="1"/>
  <c r="F12" i="24"/>
  <c r="H12" i="24" s="1"/>
  <c r="F11" i="24"/>
  <c r="H11" i="24" s="1"/>
  <c r="F10" i="24"/>
  <c r="H10" i="24" s="1"/>
  <c r="F9" i="24"/>
  <c r="H9" i="24" s="1"/>
  <c r="F8" i="24"/>
  <c r="H8" i="24" s="1"/>
  <c r="F7" i="24"/>
  <c r="H7" i="24" s="1"/>
  <c r="F6" i="24"/>
  <c r="H6" i="24" s="1"/>
  <c r="F5" i="24"/>
  <c r="H5" i="24" s="1"/>
  <c r="F4" i="24"/>
  <c r="H4" i="24" s="1"/>
  <c r="F3" i="24"/>
  <c r="H3" i="24" s="1"/>
  <c r="F2" i="24"/>
  <c r="H2" i="24" s="1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D78" i="23"/>
  <c r="I78" i="23" s="1"/>
  <c r="E78" i="23"/>
  <c r="F78" i="23"/>
  <c r="D79" i="23"/>
  <c r="I79" i="23" s="1"/>
  <c r="E79" i="23"/>
  <c r="F79" i="23"/>
  <c r="D80" i="23"/>
  <c r="I80" i="23" s="1"/>
  <c r="E80" i="23"/>
  <c r="F80" i="23"/>
  <c r="D81" i="23"/>
  <c r="I81" i="23" s="1"/>
  <c r="E81" i="23"/>
  <c r="F81" i="23"/>
  <c r="D82" i="23"/>
  <c r="I82" i="23" s="1"/>
  <c r="E82" i="23"/>
  <c r="F82" i="23"/>
  <c r="D83" i="23"/>
  <c r="I83" i="23" s="1"/>
  <c r="E83" i="23"/>
  <c r="F83" i="23"/>
  <c r="D84" i="23"/>
  <c r="I84" i="23" s="1"/>
  <c r="E84" i="23"/>
  <c r="F84" i="23"/>
  <c r="D85" i="23"/>
  <c r="I85" i="23" s="1"/>
  <c r="E85" i="23"/>
  <c r="F85" i="23"/>
  <c r="D86" i="23"/>
  <c r="I86" i="23" s="1"/>
  <c r="E86" i="23"/>
  <c r="F86" i="23"/>
  <c r="D87" i="23"/>
  <c r="I87" i="23" s="1"/>
  <c r="E87" i="23"/>
  <c r="F87" i="23"/>
  <c r="D88" i="23"/>
  <c r="I88" i="23" s="1"/>
  <c r="E88" i="23"/>
  <c r="F88" i="23"/>
  <c r="D89" i="23"/>
  <c r="I89" i="23" s="1"/>
  <c r="E89" i="23"/>
  <c r="F89" i="23"/>
  <c r="D90" i="23"/>
  <c r="I90" i="23" s="1"/>
  <c r="E90" i="23"/>
  <c r="F90" i="23"/>
  <c r="D91" i="23"/>
  <c r="I91" i="23" s="1"/>
  <c r="E91" i="23"/>
  <c r="F91" i="23"/>
  <c r="D92" i="23"/>
  <c r="I92" i="23" s="1"/>
  <c r="E92" i="23"/>
  <c r="F92" i="23"/>
  <c r="D93" i="23"/>
  <c r="I93" i="23" s="1"/>
  <c r="E93" i="23"/>
  <c r="F93" i="23"/>
  <c r="D94" i="23"/>
  <c r="I94" i="23" s="1"/>
  <c r="E94" i="23"/>
  <c r="F94" i="23"/>
  <c r="D95" i="23"/>
  <c r="I95" i="23" s="1"/>
  <c r="E95" i="23"/>
  <c r="F95" i="23"/>
  <c r="D96" i="23"/>
  <c r="I96" i="23" s="1"/>
  <c r="E96" i="23"/>
  <c r="F96" i="23"/>
  <c r="D97" i="23"/>
  <c r="I97" i="23" s="1"/>
  <c r="E97" i="23"/>
  <c r="F97" i="23"/>
  <c r="D98" i="23"/>
  <c r="I98" i="23" s="1"/>
  <c r="E98" i="23"/>
  <c r="F98" i="23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D74" i="22"/>
  <c r="I74" i="22" s="1"/>
  <c r="E74" i="22"/>
  <c r="F74" i="22"/>
  <c r="D75" i="22"/>
  <c r="I75" i="22" s="1"/>
  <c r="E75" i="22"/>
  <c r="F75" i="22"/>
  <c r="D76" i="22"/>
  <c r="E76" i="22"/>
  <c r="F76" i="22"/>
  <c r="D77" i="22"/>
  <c r="I77" i="22" s="1"/>
  <c r="E77" i="22"/>
  <c r="F77" i="22"/>
  <c r="D78" i="22"/>
  <c r="I78" i="22" s="1"/>
  <c r="E78" i="22"/>
  <c r="F78" i="22"/>
  <c r="D79" i="22"/>
  <c r="I79" i="22" s="1"/>
  <c r="E79" i="22"/>
  <c r="F79" i="22"/>
  <c r="D80" i="22"/>
  <c r="I80" i="22" s="1"/>
  <c r="E80" i="22"/>
  <c r="F80" i="22"/>
  <c r="D81" i="22"/>
  <c r="I81" i="22" s="1"/>
  <c r="E81" i="22"/>
  <c r="F81" i="22"/>
  <c r="D82" i="22"/>
  <c r="I82" i="22" s="1"/>
  <c r="E82" i="22"/>
  <c r="F82" i="22"/>
  <c r="D83" i="22"/>
  <c r="I83" i="22" s="1"/>
  <c r="E83" i="22"/>
  <c r="F83" i="22"/>
  <c r="D84" i="22"/>
  <c r="I84" i="22" s="1"/>
  <c r="E84" i="22"/>
  <c r="F84" i="22"/>
  <c r="D85" i="22"/>
  <c r="I85" i="22" s="1"/>
  <c r="E85" i="22"/>
  <c r="F85" i="22"/>
  <c r="D86" i="22"/>
  <c r="I86" i="22" s="1"/>
  <c r="E86" i="22"/>
  <c r="F86" i="22"/>
  <c r="D87" i="22"/>
  <c r="I87" i="22" s="1"/>
  <c r="E87" i="22"/>
  <c r="F87" i="22"/>
  <c r="D88" i="22"/>
  <c r="I88" i="22" s="1"/>
  <c r="E88" i="22"/>
  <c r="F88" i="22"/>
  <c r="D89" i="22"/>
  <c r="I89" i="22" s="1"/>
  <c r="E89" i="22"/>
  <c r="F89" i="22"/>
  <c r="D90" i="22"/>
  <c r="I90" i="22" s="1"/>
  <c r="E90" i="22"/>
  <c r="F90" i="22"/>
  <c r="D91" i="22"/>
  <c r="I91" i="22" s="1"/>
  <c r="E91" i="22"/>
  <c r="F91" i="22"/>
  <c r="D92" i="22"/>
  <c r="I92" i="22" s="1"/>
  <c r="E92" i="22"/>
  <c r="F92" i="22"/>
  <c r="D93" i="22"/>
  <c r="I93" i="22" s="1"/>
  <c r="E93" i="22"/>
  <c r="F93" i="22"/>
  <c r="D94" i="22"/>
  <c r="I94" i="22" s="1"/>
  <c r="E94" i="22"/>
  <c r="F94" i="22"/>
  <c r="D95" i="22"/>
  <c r="I95" i="22" s="1"/>
  <c r="E95" i="22"/>
  <c r="F95" i="22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D78" i="21"/>
  <c r="I78" i="21" s="1"/>
  <c r="E78" i="21"/>
  <c r="F78" i="21"/>
  <c r="D79" i="21"/>
  <c r="I79" i="21" s="1"/>
  <c r="E79" i="21"/>
  <c r="F79" i="21"/>
  <c r="D80" i="21"/>
  <c r="I80" i="21" s="1"/>
  <c r="E80" i="21"/>
  <c r="F80" i="21"/>
  <c r="D81" i="21"/>
  <c r="I81" i="21" s="1"/>
  <c r="E81" i="21"/>
  <c r="F81" i="21"/>
  <c r="D82" i="21"/>
  <c r="I82" i="21" s="1"/>
  <c r="E82" i="21"/>
  <c r="F82" i="21"/>
  <c r="D83" i="21"/>
  <c r="I83" i="21" s="1"/>
  <c r="E83" i="21"/>
  <c r="F83" i="21"/>
  <c r="D84" i="21"/>
  <c r="I84" i="21" s="1"/>
  <c r="E84" i="21"/>
  <c r="F84" i="21"/>
  <c r="D85" i="21"/>
  <c r="I85" i="21" s="1"/>
  <c r="E85" i="21"/>
  <c r="F85" i="21"/>
  <c r="D86" i="21"/>
  <c r="I86" i="21" s="1"/>
  <c r="E86" i="21"/>
  <c r="F86" i="21"/>
  <c r="D87" i="21"/>
  <c r="I87" i="21" s="1"/>
  <c r="E87" i="21"/>
  <c r="F87" i="21"/>
  <c r="D88" i="21"/>
  <c r="I88" i="21" s="1"/>
  <c r="E88" i="21"/>
  <c r="F88" i="21"/>
  <c r="D89" i="21"/>
  <c r="I89" i="21" s="1"/>
  <c r="E89" i="21"/>
  <c r="F89" i="21"/>
  <c r="D90" i="21"/>
  <c r="I90" i="21" s="1"/>
  <c r="E90" i="21"/>
  <c r="F90" i="21"/>
  <c r="D91" i="21"/>
  <c r="I91" i="21" s="1"/>
  <c r="E91" i="21"/>
  <c r="F91" i="21"/>
  <c r="D92" i="21"/>
  <c r="I92" i="21" s="1"/>
  <c r="E92" i="21"/>
  <c r="F92" i="21"/>
  <c r="D93" i="21"/>
  <c r="I93" i="21" s="1"/>
  <c r="E93" i="21"/>
  <c r="F93" i="21"/>
  <c r="D94" i="21"/>
  <c r="I94" i="21" s="1"/>
  <c r="E94" i="21"/>
  <c r="F94" i="21"/>
  <c r="D95" i="21"/>
  <c r="I95" i="21" s="1"/>
  <c r="E95" i="21"/>
  <c r="F95" i="21"/>
  <c r="D96" i="21"/>
  <c r="I96" i="21" s="1"/>
  <c r="E96" i="21"/>
  <c r="F96" i="21"/>
  <c r="D97" i="21"/>
  <c r="I97" i="21" s="1"/>
  <c r="E97" i="21"/>
  <c r="F97" i="21"/>
  <c r="D98" i="21"/>
  <c r="I98" i="21" s="1"/>
  <c r="E98" i="21"/>
  <c r="F98" i="21"/>
  <c r="D99" i="21"/>
  <c r="I99" i="21" s="1"/>
  <c r="E99" i="21"/>
  <c r="F99" i="21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D73" i="20"/>
  <c r="I73" i="20" s="1"/>
  <c r="E73" i="20"/>
  <c r="F73" i="20"/>
  <c r="D74" i="20"/>
  <c r="I74" i="20" s="1"/>
  <c r="E74" i="20"/>
  <c r="F74" i="20"/>
  <c r="D75" i="20"/>
  <c r="I75" i="20" s="1"/>
  <c r="E75" i="20"/>
  <c r="F75" i="20"/>
  <c r="D76" i="20"/>
  <c r="I76" i="20" s="1"/>
  <c r="E76" i="20"/>
  <c r="F76" i="20"/>
  <c r="D77" i="20"/>
  <c r="I77" i="20" s="1"/>
  <c r="E77" i="20"/>
  <c r="F77" i="20"/>
  <c r="D78" i="20"/>
  <c r="I78" i="20" s="1"/>
  <c r="E78" i="20"/>
  <c r="F78" i="20"/>
  <c r="D79" i="20"/>
  <c r="I79" i="20" s="1"/>
  <c r="E79" i="20"/>
  <c r="F79" i="20"/>
  <c r="D80" i="20"/>
  <c r="I80" i="20" s="1"/>
  <c r="E80" i="20"/>
  <c r="F80" i="20"/>
  <c r="D81" i="20"/>
  <c r="I81" i="20" s="1"/>
  <c r="E81" i="20"/>
  <c r="F81" i="20"/>
  <c r="D82" i="20"/>
  <c r="I82" i="20" s="1"/>
  <c r="E82" i="20"/>
  <c r="F82" i="20"/>
  <c r="D83" i="20"/>
  <c r="I83" i="20" s="1"/>
  <c r="E83" i="20"/>
  <c r="F83" i="20"/>
  <c r="D84" i="20"/>
  <c r="I84" i="20" s="1"/>
  <c r="E84" i="20"/>
  <c r="F84" i="20"/>
  <c r="D85" i="20"/>
  <c r="I85" i="20" s="1"/>
  <c r="E85" i="20"/>
  <c r="F85" i="20"/>
  <c r="D86" i="20"/>
  <c r="I86" i="20" s="1"/>
  <c r="E86" i="20"/>
  <c r="F86" i="20"/>
  <c r="D87" i="20"/>
  <c r="I87" i="20" s="1"/>
  <c r="E87" i="20"/>
  <c r="F87" i="20"/>
  <c r="D88" i="20"/>
  <c r="I88" i="20" s="1"/>
  <c r="E88" i="20"/>
  <c r="F88" i="20"/>
  <c r="D89" i="20"/>
  <c r="I89" i="20" s="1"/>
  <c r="E89" i="20"/>
  <c r="F89" i="20"/>
  <c r="D90" i="20"/>
  <c r="I90" i="20" s="1"/>
  <c r="E90" i="20"/>
  <c r="F90" i="20"/>
  <c r="D91" i="20"/>
  <c r="I91" i="20" s="1"/>
  <c r="E91" i="20"/>
  <c r="F91" i="20"/>
  <c r="D92" i="20"/>
  <c r="I92" i="20" s="1"/>
  <c r="E92" i="20"/>
  <c r="F92" i="20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D77" i="19"/>
  <c r="I77" i="19" s="1"/>
  <c r="E77" i="19"/>
  <c r="F77" i="19"/>
  <c r="D78" i="19"/>
  <c r="I78" i="19" s="1"/>
  <c r="E78" i="19"/>
  <c r="F78" i="19"/>
  <c r="D79" i="19"/>
  <c r="I79" i="19" s="1"/>
  <c r="E79" i="19"/>
  <c r="F79" i="19"/>
  <c r="D80" i="19"/>
  <c r="I80" i="19" s="1"/>
  <c r="E80" i="19"/>
  <c r="F80" i="19"/>
  <c r="D81" i="19"/>
  <c r="I81" i="19" s="1"/>
  <c r="E81" i="19"/>
  <c r="F81" i="19"/>
  <c r="D82" i="19"/>
  <c r="I82" i="19" s="1"/>
  <c r="E82" i="19"/>
  <c r="F82" i="19"/>
  <c r="D83" i="19"/>
  <c r="I83" i="19" s="1"/>
  <c r="E83" i="19"/>
  <c r="F83" i="19"/>
  <c r="D84" i="19"/>
  <c r="I84" i="19" s="1"/>
  <c r="E84" i="19"/>
  <c r="F84" i="19"/>
  <c r="D85" i="19"/>
  <c r="I85" i="19" s="1"/>
  <c r="E85" i="19"/>
  <c r="F85" i="19"/>
  <c r="D86" i="19"/>
  <c r="I86" i="19" s="1"/>
  <c r="E86" i="19"/>
  <c r="F86" i="19"/>
  <c r="D87" i="19"/>
  <c r="I87" i="19" s="1"/>
  <c r="E87" i="19"/>
  <c r="F87" i="19"/>
  <c r="D88" i="19"/>
  <c r="I88" i="19" s="1"/>
  <c r="E88" i="19"/>
  <c r="F88" i="19"/>
  <c r="D89" i="19"/>
  <c r="I89" i="19" s="1"/>
  <c r="E89" i="19"/>
  <c r="F89" i="19"/>
  <c r="D90" i="19"/>
  <c r="I90" i="19" s="1"/>
  <c r="E90" i="19"/>
  <c r="F90" i="19"/>
  <c r="D91" i="19"/>
  <c r="I91" i="19" s="1"/>
  <c r="E91" i="19"/>
  <c r="F91" i="19"/>
  <c r="D92" i="19"/>
  <c r="I92" i="19" s="1"/>
  <c r="E92" i="19"/>
  <c r="F92" i="19"/>
  <c r="D93" i="19"/>
  <c r="I93" i="19" s="1"/>
  <c r="E93" i="19"/>
  <c r="F93" i="19"/>
  <c r="D94" i="19"/>
  <c r="I94" i="19" s="1"/>
  <c r="E94" i="19"/>
  <c r="F94" i="19"/>
  <c r="D95" i="19"/>
  <c r="I95" i="19" s="1"/>
  <c r="E95" i="19"/>
  <c r="F95" i="19"/>
  <c r="D96" i="19"/>
  <c r="I96" i="19" s="1"/>
  <c r="E96" i="19"/>
  <c r="F96" i="19"/>
  <c r="D97" i="19"/>
  <c r="I97" i="19" s="1"/>
  <c r="E97" i="19"/>
  <c r="F97" i="19"/>
  <c r="D98" i="19"/>
  <c r="I98" i="19" s="1"/>
  <c r="E98" i="19"/>
  <c r="F98" i="19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D74" i="18"/>
  <c r="I74" i="18" s="1"/>
  <c r="E74" i="18"/>
  <c r="F74" i="18"/>
  <c r="D75" i="18"/>
  <c r="I75" i="18" s="1"/>
  <c r="E75" i="18"/>
  <c r="F75" i="18"/>
  <c r="D76" i="18"/>
  <c r="I76" i="18" s="1"/>
  <c r="E76" i="18"/>
  <c r="F76" i="18"/>
  <c r="D77" i="18"/>
  <c r="I77" i="18" s="1"/>
  <c r="E77" i="18"/>
  <c r="F77" i="18"/>
  <c r="D78" i="18"/>
  <c r="I78" i="18" s="1"/>
  <c r="E78" i="18"/>
  <c r="F78" i="18"/>
  <c r="D79" i="18"/>
  <c r="I79" i="18" s="1"/>
  <c r="E79" i="18"/>
  <c r="F79" i="18"/>
  <c r="D80" i="18"/>
  <c r="I80" i="18" s="1"/>
  <c r="E80" i="18"/>
  <c r="F80" i="18"/>
  <c r="D81" i="18"/>
  <c r="I81" i="18" s="1"/>
  <c r="E81" i="18"/>
  <c r="F81" i="18"/>
  <c r="D82" i="18"/>
  <c r="I82" i="18" s="1"/>
  <c r="E82" i="18"/>
  <c r="F82" i="18"/>
  <c r="D83" i="18"/>
  <c r="I83" i="18" s="1"/>
  <c r="E83" i="18"/>
  <c r="F83" i="18"/>
  <c r="D84" i="18"/>
  <c r="I84" i="18" s="1"/>
  <c r="E84" i="18"/>
  <c r="F84" i="18"/>
  <c r="D85" i="18"/>
  <c r="I85" i="18" s="1"/>
  <c r="E85" i="18"/>
  <c r="F85" i="18"/>
  <c r="D86" i="18"/>
  <c r="I86" i="18" s="1"/>
  <c r="E86" i="18"/>
  <c r="F86" i="18"/>
  <c r="D87" i="18"/>
  <c r="I87" i="18" s="1"/>
  <c r="E87" i="18"/>
  <c r="F87" i="18"/>
  <c r="D88" i="18"/>
  <c r="I88" i="18" s="1"/>
  <c r="E88" i="18"/>
  <c r="F88" i="18"/>
  <c r="D89" i="18"/>
  <c r="I89" i="18" s="1"/>
  <c r="E89" i="18"/>
  <c r="F89" i="18"/>
  <c r="D90" i="18"/>
  <c r="I90" i="18" s="1"/>
  <c r="E90" i="18"/>
  <c r="F90" i="18"/>
  <c r="D91" i="18"/>
  <c r="I91" i="18" s="1"/>
  <c r="E91" i="18"/>
  <c r="F91" i="18"/>
  <c r="D92" i="18"/>
  <c r="I92" i="18" s="1"/>
  <c r="E92" i="18"/>
  <c r="F92" i="18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D73" i="17"/>
  <c r="I73" i="17" s="1"/>
  <c r="E73" i="17"/>
  <c r="F73" i="17"/>
  <c r="D74" i="17"/>
  <c r="I74" i="17" s="1"/>
  <c r="E74" i="17"/>
  <c r="F74" i="17"/>
  <c r="D75" i="17"/>
  <c r="I75" i="17" s="1"/>
  <c r="E75" i="17"/>
  <c r="F75" i="17"/>
  <c r="D76" i="17"/>
  <c r="I76" i="17" s="1"/>
  <c r="E76" i="17"/>
  <c r="F76" i="17"/>
  <c r="D77" i="17"/>
  <c r="I77" i="17" s="1"/>
  <c r="E77" i="17"/>
  <c r="F77" i="17"/>
  <c r="D78" i="17"/>
  <c r="I78" i="17" s="1"/>
  <c r="E78" i="17"/>
  <c r="F78" i="17"/>
  <c r="D79" i="17"/>
  <c r="I79" i="17" s="1"/>
  <c r="E79" i="17"/>
  <c r="F79" i="17"/>
  <c r="D80" i="17"/>
  <c r="I80" i="17" s="1"/>
  <c r="E80" i="17"/>
  <c r="F80" i="17"/>
  <c r="D81" i="17"/>
  <c r="I81" i="17" s="1"/>
  <c r="E81" i="17"/>
  <c r="F81" i="17"/>
  <c r="D82" i="17"/>
  <c r="I82" i="17" s="1"/>
  <c r="E82" i="17"/>
  <c r="F82" i="17"/>
  <c r="D83" i="17"/>
  <c r="I83" i="17" s="1"/>
  <c r="E83" i="17"/>
  <c r="F83" i="17"/>
  <c r="D84" i="17"/>
  <c r="I84" i="17" s="1"/>
  <c r="E84" i="17"/>
  <c r="F84" i="17"/>
  <c r="D85" i="17"/>
  <c r="I85" i="17" s="1"/>
  <c r="E85" i="17"/>
  <c r="F85" i="17"/>
  <c r="D86" i="17"/>
  <c r="I86" i="17" s="1"/>
  <c r="E86" i="17"/>
  <c r="F86" i="17"/>
  <c r="D87" i="17"/>
  <c r="I87" i="17" s="1"/>
  <c r="E87" i="17"/>
  <c r="F87" i="17"/>
  <c r="D88" i="17"/>
  <c r="I88" i="17" s="1"/>
  <c r="E88" i="17"/>
  <c r="F88" i="17"/>
  <c r="D89" i="17"/>
  <c r="I89" i="17" s="1"/>
  <c r="E89" i="17"/>
  <c r="F89" i="17"/>
  <c r="D90" i="17"/>
  <c r="I90" i="17" s="1"/>
  <c r="E90" i="17"/>
  <c r="F90" i="17"/>
  <c r="D91" i="17"/>
  <c r="I91" i="17" s="1"/>
  <c r="E91" i="17"/>
  <c r="F91" i="17"/>
  <c r="D92" i="17"/>
  <c r="I92" i="17" s="1"/>
  <c r="E92" i="17"/>
  <c r="F92" i="17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D77" i="16"/>
  <c r="I77" i="16" s="1"/>
  <c r="E77" i="16"/>
  <c r="F77" i="16"/>
  <c r="D78" i="16"/>
  <c r="I78" i="16" s="1"/>
  <c r="E78" i="16"/>
  <c r="F78" i="16"/>
  <c r="D79" i="16"/>
  <c r="I79" i="16" s="1"/>
  <c r="E79" i="16"/>
  <c r="F79" i="16"/>
  <c r="D80" i="16"/>
  <c r="I80" i="16" s="1"/>
  <c r="E80" i="16"/>
  <c r="F80" i="16"/>
  <c r="D81" i="16"/>
  <c r="I81" i="16" s="1"/>
  <c r="E81" i="16"/>
  <c r="F81" i="16"/>
  <c r="D82" i="16"/>
  <c r="I82" i="16" s="1"/>
  <c r="E82" i="16"/>
  <c r="F82" i="16"/>
  <c r="D83" i="16"/>
  <c r="I83" i="16" s="1"/>
  <c r="E83" i="16"/>
  <c r="F83" i="16"/>
  <c r="D84" i="16"/>
  <c r="I84" i="16" s="1"/>
  <c r="E84" i="16"/>
  <c r="F84" i="16"/>
  <c r="D85" i="16"/>
  <c r="I85" i="16" s="1"/>
  <c r="E85" i="16"/>
  <c r="F85" i="16"/>
  <c r="D86" i="16"/>
  <c r="I86" i="16" s="1"/>
  <c r="E86" i="16"/>
  <c r="F86" i="16"/>
  <c r="D87" i="16"/>
  <c r="I87" i="16" s="1"/>
  <c r="E87" i="16"/>
  <c r="F87" i="16"/>
  <c r="D88" i="16"/>
  <c r="I88" i="16" s="1"/>
  <c r="E88" i="16"/>
  <c r="F88" i="16"/>
  <c r="D89" i="16"/>
  <c r="I89" i="16" s="1"/>
  <c r="E89" i="16"/>
  <c r="F89" i="16"/>
  <c r="D90" i="16"/>
  <c r="I90" i="16" s="1"/>
  <c r="E90" i="16"/>
  <c r="F90" i="16"/>
  <c r="D91" i="16"/>
  <c r="I91" i="16" s="1"/>
  <c r="E91" i="16"/>
  <c r="F91" i="16"/>
  <c r="D92" i="16"/>
  <c r="I92" i="16" s="1"/>
  <c r="E92" i="16"/>
  <c r="F92" i="16"/>
  <c r="D93" i="16"/>
  <c r="I93" i="16" s="1"/>
  <c r="E93" i="16"/>
  <c r="F93" i="16"/>
  <c r="D94" i="16"/>
  <c r="I94" i="16" s="1"/>
  <c r="E94" i="16"/>
  <c r="F94" i="16"/>
  <c r="D95" i="16"/>
  <c r="I95" i="16" s="1"/>
  <c r="E95" i="16"/>
  <c r="F95" i="16"/>
  <c r="D96" i="16"/>
  <c r="I96" i="16" s="1"/>
  <c r="E96" i="16"/>
  <c r="F96" i="16"/>
  <c r="D97" i="16"/>
  <c r="I97" i="16" s="1"/>
  <c r="E97" i="16"/>
  <c r="F97" i="16"/>
  <c r="D98" i="16"/>
  <c r="I98" i="16" s="1"/>
  <c r="E98" i="16"/>
  <c r="F98" i="16"/>
  <c r="H42" i="15"/>
  <c r="H43" i="15"/>
  <c r="H44" i="15"/>
  <c r="H45" i="15"/>
  <c r="H46" i="15"/>
  <c r="H47" i="15"/>
  <c r="H48" i="15"/>
  <c r="H49" i="15"/>
  <c r="H50" i="15"/>
  <c r="H51" i="15"/>
  <c r="H52" i="15"/>
  <c r="D42" i="15"/>
  <c r="I42" i="15" s="1"/>
  <c r="E42" i="15"/>
  <c r="F42" i="15"/>
  <c r="D43" i="15"/>
  <c r="I43" i="15" s="1"/>
  <c r="E43" i="15"/>
  <c r="F43" i="15"/>
  <c r="D44" i="15"/>
  <c r="I44" i="15" s="1"/>
  <c r="E44" i="15"/>
  <c r="F44" i="15"/>
  <c r="D45" i="15"/>
  <c r="I45" i="15" s="1"/>
  <c r="E45" i="15"/>
  <c r="F45" i="15"/>
  <c r="D46" i="15"/>
  <c r="I46" i="15" s="1"/>
  <c r="E46" i="15"/>
  <c r="F46" i="15"/>
  <c r="D47" i="15"/>
  <c r="I47" i="15" s="1"/>
  <c r="E47" i="15"/>
  <c r="F47" i="15"/>
  <c r="D48" i="15"/>
  <c r="I48" i="15" s="1"/>
  <c r="E48" i="15"/>
  <c r="F48" i="15"/>
  <c r="D49" i="15"/>
  <c r="I49" i="15" s="1"/>
  <c r="E49" i="15"/>
  <c r="F49" i="15"/>
  <c r="D50" i="15"/>
  <c r="I50" i="15" s="1"/>
  <c r="E50" i="15"/>
  <c r="F50" i="15"/>
  <c r="D51" i="15"/>
  <c r="I51" i="15" s="1"/>
  <c r="E51" i="15"/>
  <c r="F51" i="15"/>
  <c r="D52" i="15"/>
  <c r="I52" i="15" s="1"/>
  <c r="E52" i="15"/>
  <c r="F52" i="15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D73" i="14"/>
  <c r="E73" i="14"/>
  <c r="F73" i="14"/>
  <c r="D74" i="14"/>
  <c r="I74" i="14" s="1"/>
  <c r="E74" i="14"/>
  <c r="F74" i="14"/>
  <c r="D75" i="14"/>
  <c r="I75" i="14" s="1"/>
  <c r="E75" i="14"/>
  <c r="F75" i="14"/>
  <c r="D76" i="14"/>
  <c r="I76" i="14" s="1"/>
  <c r="E76" i="14"/>
  <c r="F76" i="14"/>
  <c r="D77" i="14"/>
  <c r="I77" i="14" s="1"/>
  <c r="E77" i="14"/>
  <c r="F77" i="14"/>
  <c r="D78" i="14"/>
  <c r="I78" i="14" s="1"/>
  <c r="E78" i="14"/>
  <c r="F78" i="14"/>
  <c r="D79" i="14"/>
  <c r="I79" i="14" s="1"/>
  <c r="E79" i="14"/>
  <c r="F79" i="14"/>
  <c r="D80" i="14"/>
  <c r="I80" i="14" s="1"/>
  <c r="E80" i="14"/>
  <c r="F80" i="14"/>
  <c r="D81" i="14"/>
  <c r="I81" i="14" s="1"/>
  <c r="E81" i="14"/>
  <c r="F81" i="14"/>
  <c r="D82" i="14"/>
  <c r="I82" i="14" s="1"/>
  <c r="E82" i="14"/>
  <c r="F82" i="14"/>
  <c r="D83" i="14"/>
  <c r="I83" i="14" s="1"/>
  <c r="E83" i="14"/>
  <c r="F83" i="14"/>
  <c r="D84" i="14"/>
  <c r="I84" i="14" s="1"/>
  <c r="E84" i="14"/>
  <c r="F84" i="14"/>
  <c r="D85" i="14"/>
  <c r="I85" i="14" s="1"/>
  <c r="E85" i="14"/>
  <c r="F85" i="14"/>
  <c r="D86" i="14"/>
  <c r="I86" i="14" s="1"/>
  <c r="E86" i="14"/>
  <c r="F86" i="14"/>
  <c r="D87" i="14"/>
  <c r="I87" i="14" s="1"/>
  <c r="E87" i="14"/>
  <c r="F87" i="14"/>
  <c r="D88" i="14"/>
  <c r="I88" i="14" s="1"/>
  <c r="E88" i="14"/>
  <c r="F88" i="14"/>
  <c r="D89" i="14"/>
  <c r="I89" i="14" s="1"/>
  <c r="E89" i="14"/>
  <c r="F89" i="14"/>
  <c r="D90" i="14"/>
  <c r="I90" i="14" s="1"/>
  <c r="E90" i="14"/>
  <c r="F90" i="14"/>
  <c r="D91" i="14"/>
  <c r="I91" i="14" s="1"/>
  <c r="E91" i="14"/>
  <c r="F91" i="14"/>
  <c r="D92" i="14"/>
  <c r="I92" i="14" s="1"/>
  <c r="E92" i="14"/>
  <c r="F92" i="14"/>
  <c r="D93" i="14"/>
  <c r="I93" i="14" s="1"/>
  <c r="E93" i="14"/>
  <c r="F93" i="14"/>
  <c r="D94" i="14"/>
  <c r="I94" i="14" s="1"/>
  <c r="E94" i="14"/>
  <c r="F94" i="14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D78" i="13"/>
  <c r="I78" i="13" s="1"/>
  <c r="E78" i="13"/>
  <c r="F78" i="13"/>
  <c r="D79" i="13"/>
  <c r="I79" i="13" s="1"/>
  <c r="E79" i="13"/>
  <c r="F79" i="13"/>
  <c r="D80" i="13"/>
  <c r="I80" i="13" s="1"/>
  <c r="E80" i="13"/>
  <c r="F80" i="13"/>
  <c r="D81" i="13"/>
  <c r="I81" i="13" s="1"/>
  <c r="E81" i="13"/>
  <c r="F81" i="13"/>
  <c r="D82" i="13"/>
  <c r="I82" i="13" s="1"/>
  <c r="E82" i="13"/>
  <c r="F82" i="13"/>
  <c r="D83" i="13"/>
  <c r="I83" i="13" s="1"/>
  <c r="E83" i="13"/>
  <c r="F83" i="13"/>
  <c r="D84" i="13"/>
  <c r="I84" i="13" s="1"/>
  <c r="E84" i="13"/>
  <c r="F84" i="13"/>
  <c r="D85" i="13"/>
  <c r="I85" i="13" s="1"/>
  <c r="E85" i="13"/>
  <c r="F85" i="13"/>
  <c r="D86" i="13"/>
  <c r="I86" i="13" s="1"/>
  <c r="E86" i="13"/>
  <c r="F86" i="13"/>
  <c r="D87" i="13"/>
  <c r="I87" i="13" s="1"/>
  <c r="E87" i="13"/>
  <c r="F87" i="13"/>
  <c r="D88" i="13"/>
  <c r="I88" i="13" s="1"/>
  <c r="E88" i="13"/>
  <c r="F88" i="13"/>
  <c r="D89" i="13"/>
  <c r="I89" i="13" s="1"/>
  <c r="E89" i="13"/>
  <c r="F89" i="13"/>
  <c r="D90" i="13"/>
  <c r="I90" i="13" s="1"/>
  <c r="E90" i="13"/>
  <c r="F90" i="13"/>
  <c r="D91" i="13"/>
  <c r="I91" i="13" s="1"/>
  <c r="E91" i="13"/>
  <c r="F91" i="13"/>
  <c r="D92" i="13"/>
  <c r="I92" i="13" s="1"/>
  <c r="E92" i="13"/>
  <c r="F92" i="13"/>
  <c r="D93" i="13"/>
  <c r="I93" i="13" s="1"/>
  <c r="E93" i="13"/>
  <c r="F93" i="13"/>
  <c r="D94" i="13"/>
  <c r="I94" i="13" s="1"/>
  <c r="E94" i="13"/>
  <c r="F94" i="13"/>
  <c r="D95" i="13"/>
  <c r="I95" i="13" s="1"/>
  <c r="E95" i="13"/>
  <c r="F95" i="13"/>
  <c r="D96" i="13"/>
  <c r="I96" i="13" s="1"/>
  <c r="E96" i="13"/>
  <c r="F96" i="13"/>
  <c r="D97" i="13"/>
  <c r="I97" i="13" s="1"/>
  <c r="E97" i="13"/>
  <c r="F97" i="13"/>
  <c r="D98" i="13"/>
  <c r="I98" i="13" s="1"/>
  <c r="E98" i="13"/>
  <c r="F98" i="13"/>
  <c r="D99" i="13"/>
  <c r="I99" i="13" s="1"/>
  <c r="E99" i="13"/>
  <c r="F99" i="13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D77" i="12"/>
  <c r="I77" i="12" s="1"/>
  <c r="E77" i="12"/>
  <c r="F77" i="12"/>
  <c r="D78" i="12"/>
  <c r="I78" i="12" s="1"/>
  <c r="E78" i="12"/>
  <c r="F78" i="12"/>
  <c r="D79" i="12"/>
  <c r="I79" i="12" s="1"/>
  <c r="E79" i="12"/>
  <c r="F79" i="12"/>
  <c r="D80" i="12"/>
  <c r="I80" i="12" s="1"/>
  <c r="E80" i="12"/>
  <c r="F80" i="12"/>
  <c r="D81" i="12"/>
  <c r="I81" i="12" s="1"/>
  <c r="E81" i="12"/>
  <c r="F81" i="12"/>
  <c r="D82" i="12"/>
  <c r="I82" i="12" s="1"/>
  <c r="E82" i="12"/>
  <c r="F82" i="12"/>
  <c r="D83" i="12"/>
  <c r="I83" i="12" s="1"/>
  <c r="E83" i="12"/>
  <c r="F83" i="12"/>
  <c r="D84" i="12"/>
  <c r="I84" i="12" s="1"/>
  <c r="E84" i="12"/>
  <c r="F84" i="12"/>
  <c r="D85" i="12"/>
  <c r="I85" i="12" s="1"/>
  <c r="E85" i="12"/>
  <c r="F85" i="12"/>
  <c r="D86" i="12"/>
  <c r="I86" i="12" s="1"/>
  <c r="E86" i="12"/>
  <c r="F86" i="12"/>
  <c r="D87" i="12"/>
  <c r="I87" i="12" s="1"/>
  <c r="E87" i="12"/>
  <c r="F87" i="12"/>
  <c r="D88" i="12"/>
  <c r="I88" i="12" s="1"/>
  <c r="E88" i="12"/>
  <c r="F88" i="12"/>
  <c r="D89" i="12"/>
  <c r="I89" i="12" s="1"/>
  <c r="E89" i="12"/>
  <c r="F89" i="12"/>
  <c r="D90" i="12"/>
  <c r="I90" i="12" s="1"/>
  <c r="E90" i="12"/>
  <c r="F90" i="12"/>
  <c r="D91" i="12"/>
  <c r="I91" i="12" s="1"/>
  <c r="E91" i="12"/>
  <c r="F91" i="12"/>
  <c r="D92" i="12"/>
  <c r="I92" i="12" s="1"/>
  <c r="E92" i="12"/>
  <c r="F92" i="12"/>
  <c r="D93" i="12"/>
  <c r="I93" i="12" s="1"/>
  <c r="E93" i="12"/>
  <c r="F93" i="12"/>
  <c r="D94" i="12"/>
  <c r="I94" i="12" s="1"/>
  <c r="E94" i="12"/>
  <c r="F94" i="12"/>
  <c r="D95" i="12"/>
  <c r="I95" i="12" s="1"/>
  <c r="E95" i="12"/>
  <c r="F95" i="12"/>
  <c r="D96" i="12"/>
  <c r="I96" i="12" s="1"/>
  <c r="E96" i="12"/>
  <c r="F96" i="12"/>
  <c r="D97" i="12"/>
  <c r="I97" i="12" s="1"/>
  <c r="E97" i="12"/>
  <c r="F97" i="12"/>
  <c r="D98" i="12"/>
  <c r="I98" i="12" s="1"/>
  <c r="E98" i="12"/>
  <c r="F98" i="12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D74" i="11"/>
  <c r="I74" i="11" s="1"/>
  <c r="E74" i="11"/>
  <c r="F74" i="11"/>
  <c r="D75" i="11"/>
  <c r="I75" i="11" s="1"/>
  <c r="E75" i="11"/>
  <c r="F75" i="11"/>
  <c r="D76" i="11"/>
  <c r="I76" i="11" s="1"/>
  <c r="E76" i="11"/>
  <c r="F76" i="11"/>
  <c r="D77" i="11"/>
  <c r="I77" i="11" s="1"/>
  <c r="E77" i="11"/>
  <c r="F77" i="11"/>
  <c r="D78" i="11"/>
  <c r="I78" i="11" s="1"/>
  <c r="E78" i="11"/>
  <c r="F78" i="11"/>
  <c r="D79" i="11"/>
  <c r="I79" i="11" s="1"/>
  <c r="E79" i="11"/>
  <c r="F79" i="11"/>
  <c r="D80" i="11"/>
  <c r="I80" i="11" s="1"/>
  <c r="E80" i="11"/>
  <c r="F80" i="11"/>
  <c r="D81" i="11"/>
  <c r="I81" i="11" s="1"/>
  <c r="E81" i="11"/>
  <c r="F81" i="11"/>
  <c r="D82" i="11"/>
  <c r="I82" i="11" s="1"/>
  <c r="E82" i="11"/>
  <c r="F82" i="11"/>
  <c r="D83" i="11"/>
  <c r="I83" i="11" s="1"/>
  <c r="E83" i="11"/>
  <c r="F83" i="11"/>
  <c r="D84" i="11"/>
  <c r="I84" i="11" s="1"/>
  <c r="E84" i="11"/>
  <c r="F84" i="11"/>
  <c r="D85" i="11"/>
  <c r="I85" i="11" s="1"/>
  <c r="E85" i="11"/>
  <c r="F85" i="11"/>
  <c r="D86" i="11"/>
  <c r="I86" i="11" s="1"/>
  <c r="E86" i="11"/>
  <c r="F86" i="11"/>
  <c r="D87" i="11"/>
  <c r="I87" i="11" s="1"/>
  <c r="E87" i="11"/>
  <c r="F87" i="11"/>
  <c r="D88" i="11"/>
  <c r="I88" i="11" s="1"/>
  <c r="E88" i="11"/>
  <c r="F88" i="11"/>
  <c r="D89" i="11"/>
  <c r="I89" i="11" s="1"/>
  <c r="E89" i="11"/>
  <c r="F89" i="11"/>
  <c r="D90" i="11"/>
  <c r="I90" i="11" s="1"/>
  <c r="E90" i="11"/>
  <c r="F90" i="11"/>
  <c r="D91" i="11"/>
  <c r="I91" i="11" s="1"/>
  <c r="E91" i="11"/>
  <c r="F91" i="11"/>
  <c r="D92" i="11"/>
  <c r="I92" i="11" s="1"/>
  <c r="E92" i="11"/>
  <c r="F92" i="11"/>
  <c r="D93" i="11"/>
  <c r="I93" i="11" s="1"/>
  <c r="E93" i="11"/>
  <c r="F93" i="11"/>
  <c r="D94" i="11"/>
  <c r="I94" i="11" s="1"/>
  <c r="E94" i="11"/>
  <c r="F94" i="11"/>
  <c r="D95" i="11"/>
  <c r="I95" i="11" s="1"/>
  <c r="E95" i="11"/>
  <c r="F95" i="11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D78" i="10"/>
  <c r="I78" i="10" s="1"/>
  <c r="E78" i="10"/>
  <c r="F78" i="10"/>
  <c r="D79" i="10"/>
  <c r="I79" i="10" s="1"/>
  <c r="E79" i="10"/>
  <c r="F79" i="10"/>
  <c r="D80" i="10"/>
  <c r="I80" i="10" s="1"/>
  <c r="E80" i="10"/>
  <c r="F80" i="10"/>
  <c r="D81" i="10"/>
  <c r="I81" i="10" s="1"/>
  <c r="E81" i="10"/>
  <c r="F81" i="10"/>
  <c r="D82" i="10"/>
  <c r="I82" i="10" s="1"/>
  <c r="E82" i="10"/>
  <c r="F82" i="10"/>
  <c r="D83" i="10"/>
  <c r="I83" i="10" s="1"/>
  <c r="E83" i="10"/>
  <c r="F83" i="10"/>
  <c r="D84" i="10"/>
  <c r="I84" i="10" s="1"/>
  <c r="E84" i="10"/>
  <c r="F84" i="10"/>
  <c r="D85" i="10"/>
  <c r="I85" i="10" s="1"/>
  <c r="E85" i="10"/>
  <c r="F85" i="10"/>
  <c r="D86" i="10"/>
  <c r="I86" i="10" s="1"/>
  <c r="E86" i="10"/>
  <c r="F86" i="10"/>
  <c r="D87" i="10"/>
  <c r="I87" i="10" s="1"/>
  <c r="E87" i="10"/>
  <c r="F87" i="10"/>
  <c r="D88" i="10"/>
  <c r="I88" i="10" s="1"/>
  <c r="E88" i="10"/>
  <c r="F88" i="10"/>
  <c r="D89" i="10"/>
  <c r="I89" i="10" s="1"/>
  <c r="E89" i="10"/>
  <c r="F89" i="10"/>
  <c r="D90" i="10"/>
  <c r="I90" i="10" s="1"/>
  <c r="E90" i="10"/>
  <c r="F90" i="10"/>
  <c r="D91" i="10"/>
  <c r="I91" i="10" s="1"/>
  <c r="E91" i="10"/>
  <c r="F91" i="10"/>
  <c r="D92" i="10"/>
  <c r="I92" i="10" s="1"/>
  <c r="E92" i="10"/>
  <c r="F92" i="10"/>
  <c r="D93" i="10"/>
  <c r="I93" i="10" s="1"/>
  <c r="E93" i="10"/>
  <c r="F93" i="10"/>
  <c r="D94" i="10"/>
  <c r="I94" i="10" s="1"/>
  <c r="E94" i="10"/>
  <c r="F94" i="10"/>
  <c r="D95" i="10"/>
  <c r="I95" i="10" s="1"/>
  <c r="E95" i="10"/>
  <c r="F95" i="10"/>
  <c r="D96" i="10"/>
  <c r="I96" i="10" s="1"/>
  <c r="E96" i="10"/>
  <c r="F96" i="10"/>
  <c r="D97" i="10"/>
  <c r="I97" i="10" s="1"/>
  <c r="E97" i="10"/>
  <c r="F97" i="10"/>
  <c r="D98" i="10"/>
  <c r="I98" i="10" s="1"/>
  <c r="E98" i="10"/>
  <c r="F98" i="10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D78" i="9"/>
  <c r="I78" i="9" s="1"/>
  <c r="E78" i="9"/>
  <c r="F78" i="9"/>
  <c r="D79" i="9"/>
  <c r="I79" i="9" s="1"/>
  <c r="E79" i="9"/>
  <c r="F79" i="9"/>
  <c r="D80" i="9"/>
  <c r="I80" i="9" s="1"/>
  <c r="E80" i="9"/>
  <c r="F80" i="9"/>
  <c r="D81" i="9"/>
  <c r="I81" i="9" s="1"/>
  <c r="E81" i="9"/>
  <c r="F81" i="9"/>
  <c r="D82" i="9"/>
  <c r="I82" i="9" s="1"/>
  <c r="E82" i="9"/>
  <c r="F82" i="9"/>
  <c r="D83" i="9"/>
  <c r="I83" i="9" s="1"/>
  <c r="E83" i="9"/>
  <c r="F83" i="9"/>
  <c r="D84" i="9"/>
  <c r="I84" i="9" s="1"/>
  <c r="E84" i="9"/>
  <c r="F84" i="9"/>
  <c r="D85" i="9"/>
  <c r="I85" i="9" s="1"/>
  <c r="E85" i="9"/>
  <c r="F85" i="9"/>
  <c r="D86" i="9"/>
  <c r="I86" i="9" s="1"/>
  <c r="E86" i="9"/>
  <c r="F86" i="9"/>
  <c r="D87" i="9"/>
  <c r="I87" i="9" s="1"/>
  <c r="E87" i="9"/>
  <c r="F87" i="9"/>
  <c r="D88" i="9"/>
  <c r="I88" i="9" s="1"/>
  <c r="E88" i="9"/>
  <c r="F88" i="9"/>
  <c r="D89" i="9"/>
  <c r="I89" i="9" s="1"/>
  <c r="E89" i="9"/>
  <c r="F89" i="9"/>
  <c r="D90" i="9"/>
  <c r="I90" i="9" s="1"/>
  <c r="E90" i="9"/>
  <c r="F90" i="9"/>
  <c r="D91" i="9"/>
  <c r="I91" i="9" s="1"/>
  <c r="E91" i="9"/>
  <c r="F91" i="9"/>
  <c r="D92" i="9"/>
  <c r="I92" i="9" s="1"/>
  <c r="E92" i="9"/>
  <c r="F92" i="9"/>
  <c r="D93" i="9"/>
  <c r="I93" i="9" s="1"/>
  <c r="E93" i="9"/>
  <c r="F93" i="9"/>
  <c r="D94" i="9"/>
  <c r="I94" i="9" s="1"/>
  <c r="E94" i="9"/>
  <c r="F94" i="9"/>
  <c r="D95" i="9"/>
  <c r="I95" i="9" s="1"/>
  <c r="E95" i="9"/>
  <c r="F95" i="9"/>
  <c r="D96" i="9"/>
  <c r="I96" i="9" s="1"/>
  <c r="E96" i="9"/>
  <c r="F96" i="9"/>
  <c r="D97" i="9"/>
  <c r="I97" i="9" s="1"/>
  <c r="E97" i="9"/>
  <c r="F97" i="9"/>
  <c r="D98" i="9"/>
  <c r="I98" i="9" s="1"/>
  <c r="E98" i="9"/>
  <c r="F98" i="9"/>
  <c r="D99" i="9"/>
  <c r="I99" i="9" s="1"/>
  <c r="E99" i="9"/>
  <c r="F99" i="9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D78" i="8"/>
  <c r="I78" i="8" s="1"/>
  <c r="E78" i="8"/>
  <c r="F78" i="8"/>
  <c r="D79" i="8"/>
  <c r="I79" i="8" s="1"/>
  <c r="E79" i="8"/>
  <c r="F79" i="8"/>
  <c r="D80" i="8"/>
  <c r="I80" i="8" s="1"/>
  <c r="E80" i="8"/>
  <c r="F80" i="8"/>
  <c r="D81" i="8"/>
  <c r="I81" i="8" s="1"/>
  <c r="E81" i="8"/>
  <c r="F81" i="8"/>
  <c r="D82" i="8"/>
  <c r="I82" i="8" s="1"/>
  <c r="E82" i="8"/>
  <c r="F82" i="8"/>
  <c r="D83" i="8"/>
  <c r="I83" i="8" s="1"/>
  <c r="E83" i="8"/>
  <c r="F83" i="8"/>
  <c r="D84" i="8"/>
  <c r="I84" i="8" s="1"/>
  <c r="E84" i="8"/>
  <c r="F84" i="8"/>
  <c r="D85" i="8"/>
  <c r="I85" i="8" s="1"/>
  <c r="E85" i="8"/>
  <c r="F85" i="8"/>
  <c r="D86" i="8"/>
  <c r="I86" i="8" s="1"/>
  <c r="E86" i="8"/>
  <c r="F86" i="8"/>
  <c r="D87" i="8"/>
  <c r="I87" i="8" s="1"/>
  <c r="E87" i="8"/>
  <c r="F87" i="8"/>
  <c r="D88" i="8"/>
  <c r="I88" i="8" s="1"/>
  <c r="E88" i="8"/>
  <c r="F88" i="8"/>
  <c r="D89" i="8"/>
  <c r="I89" i="8" s="1"/>
  <c r="E89" i="8"/>
  <c r="F89" i="8"/>
  <c r="D90" i="8"/>
  <c r="I90" i="8" s="1"/>
  <c r="E90" i="8"/>
  <c r="F90" i="8"/>
  <c r="D91" i="8"/>
  <c r="I91" i="8" s="1"/>
  <c r="E91" i="8"/>
  <c r="F91" i="8"/>
  <c r="D92" i="8"/>
  <c r="I92" i="8" s="1"/>
  <c r="E92" i="8"/>
  <c r="F92" i="8"/>
  <c r="D93" i="8"/>
  <c r="I93" i="8" s="1"/>
  <c r="E93" i="8"/>
  <c r="F93" i="8"/>
  <c r="D94" i="8"/>
  <c r="I94" i="8" s="1"/>
  <c r="E94" i="8"/>
  <c r="F94" i="8"/>
  <c r="D95" i="8"/>
  <c r="I95" i="8" s="1"/>
  <c r="E95" i="8"/>
  <c r="F95" i="8"/>
  <c r="D96" i="8"/>
  <c r="I96" i="8" s="1"/>
  <c r="E96" i="8"/>
  <c r="F96" i="8"/>
  <c r="D97" i="8"/>
  <c r="I97" i="8" s="1"/>
  <c r="E97" i="8"/>
  <c r="F97" i="8"/>
  <c r="D98" i="8"/>
  <c r="I98" i="8" s="1"/>
  <c r="E98" i="8"/>
  <c r="F98" i="8"/>
  <c r="D99" i="8"/>
  <c r="I99" i="8" s="1"/>
  <c r="E99" i="8"/>
  <c r="F99" i="8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D78" i="7"/>
  <c r="I78" i="7" s="1"/>
  <c r="E78" i="7"/>
  <c r="F78" i="7"/>
  <c r="D79" i="7"/>
  <c r="I79" i="7" s="1"/>
  <c r="E79" i="7"/>
  <c r="F79" i="7"/>
  <c r="D80" i="7"/>
  <c r="I80" i="7" s="1"/>
  <c r="E80" i="7"/>
  <c r="F80" i="7"/>
  <c r="D81" i="7"/>
  <c r="I81" i="7" s="1"/>
  <c r="E81" i="7"/>
  <c r="F81" i="7"/>
  <c r="D82" i="7"/>
  <c r="I82" i="7" s="1"/>
  <c r="E82" i="7"/>
  <c r="F82" i="7"/>
  <c r="D83" i="7"/>
  <c r="I83" i="7" s="1"/>
  <c r="E83" i="7"/>
  <c r="F83" i="7"/>
  <c r="D84" i="7"/>
  <c r="I84" i="7" s="1"/>
  <c r="E84" i="7"/>
  <c r="F84" i="7"/>
  <c r="D85" i="7"/>
  <c r="I85" i="7" s="1"/>
  <c r="E85" i="7"/>
  <c r="F85" i="7"/>
  <c r="D86" i="7"/>
  <c r="I86" i="7" s="1"/>
  <c r="E86" i="7"/>
  <c r="F86" i="7"/>
  <c r="D87" i="7"/>
  <c r="I87" i="7" s="1"/>
  <c r="E87" i="7"/>
  <c r="F87" i="7"/>
  <c r="D88" i="7"/>
  <c r="I88" i="7" s="1"/>
  <c r="E88" i="7"/>
  <c r="F88" i="7"/>
  <c r="D89" i="7"/>
  <c r="I89" i="7" s="1"/>
  <c r="E89" i="7"/>
  <c r="F89" i="7"/>
  <c r="D90" i="7"/>
  <c r="I90" i="7" s="1"/>
  <c r="E90" i="7"/>
  <c r="F90" i="7"/>
  <c r="D91" i="7"/>
  <c r="I91" i="7" s="1"/>
  <c r="E91" i="7"/>
  <c r="F91" i="7"/>
  <c r="D92" i="7"/>
  <c r="I92" i="7" s="1"/>
  <c r="E92" i="7"/>
  <c r="F92" i="7"/>
  <c r="D93" i="7"/>
  <c r="I93" i="7" s="1"/>
  <c r="E93" i="7"/>
  <c r="F93" i="7"/>
  <c r="D94" i="7"/>
  <c r="I94" i="7" s="1"/>
  <c r="E94" i="7"/>
  <c r="F94" i="7"/>
  <c r="D95" i="7"/>
  <c r="I95" i="7" s="1"/>
  <c r="E95" i="7"/>
  <c r="F95" i="7"/>
  <c r="D96" i="7"/>
  <c r="I96" i="7" s="1"/>
  <c r="E96" i="7"/>
  <c r="F96" i="7"/>
  <c r="D97" i="7"/>
  <c r="I97" i="7" s="1"/>
  <c r="E97" i="7"/>
  <c r="F97" i="7"/>
  <c r="D98" i="7"/>
  <c r="I98" i="7" s="1"/>
  <c r="E98" i="7"/>
  <c r="F98" i="7"/>
  <c r="D99" i="7"/>
  <c r="I99" i="7" s="1"/>
  <c r="E99" i="7"/>
  <c r="F99" i="7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D77" i="6"/>
  <c r="I77" i="6" s="1"/>
  <c r="E77" i="6"/>
  <c r="F77" i="6"/>
  <c r="D78" i="6"/>
  <c r="I78" i="6" s="1"/>
  <c r="E78" i="6"/>
  <c r="F78" i="6"/>
  <c r="D79" i="6"/>
  <c r="I79" i="6" s="1"/>
  <c r="E79" i="6"/>
  <c r="F79" i="6"/>
  <c r="D80" i="6"/>
  <c r="I80" i="6" s="1"/>
  <c r="E80" i="6"/>
  <c r="F80" i="6"/>
  <c r="D81" i="6"/>
  <c r="I81" i="6" s="1"/>
  <c r="E81" i="6"/>
  <c r="F81" i="6"/>
  <c r="D82" i="6"/>
  <c r="I82" i="6" s="1"/>
  <c r="E82" i="6"/>
  <c r="F82" i="6"/>
  <c r="D83" i="6"/>
  <c r="I83" i="6" s="1"/>
  <c r="E83" i="6"/>
  <c r="F83" i="6"/>
  <c r="D84" i="6"/>
  <c r="I84" i="6" s="1"/>
  <c r="E84" i="6"/>
  <c r="F84" i="6"/>
  <c r="D85" i="6"/>
  <c r="I85" i="6" s="1"/>
  <c r="E85" i="6"/>
  <c r="F85" i="6"/>
  <c r="D86" i="6"/>
  <c r="I86" i="6" s="1"/>
  <c r="E86" i="6"/>
  <c r="F86" i="6"/>
  <c r="D87" i="6"/>
  <c r="I87" i="6" s="1"/>
  <c r="E87" i="6"/>
  <c r="F87" i="6"/>
  <c r="D88" i="6"/>
  <c r="I88" i="6" s="1"/>
  <c r="E88" i="6"/>
  <c r="F88" i="6"/>
  <c r="D89" i="6"/>
  <c r="I89" i="6" s="1"/>
  <c r="E89" i="6"/>
  <c r="F89" i="6"/>
  <c r="D90" i="6"/>
  <c r="I90" i="6" s="1"/>
  <c r="E90" i="6"/>
  <c r="F90" i="6"/>
  <c r="D91" i="6"/>
  <c r="I91" i="6" s="1"/>
  <c r="E91" i="6"/>
  <c r="F91" i="6"/>
  <c r="D92" i="6"/>
  <c r="I92" i="6" s="1"/>
  <c r="E92" i="6"/>
  <c r="F92" i="6"/>
  <c r="D93" i="6"/>
  <c r="I93" i="6" s="1"/>
  <c r="E93" i="6"/>
  <c r="F93" i="6"/>
  <c r="D94" i="6"/>
  <c r="I94" i="6" s="1"/>
  <c r="E94" i="6"/>
  <c r="F94" i="6"/>
  <c r="D95" i="6"/>
  <c r="I95" i="6" s="1"/>
  <c r="E95" i="6"/>
  <c r="F95" i="6"/>
  <c r="D96" i="6"/>
  <c r="I96" i="6" s="1"/>
  <c r="E96" i="6"/>
  <c r="F96" i="6"/>
  <c r="D97" i="6"/>
  <c r="I97" i="6" s="1"/>
  <c r="E97" i="6"/>
  <c r="F97" i="6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D74" i="5"/>
  <c r="I74" i="5" s="1"/>
  <c r="E74" i="5"/>
  <c r="F74" i="5"/>
  <c r="D75" i="5"/>
  <c r="I75" i="5" s="1"/>
  <c r="E75" i="5"/>
  <c r="F75" i="5"/>
  <c r="D76" i="5"/>
  <c r="I76" i="5" s="1"/>
  <c r="E76" i="5"/>
  <c r="F76" i="5"/>
  <c r="D77" i="5"/>
  <c r="I77" i="5" s="1"/>
  <c r="E77" i="5"/>
  <c r="F77" i="5"/>
  <c r="D78" i="5"/>
  <c r="I78" i="5" s="1"/>
  <c r="E78" i="5"/>
  <c r="F78" i="5"/>
  <c r="D79" i="5"/>
  <c r="I79" i="5" s="1"/>
  <c r="E79" i="5"/>
  <c r="F79" i="5"/>
  <c r="D80" i="5"/>
  <c r="I80" i="5" s="1"/>
  <c r="E80" i="5"/>
  <c r="F80" i="5"/>
  <c r="D81" i="5"/>
  <c r="I81" i="5" s="1"/>
  <c r="E81" i="5"/>
  <c r="F81" i="5"/>
  <c r="D82" i="5"/>
  <c r="I82" i="5" s="1"/>
  <c r="E82" i="5"/>
  <c r="F82" i="5"/>
  <c r="D83" i="5"/>
  <c r="I83" i="5" s="1"/>
  <c r="E83" i="5"/>
  <c r="F83" i="5"/>
  <c r="D84" i="5"/>
  <c r="I84" i="5" s="1"/>
  <c r="E84" i="5"/>
  <c r="F84" i="5"/>
  <c r="D85" i="5"/>
  <c r="I85" i="5" s="1"/>
  <c r="E85" i="5"/>
  <c r="F85" i="5"/>
  <c r="D86" i="5"/>
  <c r="I86" i="5" s="1"/>
  <c r="E86" i="5"/>
  <c r="F86" i="5"/>
  <c r="D87" i="5"/>
  <c r="I87" i="5" s="1"/>
  <c r="E87" i="5"/>
  <c r="F87" i="5"/>
  <c r="D88" i="5"/>
  <c r="I88" i="5" s="1"/>
  <c r="E88" i="5"/>
  <c r="F88" i="5"/>
  <c r="D89" i="5"/>
  <c r="I89" i="5" s="1"/>
  <c r="E89" i="5"/>
  <c r="F89" i="5"/>
  <c r="D90" i="5"/>
  <c r="I90" i="5" s="1"/>
  <c r="E90" i="5"/>
  <c r="F90" i="5"/>
  <c r="D91" i="5"/>
  <c r="I91" i="5" s="1"/>
  <c r="E91" i="5"/>
  <c r="F91" i="5"/>
  <c r="D92" i="5"/>
  <c r="I92" i="5" s="1"/>
  <c r="E92" i="5"/>
  <c r="F92" i="5"/>
  <c r="D93" i="5"/>
  <c r="I93" i="5" s="1"/>
  <c r="E93" i="5"/>
  <c r="F93" i="5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D74" i="4"/>
  <c r="I74" i="4" s="1"/>
  <c r="D75" i="4"/>
  <c r="I75" i="4" s="1"/>
  <c r="D76" i="4"/>
  <c r="I76" i="4" s="1"/>
  <c r="D77" i="4"/>
  <c r="I77" i="4" s="1"/>
  <c r="D78" i="4"/>
  <c r="I78" i="4" s="1"/>
  <c r="D79" i="4"/>
  <c r="I79" i="4" s="1"/>
  <c r="D80" i="4"/>
  <c r="I80" i="4" s="1"/>
  <c r="D81" i="4"/>
  <c r="I81" i="4" s="1"/>
  <c r="D82" i="4"/>
  <c r="I82" i="4" s="1"/>
  <c r="D83" i="4"/>
  <c r="I83" i="4" s="1"/>
  <c r="D84" i="4"/>
  <c r="I84" i="4" s="1"/>
  <c r="D85" i="4"/>
  <c r="I85" i="4" s="1"/>
  <c r="D86" i="4"/>
  <c r="I86" i="4" s="1"/>
  <c r="D87" i="4"/>
  <c r="I87" i="4" s="1"/>
  <c r="D88" i="4"/>
  <c r="I88" i="4" s="1"/>
  <c r="D89" i="4"/>
  <c r="I89" i="4" s="1"/>
  <c r="D90" i="4"/>
  <c r="I90" i="4" s="1"/>
  <c r="D91" i="4"/>
  <c r="I91" i="4" s="1"/>
  <c r="D92" i="4"/>
  <c r="I92" i="4" s="1"/>
  <c r="D93" i="4"/>
  <c r="I93" i="4" s="1"/>
  <c r="D94" i="4"/>
  <c r="I94" i="4" s="1"/>
  <c r="D95" i="4"/>
  <c r="I95" i="4" s="1"/>
  <c r="H77" i="23"/>
  <c r="F77" i="23"/>
  <c r="E77" i="23"/>
  <c r="D77" i="23"/>
  <c r="H73" i="22"/>
  <c r="F73" i="22"/>
  <c r="E73" i="22"/>
  <c r="D73" i="22"/>
  <c r="H77" i="21"/>
  <c r="F77" i="21"/>
  <c r="E77" i="21"/>
  <c r="D77" i="21"/>
  <c r="H72" i="20"/>
  <c r="F72" i="20"/>
  <c r="E72" i="20"/>
  <c r="D72" i="20"/>
  <c r="H76" i="19"/>
  <c r="F76" i="19"/>
  <c r="E76" i="19"/>
  <c r="D76" i="19"/>
  <c r="H73" i="18"/>
  <c r="F73" i="18"/>
  <c r="E73" i="18"/>
  <c r="D73" i="18"/>
  <c r="H72" i="17"/>
  <c r="F72" i="17"/>
  <c r="E72" i="17"/>
  <c r="D72" i="17"/>
  <c r="H76" i="16"/>
  <c r="F76" i="16"/>
  <c r="E76" i="16"/>
  <c r="D76" i="16"/>
  <c r="H41" i="15"/>
  <c r="F41" i="15"/>
  <c r="E41" i="15"/>
  <c r="D41" i="15"/>
  <c r="H77" i="13"/>
  <c r="F77" i="13"/>
  <c r="E77" i="13"/>
  <c r="D77" i="13"/>
  <c r="H76" i="12"/>
  <c r="F76" i="12"/>
  <c r="E76" i="12"/>
  <c r="D76" i="12"/>
  <c r="H73" i="11"/>
  <c r="F73" i="11"/>
  <c r="E73" i="11"/>
  <c r="D73" i="11"/>
  <c r="H77" i="10"/>
  <c r="F77" i="10"/>
  <c r="E77" i="10"/>
  <c r="D77" i="10"/>
  <c r="H77" i="9"/>
  <c r="F77" i="9"/>
  <c r="E77" i="9"/>
  <c r="D77" i="9"/>
  <c r="H77" i="8"/>
  <c r="F77" i="8"/>
  <c r="E77" i="8"/>
  <c r="D77" i="8"/>
  <c r="H77" i="7"/>
  <c r="F77" i="7"/>
  <c r="E77" i="7"/>
  <c r="D77" i="7"/>
  <c r="H76" i="6"/>
  <c r="F76" i="6"/>
  <c r="E76" i="6"/>
  <c r="D76" i="6"/>
  <c r="H73" i="5"/>
  <c r="F73" i="5"/>
  <c r="E73" i="5"/>
  <c r="D73" i="5"/>
  <c r="H73" i="4"/>
  <c r="F73" i="4"/>
  <c r="E73" i="4"/>
  <c r="D73" i="4"/>
  <c r="D74" i="3"/>
  <c r="I74" i="3" s="1"/>
  <c r="D75" i="3"/>
  <c r="I75" i="3" s="1"/>
  <c r="D76" i="3"/>
  <c r="I76" i="3" s="1"/>
  <c r="D77" i="3"/>
  <c r="I77" i="3" s="1"/>
  <c r="D78" i="3"/>
  <c r="I78" i="3" s="1"/>
  <c r="D79" i="3"/>
  <c r="I79" i="3" s="1"/>
  <c r="D80" i="3"/>
  <c r="I80" i="3" s="1"/>
  <c r="D81" i="3"/>
  <c r="I81" i="3" s="1"/>
  <c r="D82" i="3"/>
  <c r="I82" i="3" s="1"/>
  <c r="D83" i="3"/>
  <c r="I83" i="3" s="1"/>
  <c r="D84" i="3"/>
  <c r="I84" i="3" s="1"/>
  <c r="D85" i="3"/>
  <c r="I85" i="3" s="1"/>
  <c r="D86" i="3"/>
  <c r="I86" i="3" s="1"/>
  <c r="D87" i="3"/>
  <c r="I87" i="3" s="1"/>
  <c r="D88" i="3"/>
  <c r="I88" i="3" s="1"/>
  <c r="D89" i="3"/>
  <c r="I89" i="3" s="1"/>
  <c r="D90" i="3"/>
  <c r="I90" i="3" s="1"/>
  <c r="D91" i="3"/>
  <c r="I91" i="3" s="1"/>
  <c r="D92" i="3"/>
  <c r="I92" i="3" s="1"/>
  <c r="D93" i="3"/>
  <c r="I93" i="3" s="1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D73" i="3"/>
  <c r="L18" i="15"/>
  <c r="L17" i="15"/>
  <c r="I74" i="23"/>
  <c r="G74" i="23"/>
  <c r="H74" i="23" s="1"/>
  <c r="F74" i="23"/>
  <c r="E74" i="23"/>
  <c r="I73" i="23"/>
  <c r="G73" i="23"/>
  <c r="F73" i="23"/>
  <c r="H73" i="23" s="1"/>
  <c r="E73" i="23"/>
  <c r="I72" i="23"/>
  <c r="G72" i="23"/>
  <c r="F72" i="23"/>
  <c r="E72" i="23"/>
  <c r="I71" i="23"/>
  <c r="G71" i="23"/>
  <c r="F71" i="23"/>
  <c r="H71" i="23" s="1"/>
  <c r="E71" i="23"/>
  <c r="I70" i="23"/>
  <c r="G70" i="23"/>
  <c r="F70" i="23"/>
  <c r="H70" i="23" s="1"/>
  <c r="E70" i="23"/>
  <c r="I69" i="23"/>
  <c r="G69" i="23"/>
  <c r="F69" i="23"/>
  <c r="H69" i="23" s="1"/>
  <c r="E69" i="23"/>
  <c r="I68" i="23"/>
  <c r="G68" i="23"/>
  <c r="F68" i="23"/>
  <c r="H68" i="23" s="1"/>
  <c r="E68" i="23"/>
  <c r="I67" i="23"/>
  <c r="H67" i="23"/>
  <c r="G67" i="23"/>
  <c r="F67" i="23"/>
  <c r="E67" i="23"/>
  <c r="I66" i="23"/>
  <c r="G66" i="23"/>
  <c r="F66" i="23"/>
  <c r="E66" i="23"/>
  <c r="I65" i="23"/>
  <c r="G65" i="23"/>
  <c r="F65" i="23"/>
  <c r="E65" i="23"/>
  <c r="I64" i="23"/>
  <c r="G64" i="23"/>
  <c r="F64" i="23"/>
  <c r="E64" i="23"/>
  <c r="I63" i="23"/>
  <c r="G63" i="23"/>
  <c r="F63" i="23"/>
  <c r="E63" i="23"/>
  <c r="I62" i="23"/>
  <c r="G62" i="23"/>
  <c r="F62" i="23"/>
  <c r="H62" i="23" s="1"/>
  <c r="E62" i="23"/>
  <c r="I61" i="23"/>
  <c r="G61" i="23"/>
  <c r="F61" i="23"/>
  <c r="H61" i="23" s="1"/>
  <c r="E61" i="23"/>
  <c r="I60" i="23"/>
  <c r="G60" i="23"/>
  <c r="F60" i="23"/>
  <c r="H60" i="23" s="1"/>
  <c r="E60" i="23"/>
  <c r="I59" i="23"/>
  <c r="G59" i="23"/>
  <c r="H59" i="23" s="1"/>
  <c r="F59" i="23"/>
  <c r="E59" i="23"/>
  <c r="I58" i="23"/>
  <c r="G58" i="23"/>
  <c r="H58" i="23" s="1"/>
  <c r="F58" i="23"/>
  <c r="E58" i="23"/>
  <c r="I57" i="23"/>
  <c r="G57" i="23"/>
  <c r="F57" i="23"/>
  <c r="E57" i="23"/>
  <c r="I56" i="23"/>
  <c r="G56" i="23"/>
  <c r="H56" i="23" s="1"/>
  <c r="F56" i="23"/>
  <c r="E56" i="23"/>
  <c r="I55" i="23"/>
  <c r="G55" i="23"/>
  <c r="F55" i="23"/>
  <c r="E55" i="23"/>
  <c r="I54" i="23"/>
  <c r="G54" i="23"/>
  <c r="F54" i="23"/>
  <c r="E54" i="23"/>
  <c r="I53" i="23"/>
  <c r="H53" i="23"/>
  <c r="G53" i="23"/>
  <c r="F53" i="23"/>
  <c r="E53" i="23"/>
  <c r="I52" i="23"/>
  <c r="H52" i="23"/>
  <c r="G52" i="23"/>
  <c r="F52" i="23"/>
  <c r="E52" i="23"/>
  <c r="I51" i="23"/>
  <c r="G51" i="23"/>
  <c r="F51" i="23"/>
  <c r="H51" i="23" s="1"/>
  <c r="E51" i="23"/>
  <c r="I50" i="23"/>
  <c r="G50" i="23"/>
  <c r="F50" i="23"/>
  <c r="E50" i="23"/>
  <c r="I49" i="23"/>
  <c r="G49" i="23"/>
  <c r="F49" i="23"/>
  <c r="H49" i="23" s="1"/>
  <c r="E49" i="23"/>
  <c r="I48" i="23"/>
  <c r="G48" i="23"/>
  <c r="H48" i="23" s="1"/>
  <c r="F48" i="23"/>
  <c r="E48" i="23"/>
  <c r="I47" i="23"/>
  <c r="G47" i="23"/>
  <c r="F47" i="23"/>
  <c r="H47" i="23" s="1"/>
  <c r="E47" i="23"/>
  <c r="I46" i="23"/>
  <c r="G46" i="23"/>
  <c r="F46" i="23"/>
  <c r="E46" i="23"/>
  <c r="I45" i="23"/>
  <c r="G45" i="23"/>
  <c r="H45" i="23" s="1"/>
  <c r="F45" i="23"/>
  <c r="E45" i="23"/>
  <c r="I44" i="23"/>
  <c r="H44" i="23"/>
  <c r="G44" i="23"/>
  <c r="F44" i="23"/>
  <c r="E44" i="23"/>
  <c r="I43" i="23"/>
  <c r="G43" i="23"/>
  <c r="F43" i="23"/>
  <c r="H43" i="23" s="1"/>
  <c r="E43" i="23"/>
  <c r="I42" i="23"/>
  <c r="G42" i="23"/>
  <c r="F42" i="23"/>
  <c r="E42" i="23"/>
  <c r="I41" i="23"/>
  <c r="G41" i="23"/>
  <c r="F41" i="23"/>
  <c r="H41" i="23" s="1"/>
  <c r="E41" i="23"/>
  <c r="I40" i="23"/>
  <c r="G40" i="23"/>
  <c r="F40" i="23"/>
  <c r="E40" i="23"/>
  <c r="I39" i="23"/>
  <c r="G39" i="23"/>
  <c r="F39" i="23"/>
  <c r="H39" i="23" s="1"/>
  <c r="E39" i="23"/>
  <c r="I38" i="23"/>
  <c r="G38" i="23"/>
  <c r="F38" i="23"/>
  <c r="H38" i="23" s="1"/>
  <c r="E38" i="23"/>
  <c r="I37" i="23"/>
  <c r="G37" i="23"/>
  <c r="F37" i="23"/>
  <c r="H37" i="23" s="1"/>
  <c r="E37" i="23"/>
  <c r="I36" i="23"/>
  <c r="G36" i="23"/>
  <c r="H36" i="23" s="1"/>
  <c r="F36" i="23"/>
  <c r="E36" i="23"/>
  <c r="I35" i="23"/>
  <c r="H35" i="23"/>
  <c r="G35" i="23"/>
  <c r="F35" i="23"/>
  <c r="E35" i="23"/>
  <c r="I34" i="23"/>
  <c r="G34" i="23"/>
  <c r="H34" i="23" s="1"/>
  <c r="F34" i="23"/>
  <c r="E34" i="23"/>
  <c r="I33" i="23"/>
  <c r="G33" i="23"/>
  <c r="F33" i="23"/>
  <c r="H33" i="23" s="1"/>
  <c r="E33" i="23"/>
  <c r="I32" i="23"/>
  <c r="G32" i="23"/>
  <c r="H32" i="23" s="1"/>
  <c r="F32" i="23"/>
  <c r="E32" i="23"/>
  <c r="I31" i="23"/>
  <c r="G31" i="23"/>
  <c r="F31" i="23"/>
  <c r="H31" i="23" s="1"/>
  <c r="E31" i="23"/>
  <c r="I30" i="23"/>
  <c r="G30" i="23"/>
  <c r="F30" i="23"/>
  <c r="E30" i="23"/>
  <c r="I29" i="23"/>
  <c r="G29" i="23"/>
  <c r="F29" i="23"/>
  <c r="H29" i="23" s="1"/>
  <c r="E29" i="23"/>
  <c r="I28" i="23"/>
  <c r="G28" i="23"/>
  <c r="F28" i="23"/>
  <c r="H28" i="23" s="1"/>
  <c r="E28" i="23"/>
  <c r="I27" i="23"/>
  <c r="G27" i="23"/>
  <c r="H27" i="23" s="1"/>
  <c r="F27" i="23"/>
  <c r="E27" i="23"/>
  <c r="I26" i="23"/>
  <c r="G26" i="23"/>
  <c r="H26" i="23" s="1"/>
  <c r="F26" i="23"/>
  <c r="E26" i="23"/>
  <c r="I25" i="23"/>
  <c r="G25" i="23"/>
  <c r="F25" i="23"/>
  <c r="E25" i="23"/>
  <c r="I24" i="23"/>
  <c r="G24" i="23"/>
  <c r="H24" i="23" s="1"/>
  <c r="F24" i="23"/>
  <c r="E24" i="23"/>
  <c r="I23" i="23"/>
  <c r="G23" i="23"/>
  <c r="F23" i="23"/>
  <c r="E23" i="23"/>
  <c r="I22" i="23"/>
  <c r="G22" i="23"/>
  <c r="F22" i="23"/>
  <c r="E22" i="23"/>
  <c r="I21" i="23"/>
  <c r="H21" i="23"/>
  <c r="G21" i="23"/>
  <c r="F21" i="23"/>
  <c r="E21" i="23"/>
  <c r="I20" i="23"/>
  <c r="G20" i="23"/>
  <c r="F20" i="23"/>
  <c r="H20" i="23" s="1"/>
  <c r="E20" i="23"/>
  <c r="I19" i="23"/>
  <c r="G19" i="23"/>
  <c r="F19" i="23"/>
  <c r="H19" i="23" s="1"/>
  <c r="E19" i="23"/>
  <c r="I18" i="23"/>
  <c r="G18" i="23"/>
  <c r="H18" i="23" s="1"/>
  <c r="F18" i="23"/>
  <c r="E18" i="23"/>
  <c r="I17" i="23"/>
  <c r="G17" i="23"/>
  <c r="F17" i="23"/>
  <c r="E17" i="23"/>
  <c r="I16" i="23"/>
  <c r="G16" i="23"/>
  <c r="F16" i="23"/>
  <c r="E16" i="23"/>
  <c r="I15" i="23"/>
  <c r="G15" i="23"/>
  <c r="H15" i="23" s="1"/>
  <c r="F15" i="23"/>
  <c r="E15" i="23"/>
  <c r="I14" i="23"/>
  <c r="G14" i="23"/>
  <c r="H14" i="23" s="1"/>
  <c r="F14" i="23"/>
  <c r="E14" i="23"/>
  <c r="I13" i="23"/>
  <c r="G13" i="23"/>
  <c r="F13" i="23"/>
  <c r="H13" i="23" s="1"/>
  <c r="E13" i="23"/>
  <c r="I12" i="23"/>
  <c r="G12" i="23"/>
  <c r="H12" i="23" s="1"/>
  <c r="F12" i="23"/>
  <c r="E12" i="23"/>
  <c r="I11" i="23"/>
  <c r="G11" i="23"/>
  <c r="F11" i="23"/>
  <c r="E11" i="23"/>
  <c r="I10" i="23"/>
  <c r="H10" i="23"/>
  <c r="G10" i="23"/>
  <c r="F10" i="23"/>
  <c r="E10" i="23"/>
  <c r="I9" i="23"/>
  <c r="G9" i="23"/>
  <c r="F9" i="23"/>
  <c r="H9" i="23" s="1"/>
  <c r="E9" i="23"/>
  <c r="I8" i="23"/>
  <c r="H8" i="23"/>
  <c r="G8" i="23"/>
  <c r="F8" i="23"/>
  <c r="E8" i="23"/>
  <c r="I7" i="23"/>
  <c r="G7" i="23"/>
  <c r="H7" i="23" s="1"/>
  <c r="F7" i="23"/>
  <c r="E7" i="23"/>
  <c r="I6" i="23"/>
  <c r="G6" i="23"/>
  <c r="F6" i="23"/>
  <c r="H6" i="23" s="1"/>
  <c r="E6" i="23"/>
  <c r="I5" i="23"/>
  <c r="G5" i="23"/>
  <c r="F5" i="23"/>
  <c r="H5" i="23" s="1"/>
  <c r="E5" i="23"/>
  <c r="I4" i="23"/>
  <c r="G4" i="23"/>
  <c r="F4" i="23"/>
  <c r="H4" i="23" s="1"/>
  <c r="E4" i="23"/>
  <c r="I3" i="23"/>
  <c r="G3" i="23"/>
  <c r="H3" i="23" s="1"/>
  <c r="F3" i="23"/>
  <c r="E3" i="23"/>
  <c r="I71" i="22"/>
  <c r="I70" i="22"/>
  <c r="G70" i="22"/>
  <c r="F70" i="22"/>
  <c r="E70" i="22"/>
  <c r="I69" i="22"/>
  <c r="G69" i="22"/>
  <c r="F69" i="22"/>
  <c r="E69" i="22"/>
  <c r="I68" i="22"/>
  <c r="G68" i="22"/>
  <c r="F68" i="22"/>
  <c r="E68" i="22"/>
  <c r="I67" i="22"/>
  <c r="G67" i="22"/>
  <c r="F67" i="22"/>
  <c r="E67" i="22"/>
  <c r="I66" i="22"/>
  <c r="G66" i="22"/>
  <c r="F66" i="22"/>
  <c r="E66" i="22"/>
  <c r="I65" i="22"/>
  <c r="G65" i="22"/>
  <c r="F65" i="22"/>
  <c r="E65" i="22"/>
  <c r="I64" i="22"/>
  <c r="G64" i="22"/>
  <c r="F64" i="22"/>
  <c r="E64" i="22"/>
  <c r="I63" i="22"/>
  <c r="G63" i="22"/>
  <c r="F63" i="22"/>
  <c r="E63" i="22"/>
  <c r="I62" i="22"/>
  <c r="G62" i="22"/>
  <c r="F62" i="22"/>
  <c r="E62" i="22"/>
  <c r="I61" i="22"/>
  <c r="G61" i="22"/>
  <c r="F61" i="22"/>
  <c r="E61" i="22"/>
  <c r="I60" i="22"/>
  <c r="G60" i="22"/>
  <c r="F60" i="22"/>
  <c r="E60" i="22"/>
  <c r="I59" i="22"/>
  <c r="G59" i="22"/>
  <c r="F59" i="22"/>
  <c r="E59" i="22"/>
  <c r="I58" i="22"/>
  <c r="G58" i="22"/>
  <c r="F58" i="22"/>
  <c r="E58" i="22"/>
  <c r="I57" i="22"/>
  <c r="G57" i="22"/>
  <c r="F57" i="22"/>
  <c r="E57" i="22"/>
  <c r="I56" i="22"/>
  <c r="G56" i="22"/>
  <c r="F56" i="22"/>
  <c r="E56" i="22"/>
  <c r="I55" i="22"/>
  <c r="G55" i="22"/>
  <c r="F55" i="22"/>
  <c r="E55" i="22"/>
  <c r="I54" i="22"/>
  <c r="G54" i="22"/>
  <c r="F54" i="22"/>
  <c r="E54" i="22"/>
  <c r="I53" i="22"/>
  <c r="G53" i="22"/>
  <c r="F53" i="22"/>
  <c r="E53" i="22"/>
  <c r="I52" i="22"/>
  <c r="G52" i="22"/>
  <c r="F52" i="22"/>
  <c r="E52" i="22"/>
  <c r="I51" i="22"/>
  <c r="G51" i="22"/>
  <c r="F51" i="22"/>
  <c r="E51" i="22"/>
  <c r="I50" i="22"/>
  <c r="G50" i="22"/>
  <c r="F50" i="22"/>
  <c r="E50" i="22"/>
  <c r="I49" i="22"/>
  <c r="G49" i="22"/>
  <c r="F49" i="22"/>
  <c r="E49" i="22"/>
  <c r="I48" i="22"/>
  <c r="G48" i="22"/>
  <c r="F48" i="22"/>
  <c r="E48" i="22"/>
  <c r="I47" i="22"/>
  <c r="G47" i="22"/>
  <c r="F47" i="22"/>
  <c r="E47" i="22"/>
  <c r="I46" i="22"/>
  <c r="G46" i="22"/>
  <c r="F46" i="22"/>
  <c r="E46" i="22"/>
  <c r="I45" i="22"/>
  <c r="G45" i="22"/>
  <c r="F45" i="22"/>
  <c r="E45" i="22"/>
  <c r="I44" i="22"/>
  <c r="G44" i="22"/>
  <c r="F44" i="22"/>
  <c r="E44" i="22"/>
  <c r="I43" i="22"/>
  <c r="G43" i="22"/>
  <c r="F43" i="22"/>
  <c r="E43" i="22"/>
  <c r="I42" i="22"/>
  <c r="G42" i="22"/>
  <c r="F42" i="22"/>
  <c r="E42" i="22"/>
  <c r="I41" i="22"/>
  <c r="G41" i="22"/>
  <c r="F41" i="22"/>
  <c r="E41" i="22"/>
  <c r="I40" i="22"/>
  <c r="G40" i="22"/>
  <c r="F40" i="22"/>
  <c r="E40" i="22"/>
  <c r="I39" i="22"/>
  <c r="G39" i="22"/>
  <c r="F39" i="22"/>
  <c r="E39" i="22"/>
  <c r="I38" i="22"/>
  <c r="G38" i="22"/>
  <c r="F38" i="22"/>
  <c r="E38" i="22"/>
  <c r="I37" i="22"/>
  <c r="G37" i="22"/>
  <c r="F37" i="22"/>
  <c r="E37" i="22"/>
  <c r="I36" i="22"/>
  <c r="G36" i="22"/>
  <c r="F36" i="22"/>
  <c r="E36" i="22"/>
  <c r="I35" i="22"/>
  <c r="G35" i="22"/>
  <c r="F35" i="22"/>
  <c r="E35" i="22"/>
  <c r="I34" i="22"/>
  <c r="G34" i="22"/>
  <c r="F34" i="22"/>
  <c r="E34" i="22"/>
  <c r="I33" i="22"/>
  <c r="G33" i="22"/>
  <c r="F33" i="22"/>
  <c r="E33" i="22"/>
  <c r="I32" i="22"/>
  <c r="G32" i="22"/>
  <c r="F32" i="22"/>
  <c r="E32" i="22"/>
  <c r="I31" i="22"/>
  <c r="G31" i="22"/>
  <c r="F31" i="22"/>
  <c r="E31" i="22"/>
  <c r="I30" i="22"/>
  <c r="G30" i="22"/>
  <c r="F30" i="22"/>
  <c r="E30" i="22"/>
  <c r="I29" i="22"/>
  <c r="G29" i="22"/>
  <c r="F29" i="22"/>
  <c r="E29" i="22"/>
  <c r="I28" i="22"/>
  <c r="G28" i="22"/>
  <c r="F28" i="22"/>
  <c r="E28" i="22"/>
  <c r="I27" i="22"/>
  <c r="G27" i="22"/>
  <c r="F27" i="22"/>
  <c r="E27" i="22"/>
  <c r="I26" i="22"/>
  <c r="G26" i="22"/>
  <c r="F26" i="22"/>
  <c r="E26" i="22"/>
  <c r="I25" i="22"/>
  <c r="G25" i="22"/>
  <c r="F25" i="22"/>
  <c r="E25" i="22"/>
  <c r="I24" i="22"/>
  <c r="G24" i="22"/>
  <c r="F24" i="22"/>
  <c r="E24" i="22"/>
  <c r="I23" i="22"/>
  <c r="G23" i="22"/>
  <c r="F23" i="22"/>
  <c r="E23" i="22"/>
  <c r="I22" i="22"/>
  <c r="G22" i="22"/>
  <c r="F22" i="22"/>
  <c r="E22" i="22"/>
  <c r="I21" i="22"/>
  <c r="G21" i="22"/>
  <c r="F21" i="22"/>
  <c r="E21" i="22"/>
  <c r="I20" i="22"/>
  <c r="G20" i="22"/>
  <c r="F20" i="22"/>
  <c r="E20" i="22"/>
  <c r="I19" i="22"/>
  <c r="G19" i="22"/>
  <c r="F19" i="22"/>
  <c r="E19" i="22"/>
  <c r="I18" i="22"/>
  <c r="G18" i="22"/>
  <c r="F18" i="22"/>
  <c r="E18" i="22"/>
  <c r="I17" i="22"/>
  <c r="G17" i="22"/>
  <c r="F17" i="22"/>
  <c r="E17" i="22"/>
  <c r="I16" i="22"/>
  <c r="G16" i="22"/>
  <c r="F16" i="22"/>
  <c r="E16" i="22"/>
  <c r="I15" i="22"/>
  <c r="G15" i="22"/>
  <c r="F15" i="22"/>
  <c r="E15" i="22"/>
  <c r="I14" i="22"/>
  <c r="G14" i="22"/>
  <c r="F14" i="22"/>
  <c r="E14" i="22"/>
  <c r="I13" i="22"/>
  <c r="G13" i="22"/>
  <c r="F13" i="22"/>
  <c r="E13" i="22"/>
  <c r="I12" i="22"/>
  <c r="G12" i="22"/>
  <c r="F12" i="22"/>
  <c r="E12" i="22"/>
  <c r="I11" i="22"/>
  <c r="G11" i="22"/>
  <c r="F11" i="22"/>
  <c r="E11" i="22"/>
  <c r="I10" i="22"/>
  <c r="G10" i="22"/>
  <c r="F10" i="22"/>
  <c r="E10" i="22"/>
  <c r="I9" i="22"/>
  <c r="G9" i="22"/>
  <c r="F9" i="22"/>
  <c r="E9" i="22"/>
  <c r="I8" i="22"/>
  <c r="G8" i="22"/>
  <c r="F8" i="22"/>
  <c r="E8" i="22"/>
  <c r="I7" i="22"/>
  <c r="G7" i="22"/>
  <c r="F7" i="22"/>
  <c r="E7" i="22"/>
  <c r="I6" i="22"/>
  <c r="G6" i="22"/>
  <c r="F6" i="22"/>
  <c r="E6" i="22"/>
  <c r="I5" i="22"/>
  <c r="G5" i="22"/>
  <c r="F5" i="22"/>
  <c r="E5" i="22"/>
  <c r="I4" i="22"/>
  <c r="G4" i="22"/>
  <c r="F4" i="22"/>
  <c r="E4" i="22"/>
  <c r="I3" i="22"/>
  <c r="G3" i="22"/>
  <c r="F3" i="22"/>
  <c r="E3" i="22"/>
  <c r="I74" i="21"/>
  <c r="G74" i="21"/>
  <c r="F74" i="21"/>
  <c r="H74" i="21" s="1"/>
  <c r="E74" i="21"/>
  <c r="I73" i="21"/>
  <c r="G73" i="21"/>
  <c r="F73" i="21"/>
  <c r="H73" i="21" s="1"/>
  <c r="E73" i="21"/>
  <c r="I72" i="21"/>
  <c r="G72" i="21"/>
  <c r="F72" i="21"/>
  <c r="H72" i="21" s="1"/>
  <c r="E72" i="21"/>
  <c r="I71" i="21"/>
  <c r="G71" i="21"/>
  <c r="F71" i="21"/>
  <c r="H71" i="21" s="1"/>
  <c r="E71" i="21"/>
  <c r="I70" i="21"/>
  <c r="G70" i="21"/>
  <c r="F70" i="21"/>
  <c r="H70" i="21" s="1"/>
  <c r="E70" i="21"/>
  <c r="I69" i="21"/>
  <c r="G69" i="21"/>
  <c r="F69" i="21"/>
  <c r="H69" i="21" s="1"/>
  <c r="E69" i="21"/>
  <c r="I68" i="21"/>
  <c r="G68" i="21"/>
  <c r="F68" i="21"/>
  <c r="H68" i="21" s="1"/>
  <c r="E68" i="21"/>
  <c r="I67" i="21"/>
  <c r="H67" i="21"/>
  <c r="G67" i="21"/>
  <c r="F67" i="21"/>
  <c r="E67" i="21"/>
  <c r="I66" i="21"/>
  <c r="G66" i="21"/>
  <c r="F66" i="21"/>
  <c r="E66" i="21"/>
  <c r="I65" i="21"/>
  <c r="G65" i="21"/>
  <c r="F65" i="21"/>
  <c r="E65" i="21"/>
  <c r="I64" i="21"/>
  <c r="G64" i="21"/>
  <c r="F64" i="21"/>
  <c r="E64" i="21"/>
  <c r="I63" i="21"/>
  <c r="H63" i="21"/>
  <c r="G63" i="21"/>
  <c r="F63" i="21"/>
  <c r="E63" i="21"/>
  <c r="I62" i="21"/>
  <c r="G62" i="21"/>
  <c r="F62" i="21"/>
  <c r="H62" i="21" s="1"/>
  <c r="E62" i="21"/>
  <c r="I61" i="21"/>
  <c r="G61" i="21"/>
  <c r="F61" i="21"/>
  <c r="H61" i="21" s="1"/>
  <c r="E61" i="21"/>
  <c r="I60" i="21"/>
  <c r="G60" i="21"/>
  <c r="F60" i="21"/>
  <c r="H60" i="21" s="1"/>
  <c r="E60" i="21"/>
  <c r="I59" i="21"/>
  <c r="G59" i="21"/>
  <c r="F59" i="21"/>
  <c r="H59" i="21" s="1"/>
  <c r="E59" i="21"/>
  <c r="I58" i="21"/>
  <c r="G58" i="21"/>
  <c r="F58" i="21"/>
  <c r="E58" i="21"/>
  <c r="I57" i="21"/>
  <c r="G57" i="21"/>
  <c r="F57" i="21"/>
  <c r="H57" i="21" s="1"/>
  <c r="E57" i="21"/>
  <c r="I56" i="21"/>
  <c r="G56" i="21"/>
  <c r="H56" i="21" s="1"/>
  <c r="F56" i="21"/>
  <c r="E56" i="21"/>
  <c r="I55" i="21"/>
  <c r="G55" i="21"/>
  <c r="F55" i="21"/>
  <c r="H55" i="21" s="1"/>
  <c r="E55" i="21"/>
  <c r="I54" i="21"/>
  <c r="G54" i="21"/>
  <c r="F54" i="21"/>
  <c r="E54" i="21"/>
  <c r="I53" i="21"/>
  <c r="G53" i="21"/>
  <c r="F53" i="21"/>
  <c r="E53" i="21"/>
  <c r="I52" i="21"/>
  <c r="G52" i="21"/>
  <c r="H52" i="21" s="1"/>
  <c r="F52" i="21"/>
  <c r="E52" i="21"/>
  <c r="I51" i="21"/>
  <c r="G51" i="21"/>
  <c r="F51" i="21"/>
  <c r="H51" i="21" s="1"/>
  <c r="E51" i="21"/>
  <c r="I50" i="21"/>
  <c r="G50" i="21"/>
  <c r="F50" i="21"/>
  <c r="E50" i="21"/>
  <c r="I49" i="21"/>
  <c r="G49" i="21"/>
  <c r="F49" i="21"/>
  <c r="H49" i="21" s="1"/>
  <c r="E49" i="21"/>
  <c r="I48" i="21"/>
  <c r="G48" i="21"/>
  <c r="F48" i="21"/>
  <c r="E48" i="21"/>
  <c r="I47" i="21"/>
  <c r="G47" i="21"/>
  <c r="F47" i="21"/>
  <c r="H47" i="21" s="1"/>
  <c r="E47" i="21"/>
  <c r="I46" i="21"/>
  <c r="G46" i="21"/>
  <c r="F46" i="21"/>
  <c r="H46" i="21" s="1"/>
  <c r="E46" i="21"/>
  <c r="I45" i="21"/>
  <c r="G45" i="21"/>
  <c r="F45" i="21"/>
  <c r="E45" i="21"/>
  <c r="I44" i="21"/>
  <c r="G44" i="21"/>
  <c r="F44" i="21"/>
  <c r="H44" i="21" s="1"/>
  <c r="E44" i="21"/>
  <c r="I43" i="21"/>
  <c r="G43" i="21"/>
  <c r="H43" i="21" s="1"/>
  <c r="F43" i="21"/>
  <c r="E43" i="21"/>
  <c r="I42" i="21"/>
  <c r="G42" i="21"/>
  <c r="F42" i="21"/>
  <c r="H42" i="21" s="1"/>
  <c r="E42" i="21"/>
  <c r="I41" i="21"/>
  <c r="G41" i="21"/>
  <c r="F41" i="21"/>
  <c r="E41" i="21"/>
  <c r="I40" i="21"/>
  <c r="G40" i="21"/>
  <c r="F40" i="21"/>
  <c r="E40" i="21"/>
  <c r="I39" i="21"/>
  <c r="G39" i="21"/>
  <c r="F39" i="21"/>
  <c r="H39" i="21" s="1"/>
  <c r="E39" i="21"/>
  <c r="I38" i="21"/>
  <c r="G38" i="21"/>
  <c r="F38" i="21"/>
  <c r="H38" i="21" s="1"/>
  <c r="E38" i="21"/>
  <c r="I37" i="21"/>
  <c r="G37" i="21"/>
  <c r="F37" i="21"/>
  <c r="H37" i="21" s="1"/>
  <c r="E37" i="21"/>
  <c r="I36" i="21"/>
  <c r="G36" i="21"/>
  <c r="F36" i="21"/>
  <c r="H36" i="21" s="1"/>
  <c r="E36" i="21"/>
  <c r="I35" i="21"/>
  <c r="H35" i="21"/>
  <c r="G35" i="21"/>
  <c r="F35" i="21"/>
  <c r="E35" i="21"/>
  <c r="I34" i="21"/>
  <c r="G34" i="21"/>
  <c r="F34" i="21"/>
  <c r="H34" i="21" s="1"/>
  <c r="E34" i="21"/>
  <c r="I33" i="21"/>
  <c r="G33" i="21"/>
  <c r="F33" i="21"/>
  <c r="H33" i="21" s="1"/>
  <c r="E33" i="21"/>
  <c r="I32" i="21"/>
  <c r="G32" i="21"/>
  <c r="F32" i="21"/>
  <c r="E32" i="21"/>
  <c r="I31" i="21"/>
  <c r="G31" i="21"/>
  <c r="F31" i="21"/>
  <c r="H31" i="21" s="1"/>
  <c r="E31" i="21"/>
  <c r="I30" i="21"/>
  <c r="G30" i="21"/>
  <c r="F30" i="21"/>
  <c r="H30" i="21" s="1"/>
  <c r="E30" i="21"/>
  <c r="I29" i="21"/>
  <c r="G29" i="21"/>
  <c r="F29" i="21"/>
  <c r="H29" i="21" s="1"/>
  <c r="E29" i="21"/>
  <c r="I28" i="21"/>
  <c r="G28" i="21"/>
  <c r="F28" i="21"/>
  <c r="H28" i="21" s="1"/>
  <c r="E28" i="21"/>
  <c r="I27" i="21"/>
  <c r="G27" i="21"/>
  <c r="F27" i="21"/>
  <c r="H27" i="21" s="1"/>
  <c r="E27" i="21"/>
  <c r="I26" i="21"/>
  <c r="G26" i="21"/>
  <c r="F26" i="21"/>
  <c r="E26" i="21"/>
  <c r="I25" i="21"/>
  <c r="G25" i="21"/>
  <c r="F25" i="21"/>
  <c r="E25" i="21"/>
  <c r="I24" i="21"/>
  <c r="G24" i="21"/>
  <c r="H24" i="21" s="1"/>
  <c r="F24" i="21"/>
  <c r="E24" i="21"/>
  <c r="I23" i="21"/>
  <c r="H23" i="21"/>
  <c r="G23" i="21"/>
  <c r="F23" i="21"/>
  <c r="E23" i="21"/>
  <c r="I22" i="21"/>
  <c r="G22" i="21"/>
  <c r="F22" i="21"/>
  <c r="E22" i="21"/>
  <c r="I21" i="21"/>
  <c r="G21" i="21"/>
  <c r="F21" i="21"/>
  <c r="H21" i="21" s="1"/>
  <c r="E21" i="21"/>
  <c r="I20" i="21"/>
  <c r="G20" i="21"/>
  <c r="F20" i="21"/>
  <c r="H20" i="21" s="1"/>
  <c r="E20" i="21"/>
  <c r="I19" i="21"/>
  <c r="H19" i="21"/>
  <c r="G19" i="21"/>
  <c r="F19" i="21"/>
  <c r="E19" i="21"/>
  <c r="I18" i="21"/>
  <c r="G18" i="21"/>
  <c r="F18" i="21"/>
  <c r="H18" i="21" s="1"/>
  <c r="E18" i="21"/>
  <c r="I17" i="21"/>
  <c r="G17" i="21"/>
  <c r="F17" i="21"/>
  <c r="H17" i="21" s="1"/>
  <c r="E17" i="21"/>
  <c r="I16" i="21"/>
  <c r="G16" i="21"/>
  <c r="F16" i="21"/>
  <c r="E16" i="21"/>
  <c r="I15" i="21"/>
  <c r="G15" i="21"/>
  <c r="F15" i="21"/>
  <c r="E15" i="21"/>
  <c r="I14" i="21"/>
  <c r="G14" i="21"/>
  <c r="F14" i="21"/>
  <c r="E14" i="21"/>
  <c r="I13" i="21"/>
  <c r="G13" i="21"/>
  <c r="F13" i="21"/>
  <c r="E13" i="21"/>
  <c r="I12" i="21"/>
  <c r="G12" i="21"/>
  <c r="F12" i="21"/>
  <c r="E12" i="21"/>
  <c r="I11" i="21"/>
  <c r="G11" i="21"/>
  <c r="F11" i="21"/>
  <c r="E11" i="21"/>
  <c r="I10" i="21"/>
  <c r="H10" i="21"/>
  <c r="G10" i="21"/>
  <c r="F10" i="21"/>
  <c r="E10" i="21"/>
  <c r="I9" i="21"/>
  <c r="G9" i="21"/>
  <c r="F9" i="21"/>
  <c r="H9" i="21" s="1"/>
  <c r="E9" i="21"/>
  <c r="I8" i="21"/>
  <c r="H8" i="21"/>
  <c r="G8" i="21"/>
  <c r="F8" i="21"/>
  <c r="E8" i="21"/>
  <c r="I7" i="21"/>
  <c r="G7" i="21"/>
  <c r="F7" i="21"/>
  <c r="E7" i="21"/>
  <c r="I6" i="21"/>
  <c r="H6" i="21"/>
  <c r="G6" i="21"/>
  <c r="F6" i="21"/>
  <c r="E6" i="21"/>
  <c r="I5" i="21"/>
  <c r="G5" i="21"/>
  <c r="F5" i="21"/>
  <c r="H5" i="21" s="1"/>
  <c r="E5" i="21"/>
  <c r="I4" i="21"/>
  <c r="G4" i="21"/>
  <c r="F4" i="21"/>
  <c r="H4" i="21" s="1"/>
  <c r="E4" i="21"/>
  <c r="I3" i="21"/>
  <c r="G3" i="21"/>
  <c r="F3" i="21"/>
  <c r="E3" i="21"/>
  <c r="I70" i="20"/>
  <c r="I69" i="20"/>
  <c r="G69" i="20"/>
  <c r="F69" i="20"/>
  <c r="E69" i="20"/>
  <c r="I68" i="20"/>
  <c r="G68" i="20"/>
  <c r="F68" i="20"/>
  <c r="E68" i="20"/>
  <c r="I67" i="20"/>
  <c r="G67" i="20"/>
  <c r="F67" i="20"/>
  <c r="E67" i="20"/>
  <c r="I66" i="20"/>
  <c r="G66" i="20"/>
  <c r="F66" i="20"/>
  <c r="E66" i="20"/>
  <c r="I65" i="20"/>
  <c r="G65" i="20"/>
  <c r="F65" i="20"/>
  <c r="E65" i="20"/>
  <c r="I64" i="20"/>
  <c r="G64" i="20"/>
  <c r="F64" i="20"/>
  <c r="E64" i="20"/>
  <c r="I63" i="20"/>
  <c r="G63" i="20"/>
  <c r="F63" i="20"/>
  <c r="E63" i="20"/>
  <c r="I62" i="20"/>
  <c r="G62" i="20"/>
  <c r="F62" i="20"/>
  <c r="E62" i="20"/>
  <c r="I61" i="20"/>
  <c r="G61" i="20"/>
  <c r="F61" i="20"/>
  <c r="E61" i="20"/>
  <c r="I60" i="20"/>
  <c r="G60" i="20"/>
  <c r="F60" i="20"/>
  <c r="E60" i="20"/>
  <c r="I59" i="20"/>
  <c r="G59" i="20"/>
  <c r="F59" i="20"/>
  <c r="E59" i="20"/>
  <c r="I58" i="20"/>
  <c r="G58" i="20"/>
  <c r="F58" i="20"/>
  <c r="E58" i="20"/>
  <c r="I57" i="20"/>
  <c r="G57" i="20"/>
  <c r="F57" i="20"/>
  <c r="E57" i="20"/>
  <c r="I56" i="20"/>
  <c r="G56" i="20"/>
  <c r="F56" i="20"/>
  <c r="E56" i="20"/>
  <c r="I55" i="20"/>
  <c r="G55" i="20"/>
  <c r="F55" i="20"/>
  <c r="E55" i="20"/>
  <c r="I54" i="20"/>
  <c r="G54" i="20"/>
  <c r="F54" i="20"/>
  <c r="E54" i="20"/>
  <c r="I53" i="20"/>
  <c r="G53" i="20"/>
  <c r="F53" i="20"/>
  <c r="E53" i="20"/>
  <c r="I52" i="20"/>
  <c r="G52" i="20"/>
  <c r="F52" i="20"/>
  <c r="E52" i="20"/>
  <c r="I51" i="20"/>
  <c r="G51" i="20"/>
  <c r="F51" i="20"/>
  <c r="E51" i="20"/>
  <c r="I50" i="20"/>
  <c r="G50" i="20"/>
  <c r="F50" i="20"/>
  <c r="E50" i="20"/>
  <c r="I49" i="20"/>
  <c r="G49" i="20"/>
  <c r="F49" i="20"/>
  <c r="E49" i="20"/>
  <c r="I48" i="20"/>
  <c r="G48" i="20"/>
  <c r="F48" i="20"/>
  <c r="E48" i="20"/>
  <c r="I47" i="20"/>
  <c r="G47" i="20"/>
  <c r="F47" i="20"/>
  <c r="E47" i="20"/>
  <c r="I46" i="20"/>
  <c r="G46" i="20"/>
  <c r="F46" i="20"/>
  <c r="E46" i="20"/>
  <c r="I45" i="20"/>
  <c r="G45" i="20"/>
  <c r="F45" i="20"/>
  <c r="E45" i="20"/>
  <c r="I44" i="20"/>
  <c r="G44" i="20"/>
  <c r="F44" i="20"/>
  <c r="E44" i="20"/>
  <c r="I43" i="20"/>
  <c r="G43" i="20"/>
  <c r="F43" i="20"/>
  <c r="E43" i="20"/>
  <c r="I42" i="20"/>
  <c r="G42" i="20"/>
  <c r="F42" i="20"/>
  <c r="E42" i="20"/>
  <c r="I41" i="20"/>
  <c r="G41" i="20"/>
  <c r="F41" i="20"/>
  <c r="E41" i="20"/>
  <c r="I40" i="20"/>
  <c r="G40" i="20"/>
  <c r="F40" i="20"/>
  <c r="E40" i="20"/>
  <c r="I39" i="20"/>
  <c r="G39" i="20"/>
  <c r="F39" i="20"/>
  <c r="E39" i="20"/>
  <c r="I38" i="20"/>
  <c r="G38" i="20"/>
  <c r="F38" i="20"/>
  <c r="E38" i="20"/>
  <c r="I37" i="20"/>
  <c r="G37" i="20"/>
  <c r="F37" i="20"/>
  <c r="E37" i="20"/>
  <c r="I36" i="20"/>
  <c r="G36" i="20"/>
  <c r="F36" i="20"/>
  <c r="E36" i="20"/>
  <c r="I35" i="20"/>
  <c r="G35" i="20"/>
  <c r="F35" i="20"/>
  <c r="E35" i="20"/>
  <c r="I34" i="20"/>
  <c r="G34" i="20"/>
  <c r="F34" i="20"/>
  <c r="E34" i="20"/>
  <c r="I33" i="20"/>
  <c r="G33" i="20"/>
  <c r="F33" i="20"/>
  <c r="E33" i="20"/>
  <c r="I32" i="20"/>
  <c r="G32" i="20"/>
  <c r="F32" i="20"/>
  <c r="E32" i="20"/>
  <c r="I31" i="20"/>
  <c r="G31" i="20"/>
  <c r="F31" i="20"/>
  <c r="E31" i="20"/>
  <c r="I30" i="20"/>
  <c r="G30" i="20"/>
  <c r="F30" i="20"/>
  <c r="E30" i="20"/>
  <c r="I29" i="20"/>
  <c r="G29" i="20"/>
  <c r="F29" i="20"/>
  <c r="E29" i="20"/>
  <c r="I28" i="20"/>
  <c r="G28" i="20"/>
  <c r="F28" i="20"/>
  <c r="E28" i="20"/>
  <c r="I27" i="20"/>
  <c r="G27" i="20"/>
  <c r="F27" i="20"/>
  <c r="E27" i="20"/>
  <c r="I26" i="20"/>
  <c r="G26" i="20"/>
  <c r="F26" i="20"/>
  <c r="E26" i="20"/>
  <c r="I25" i="20"/>
  <c r="G25" i="20"/>
  <c r="F25" i="20"/>
  <c r="E25" i="20"/>
  <c r="I24" i="20"/>
  <c r="G24" i="20"/>
  <c r="F24" i="20"/>
  <c r="E24" i="20"/>
  <c r="I23" i="20"/>
  <c r="G23" i="20"/>
  <c r="F23" i="20"/>
  <c r="E23" i="20"/>
  <c r="I22" i="20"/>
  <c r="G22" i="20"/>
  <c r="F22" i="20"/>
  <c r="E22" i="20"/>
  <c r="I21" i="20"/>
  <c r="G21" i="20"/>
  <c r="F21" i="20"/>
  <c r="E21" i="20"/>
  <c r="I20" i="20"/>
  <c r="G20" i="20"/>
  <c r="F20" i="20"/>
  <c r="E20" i="20"/>
  <c r="I19" i="20"/>
  <c r="G19" i="20"/>
  <c r="F19" i="20"/>
  <c r="E19" i="20"/>
  <c r="I18" i="20"/>
  <c r="G18" i="20"/>
  <c r="F18" i="20"/>
  <c r="E18" i="20"/>
  <c r="I17" i="20"/>
  <c r="G17" i="20"/>
  <c r="F17" i="20"/>
  <c r="E17" i="20"/>
  <c r="I16" i="20"/>
  <c r="G16" i="20"/>
  <c r="F16" i="20"/>
  <c r="E16" i="20"/>
  <c r="I15" i="20"/>
  <c r="G15" i="20"/>
  <c r="F15" i="20"/>
  <c r="E15" i="20"/>
  <c r="I14" i="20"/>
  <c r="G14" i="20"/>
  <c r="F14" i="20"/>
  <c r="E14" i="20"/>
  <c r="I13" i="20"/>
  <c r="G13" i="20"/>
  <c r="F13" i="20"/>
  <c r="E13" i="20"/>
  <c r="I12" i="20"/>
  <c r="G12" i="20"/>
  <c r="F12" i="20"/>
  <c r="E12" i="20"/>
  <c r="I11" i="20"/>
  <c r="G11" i="20"/>
  <c r="F11" i="20"/>
  <c r="E11" i="20"/>
  <c r="I10" i="20"/>
  <c r="G10" i="20"/>
  <c r="F10" i="20"/>
  <c r="E10" i="20"/>
  <c r="I9" i="20"/>
  <c r="G9" i="20"/>
  <c r="F9" i="20"/>
  <c r="E9" i="20"/>
  <c r="I8" i="20"/>
  <c r="G8" i="20"/>
  <c r="F8" i="20"/>
  <c r="E8" i="20"/>
  <c r="I7" i="20"/>
  <c r="G7" i="20"/>
  <c r="F7" i="20"/>
  <c r="E7" i="20"/>
  <c r="I6" i="20"/>
  <c r="G6" i="20"/>
  <c r="F6" i="20"/>
  <c r="E6" i="20"/>
  <c r="I5" i="20"/>
  <c r="G5" i="20"/>
  <c r="F5" i="20"/>
  <c r="E5" i="20"/>
  <c r="I4" i="20"/>
  <c r="G4" i="20"/>
  <c r="F4" i="20"/>
  <c r="E4" i="20"/>
  <c r="I3" i="20"/>
  <c r="G3" i="20"/>
  <c r="F3" i="20"/>
  <c r="E3" i="20"/>
  <c r="I74" i="19"/>
  <c r="I73" i="19"/>
  <c r="G73" i="19"/>
  <c r="H73" i="19" s="1"/>
  <c r="F73" i="19"/>
  <c r="E73" i="19"/>
  <c r="I72" i="19"/>
  <c r="G72" i="19"/>
  <c r="F72" i="19"/>
  <c r="H72" i="19" s="1"/>
  <c r="E72" i="19"/>
  <c r="I71" i="19"/>
  <c r="G71" i="19"/>
  <c r="F71" i="19"/>
  <c r="H71" i="19" s="1"/>
  <c r="E71" i="19"/>
  <c r="I70" i="19"/>
  <c r="G70" i="19"/>
  <c r="F70" i="19"/>
  <c r="H70" i="19" s="1"/>
  <c r="E70" i="19"/>
  <c r="I69" i="19"/>
  <c r="G69" i="19"/>
  <c r="F69" i="19"/>
  <c r="E69" i="19"/>
  <c r="I68" i="19"/>
  <c r="G68" i="19"/>
  <c r="F68" i="19"/>
  <c r="H68" i="19" s="1"/>
  <c r="E68" i="19"/>
  <c r="I67" i="19"/>
  <c r="G67" i="19"/>
  <c r="F67" i="19"/>
  <c r="H67" i="19" s="1"/>
  <c r="E67" i="19"/>
  <c r="I66" i="19"/>
  <c r="G66" i="19"/>
  <c r="F66" i="19"/>
  <c r="E66" i="19"/>
  <c r="I65" i="19"/>
  <c r="G65" i="19"/>
  <c r="F65" i="19"/>
  <c r="E65" i="19"/>
  <c r="I64" i="19"/>
  <c r="H64" i="19"/>
  <c r="G64" i="19"/>
  <c r="F64" i="19"/>
  <c r="E64" i="19"/>
  <c r="I63" i="19"/>
  <c r="G63" i="19"/>
  <c r="F63" i="19"/>
  <c r="E63" i="19"/>
  <c r="I62" i="19"/>
  <c r="G62" i="19"/>
  <c r="F62" i="19"/>
  <c r="H62" i="19" s="1"/>
  <c r="E62" i="19"/>
  <c r="I61" i="19"/>
  <c r="G61" i="19"/>
  <c r="H61" i="19" s="1"/>
  <c r="F61" i="19"/>
  <c r="E61" i="19"/>
  <c r="I60" i="19"/>
  <c r="G60" i="19"/>
  <c r="F60" i="19"/>
  <c r="H60" i="19" s="1"/>
  <c r="E60" i="19"/>
  <c r="I59" i="19"/>
  <c r="G59" i="19"/>
  <c r="F59" i="19"/>
  <c r="H59" i="19" s="1"/>
  <c r="E59" i="19"/>
  <c r="I58" i="19"/>
  <c r="G58" i="19"/>
  <c r="F58" i="19"/>
  <c r="E58" i="19"/>
  <c r="I57" i="19"/>
  <c r="G57" i="19"/>
  <c r="F57" i="19"/>
  <c r="E57" i="19"/>
  <c r="I56" i="19"/>
  <c r="G56" i="19"/>
  <c r="F56" i="19"/>
  <c r="H56" i="19" s="1"/>
  <c r="E56" i="19"/>
  <c r="I55" i="19"/>
  <c r="G55" i="19"/>
  <c r="F55" i="19"/>
  <c r="H55" i="19" s="1"/>
  <c r="E55" i="19"/>
  <c r="I54" i="19"/>
  <c r="G54" i="19"/>
  <c r="F54" i="19"/>
  <c r="H54" i="19" s="1"/>
  <c r="E54" i="19"/>
  <c r="I53" i="19"/>
  <c r="G53" i="19"/>
  <c r="F53" i="19"/>
  <c r="E53" i="19"/>
  <c r="I52" i="19"/>
  <c r="G52" i="19"/>
  <c r="F52" i="19"/>
  <c r="H52" i="19" s="1"/>
  <c r="E52" i="19"/>
  <c r="I51" i="19"/>
  <c r="G51" i="19"/>
  <c r="F51" i="19"/>
  <c r="E51" i="19"/>
  <c r="I50" i="19"/>
  <c r="G50" i="19"/>
  <c r="F50" i="19"/>
  <c r="E50" i="19"/>
  <c r="I49" i="19"/>
  <c r="G49" i="19"/>
  <c r="H49" i="19" s="1"/>
  <c r="F49" i="19"/>
  <c r="E49" i="19"/>
  <c r="I48" i="19"/>
  <c r="H48" i="19"/>
  <c r="G48" i="19"/>
  <c r="F48" i="19"/>
  <c r="E48" i="19"/>
  <c r="I47" i="19"/>
  <c r="G47" i="19"/>
  <c r="F47" i="19"/>
  <c r="H47" i="19" s="1"/>
  <c r="E47" i="19"/>
  <c r="I46" i="19"/>
  <c r="G46" i="19"/>
  <c r="F46" i="19"/>
  <c r="E46" i="19"/>
  <c r="I45" i="19"/>
  <c r="G45" i="19"/>
  <c r="F45" i="19"/>
  <c r="E45" i="19"/>
  <c r="I44" i="19"/>
  <c r="G44" i="19"/>
  <c r="F44" i="19"/>
  <c r="H44" i="19" s="1"/>
  <c r="E44" i="19"/>
  <c r="I43" i="19"/>
  <c r="G43" i="19"/>
  <c r="F43" i="19"/>
  <c r="E43" i="19"/>
  <c r="I42" i="19"/>
  <c r="G42" i="19"/>
  <c r="F42" i="19"/>
  <c r="H42" i="19" s="1"/>
  <c r="E42" i="19"/>
  <c r="I41" i="19"/>
  <c r="G41" i="19"/>
  <c r="H41" i="19" s="1"/>
  <c r="F41" i="19"/>
  <c r="E41" i="19"/>
  <c r="I40" i="19"/>
  <c r="G40" i="19"/>
  <c r="F40" i="19"/>
  <c r="H40" i="19" s="1"/>
  <c r="E40" i="19"/>
  <c r="I39" i="19"/>
  <c r="G39" i="19"/>
  <c r="F39" i="19"/>
  <c r="H39" i="19" s="1"/>
  <c r="E39" i="19"/>
  <c r="I38" i="19"/>
  <c r="G38" i="19"/>
  <c r="F38" i="19"/>
  <c r="H38" i="19" s="1"/>
  <c r="E38" i="19"/>
  <c r="I37" i="19"/>
  <c r="G37" i="19"/>
  <c r="F37" i="19"/>
  <c r="E37" i="19"/>
  <c r="I36" i="19"/>
  <c r="G36" i="19"/>
  <c r="F36" i="19"/>
  <c r="H36" i="19" s="1"/>
  <c r="E36" i="19"/>
  <c r="I35" i="19"/>
  <c r="G35" i="19"/>
  <c r="F35" i="19"/>
  <c r="E35" i="19"/>
  <c r="I34" i="19"/>
  <c r="G34" i="19"/>
  <c r="F34" i="19"/>
  <c r="E34" i="19"/>
  <c r="I33" i="19"/>
  <c r="G33" i="19"/>
  <c r="H33" i="19" s="1"/>
  <c r="F33" i="19"/>
  <c r="E33" i="19"/>
  <c r="I32" i="19"/>
  <c r="H32" i="19"/>
  <c r="G32" i="19"/>
  <c r="F32" i="19"/>
  <c r="E32" i="19"/>
  <c r="I31" i="19"/>
  <c r="G31" i="19"/>
  <c r="F31" i="19"/>
  <c r="E31" i="19"/>
  <c r="I30" i="19"/>
  <c r="G30" i="19"/>
  <c r="F30" i="19"/>
  <c r="H30" i="19" s="1"/>
  <c r="E30" i="19"/>
  <c r="I29" i="19"/>
  <c r="G29" i="19"/>
  <c r="F29" i="19"/>
  <c r="E29" i="19"/>
  <c r="I28" i="19"/>
  <c r="G28" i="19"/>
  <c r="F28" i="19"/>
  <c r="H28" i="19" s="1"/>
  <c r="E28" i="19"/>
  <c r="I27" i="19"/>
  <c r="G27" i="19"/>
  <c r="F27" i="19"/>
  <c r="E27" i="19"/>
  <c r="I26" i="19"/>
  <c r="G26" i="19"/>
  <c r="F26" i="19"/>
  <c r="E26" i="19"/>
  <c r="I25" i="19"/>
  <c r="G25" i="19"/>
  <c r="F25" i="19"/>
  <c r="E25" i="19"/>
  <c r="I24" i="19"/>
  <c r="G24" i="19"/>
  <c r="F24" i="19"/>
  <c r="H24" i="19" s="1"/>
  <c r="E24" i="19"/>
  <c r="I23" i="19"/>
  <c r="G23" i="19"/>
  <c r="F23" i="19"/>
  <c r="H23" i="19" s="1"/>
  <c r="E23" i="19"/>
  <c r="I22" i="19"/>
  <c r="G22" i="19"/>
  <c r="F22" i="19"/>
  <c r="H22" i="19" s="1"/>
  <c r="E22" i="19"/>
  <c r="I21" i="19"/>
  <c r="G21" i="19"/>
  <c r="F21" i="19"/>
  <c r="E21" i="19"/>
  <c r="I20" i="19"/>
  <c r="G20" i="19"/>
  <c r="H20" i="19" s="1"/>
  <c r="F20" i="19"/>
  <c r="E20" i="19"/>
  <c r="I19" i="19"/>
  <c r="G19" i="19"/>
  <c r="F19" i="19"/>
  <c r="E19" i="19"/>
  <c r="I18" i="19"/>
  <c r="G18" i="19"/>
  <c r="H18" i="19" s="1"/>
  <c r="F18" i="19"/>
  <c r="E18" i="19"/>
  <c r="I17" i="19"/>
  <c r="G17" i="19"/>
  <c r="F17" i="19"/>
  <c r="E17" i="19"/>
  <c r="I16" i="19"/>
  <c r="G16" i="19"/>
  <c r="F16" i="19"/>
  <c r="E16" i="19"/>
  <c r="I15" i="19"/>
  <c r="H15" i="19"/>
  <c r="G15" i="19"/>
  <c r="F15" i="19"/>
  <c r="E15" i="19"/>
  <c r="I14" i="19"/>
  <c r="G14" i="19"/>
  <c r="F14" i="19"/>
  <c r="H14" i="19" s="1"/>
  <c r="E14" i="19"/>
  <c r="I13" i="19"/>
  <c r="G13" i="19"/>
  <c r="F13" i="19"/>
  <c r="E13" i="19"/>
  <c r="I12" i="19"/>
  <c r="G12" i="19"/>
  <c r="F12" i="19"/>
  <c r="H12" i="19" s="1"/>
  <c r="E12" i="19"/>
  <c r="I11" i="19"/>
  <c r="G11" i="19"/>
  <c r="F11" i="19"/>
  <c r="E11" i="19"/>
  <c r="I10" i="19"/>
  <c r="G10" i="19"/>
  <c r="F10" i="19"/>
  <c r="H10" i="19" s="1"/>
  <c r="E10" i="19"/>
  <c r="I9" i="19"/>
  <c r="G9" i="19"/>
  <c r="F9" i="19"/>
  <c r="H9" i="19" s="1"/>
  <c r="E9" i="19"/>
  <c r="I8" i="19"/>
  <c r="G8" i="19"/>
  <c r="F8" i="19"/>
  <c r="E8" i="19"/>
  <c r="I7" i="19"/>
  <c r="G7" i="19"/>
  <c r="F7" i="19"/>
  <c r="H7" i="19" s="1"/>
  <c r="E7" i="19"/>
  <c r="I6" i="19"/>
  <c r="G6" i="19"/>
  <c r="F6" i="19"/>
  <c r="E6" i="19"/>
  <c r="I5" i="19"/>
  <c r="G5" i="19"/>
  <c r="F5" i="19"/>
  <c r="E5" i="19"/>
  <c r="I4" i="19"/>
  <c r="G4" i="19"/>
  <c r="F4" i="19"/>
  <c r="E4" i="19"/>
  <c r="I3" i="19"/>
  <c r="G3" i="19"/>
  <c r="F3" i="19"/>
  <c r="E3" i="19"/>
  <c r="I71" i="18"/>
  <c r="I70" i="18"/>
  <c r="G70" i="18"/>
  <c r="F70" i="18"/>
  <c r="E70" i="18"/>
  <c r="I69" i="18"/>
  <c r="G69" i="18"/>
  <c r="F69" i="18"/>
  <c r="E69" i="18"/>
  <c r="I68" i="18"/>
  <c r="G68" i="18"/>
  <c r="F68" i="18"/>
  <c r="E68" i="18"/>
  <c r="I67" i="18"/>
  <c r="G67" i="18"/>
  <c r="F67" i="18"/>
  <c r="E67" i="18"/>
  <c r="I66" i="18"/>
  <c r="G66" i="18"/>
  <c r="F66" i="18"/>
  <c r="E66" i="18"/>
  <c r="I65" i="18"/>
  <c r="G65" i="18"/>
  <c r="F65" i="18"/>
  <c r="E65" i="18"/>
  <c r="I64" i="18"/>
  <c r="G64" i="18"/>
  <c r="F64" i="18"/>
  <c r="E64" i="18"/>
  <c r="I63" i="18"/>
  <c r="G63" i="18"/>
  <c r="F63" i="18"/>
  <c r="E63" i="18"/>
  <c r="I62" i="18"/>
  <c r="G62" i="18"/>
  <c r="F62" i="18"/>
  <c r="E62" i="18"/>
  <c r="I61" i="18"/>
  <c r="G61" i="18"/>
  <c r="F61" i="18"/>
  <c r="E61" i="18"/>
  <c r="I60" i="18"/>
  <c r="G60" i="18"/>
  <c r="F60" i="18"/>
  <c r="E60" i="18"/>
  <c r="I59" i="18"/>
  <c r="G59" i="18"/>
  <c r="F59" i="18"/>
  <c r="E59" i="18"/>
  <c r="I58" i="18"/>
  <c r="G58" i="18"/>
  <c r="F58" i="18"/>
  <c r="E58" i="18"/>
  <c r="I57" i="18"/>
  <c r="G57" i="18"/>
  <c r="F57" i="18"/>
  <c r="E57" i="18"/>
  <c r="I56" i="18"/>
  <c r="G56" i="18"/>
  <c r="F56" i="18"/>
  <c r="E56" i="18"/>
  <c r="I55" i="18"/>
  <c r="G55" i="18"/>
  <c r="F55" i="18"/>
  <c r="E55" i="18"/>
  <c r="I54" i="18"/>
  <c r="G54" i="18"/>
  <c r="F54" i="18"/>
  <c r="E54" i="18"/>
  <c r="I53" i="18"/>
  <c r="G53" i="18"/>
  <c r="F53" i="18"/>
  <c r="E53" i="18"/>
  <c r="I52" i="18"/>
  <c r="G52" i="18"/>
  <c r="F52" i="18"/>
  <c r="E52" i="18"/>
  <c r="I51" i="18"/>
  <c r="G51" i="18"/>
  <c r="F51" i="18"/>
  <c r="E51" i="18"/>
  <c r="I50" i="18"/>
  <c r="G50" i="18"/>
  <c r="F50" i="18"/>
  <c r="E50" i="18"/>
  <c r="I49" i="18"/>
  <c r="G49" i="18"/>
  <c r="F49" i="18"/>
  <c r="E49" i="18"/>
  <c r="I48" i="18"/>
  <c r="G48" i="18"/>
  <c r="F48" i="18"/>
  <c r="E48" i="18"/>
  <c r="I47" i="18"/>
  <c r="G47" i="18"/>
  <c r="F47" i="18"/>
  <c r="E47" i="18"/>
  <c r="I46" i="18"/>
  <c r="G46" i="18"/>
  <c r="F46" i="18"/>
  <c r="E46" i="18"/>
  <c r="I45" i="18"/>
  <c r="G45" i="18"/>
  <c r="F45" i="18"/>
  <c r="E45" i="18"/>
  <c r="I44" i="18"/>
  <c r="G44" i="18"/>
  <c r="F44" i="18"/>
  <c r="E44" i="18"/>
  <c r="I43" i="18"/>
  <c r="G43" i="18"/>
  <c r="F43" i="18"/>
  <c r="E43" i="18"/>
  <c r="I42" i="18"/>
  <c r="G42" i="18"/>
  <c r="F42" i="18"/>
  <c r="E42" i="18"/>
  <c r="I41" i="18"/>
  <c r="G41" i="18"/>
  <c r="F41" i="18"/>
  <c r="E41" i="18"/>
  <c r="I40" i="18"/>
  <c r="G40" i="18"/>
  <c r="F40" i="18"/>
  <c r="E40" i="18"/>
  <c r="I39" i="18"/>
  <c r="G39" i="18"/>
  <c r="F39" i="18"/>
  <c r="E39" i="18"/>
  <c r="I38" i="18"/>
  <c r="G38" i="18"/>
  <c r="F38" i="18"/>
  <c r="E38" i="18"/>
  <c r="I37" i="18"/>
  <c r="G37" i="18"/>
  <c r="F37" i="18"/>
  <c r="E37" i="18"/>
  <c r="I36" i="18"/>
  <c r="G36" i="18"/>
  <c r="F36" i="18"/>
  <c r="E36" i="18"/>
  <c r="I35" i="18"/>
  <c r="G35" i="18"/>
  <c r="F35" i="18"/>
  <c r="E35" i="18"/>
  <c r="I34" i="18"/>
  <c r="G34" i="18"/>
  <c r="F34" i="18"/>
  <c r="E34" i="18"/>
  <c r="I33" i="18"/>
  <c r="G33" i="18"/>
  <c r="F33" i="18"/>
  <c r="E33" i="18"/>
  <c r="I32" i="18"/>
  <c r="G32" i="18"/>
  <c r="F32" i="18"/>
  <c r="E32" i="18"/>
  <c r="I31" i="18"/>
  <c r="G31" i="18"/>
  <c r="F31" i="18"/>
  <c r="E31" i="18"/>
  <c r="I30" i="18"/>
  <c r="G30" i="18"/>
  <c r="F30" i="18"/>
  <c r="E30" i="18"/>
  <c r="I29" i="18"/>
  <c r="G29" i="18"/>
  <c r="F29" i="18"/>
  <c r="E29" i="18"/>
  <c r="I28" i="18"/>
  <c r="G28" i="18"/>
  <c r="F28" i="18"/>
  <c r="E28" i="18"/>
  <c r="I27" i="18"/>
  <c r="G27" i="18"/>
  <c r="F27" i="18"/>
  <c r="E27" i="18"/>
  <c r="I26" i="18"/>
  <c r="G26" i="18"/>
  <c r="F26" i="18"/>
  <c r="E26" i="18"/>
  <c r="I25" i="18"/>
  <c r="G25" i="18"/>
  <c r="F25" i="18"/>
  <c r="E25" i="18"/>
  <c r="I24" i="18"/>
  <c r="G24" i="18"/>
  <c r="F24" i="18"/>
  <c r="E24" i="18"/>
  <c r="I23" i="18"/>
  <c r="G23" i="18"/>
  <c r="F23" i="18"/>
  <c r="E23" i="18"/>
  <c r="I22" i="18"/>
  <c r="G22" i="18"/>
  <c r="F22" i="18"/>
  <c r="E22" i="18"/>
  <c r="I21" i="18"/>
  <c r="G21" i="18"/>
  <c r="F21" i="18"/>
  <c r="E21" i="18"/>
  <c r="I20" i="18"/>
  <c r="G20" i="18"/>
  <c r="F20" i="18"/>
  <c r="E20" i="18"/>
  <c r="I19" i="18"/>
  <c r="G19" i="18"/>
  <c r="F19" i="18"/>
  <c r="E19" i="18"/>
  <c r="I18" i="18"/>
  <c r="G18" i="18"/>
  <c r="F18" i="18"/>
  <c r="E18" i="18"/>
  <c r="I17" i="18"/>
  <c r="G17" i="18"/>
  <c r="F17" i="18"/>
  <c r="E17" i="18"/>
  <c r="I16" i="18"/>
  <c r="G16" i="18"/>
  <c r="F16" i="18"/>
  <c r="E16" i="18"/>
  <c r="I15" i="18"/>
  <c r="G15" i="18"/>
  <c r="F15" i="18"/>
  <c r="E15" i="18"/>
  <c r="I14" i="18"/>
  <c r="G14" i="18"/>
  <c r="F14" i="18"/>
  <c r="E14" i="18"/>
  <c r="I13" i="18"/>
  <c r="G13" i="18"/>
  <c r="F13" i="18"/>
  <c r="E13" i="18"/>
  <c r="I12" i="18"/>
  <c r="G12" i="18"/>
  <c r="F12" i="18"/>
  <c r="E12" i="18"/>
  <c r="I11" i="18"/>
  <c r="G11" i="18"/>
  <c r="F11" i="18"/>
  <c r="E11" i="18"/>
  <c r="I10" i="18"/>
  <c r="G10" i="18"/>
  <c r="F10" i="18"/>
  <c r="E10" i="18"/>
  <c r="I9" i="18"/>
  <c r="G9" i="18"/>
  <c r="F9" i="18"/>
  <c r="E9" i="18"/>
  <c r="I8" i="18"/>
  <c r="G8" i="18"/>
  <c r="F8" i="18"/>
  <c r="E8" i="18"/>
  <c r="I7" i="18"/>
  <c r="G7" i="18"/>
  <c r="F7" i="18"/>
  <c r="E7" i="18"/>
  <c r="I6" i="18"/>
  <c r="G6" i="18"/>
  <c r="F6" i="18"/>
  <c r="E6" i="18"/>
  <c r="I5" i="18"/>
  <c r="G5" i="18"/>
  <c r="F5" i="18"/>
  <c r="E5" i="18"/>
  <c r="I4" i="18"/>
  <c r="G4" i="18"/>
  <c r="F4" i="18"/>
  <c r="E4" i="18"/>
  <c r="I3" i="18"/>
  <c r="G3" i="18"/>
  <c r="F3" i="18"/>
  <c r="E3" i="18"/>
  <c r="I70" i="17"/>
  <c r="I69" i="17"/>
  <c r="G69" i="17"/>
  <c r="F69" i="17"/>
  <c r="E69" i="17"/>
  <c r="I68" i="17"/>
  <c r="G68" i="17"/>
  <c r="F68" i="17"/>
  <c r="E68" i="17"/>
  <c r="I67" i="17"/>
  <c r="G67" i="17"/>
  <c r="F67" i="17"/>
  <c r="E67" i="17"/>
  <c r="I66" i="17"/>
  <c r="G66" i="17"/>
  <c r="F66" i="17"/>
  <c r="E66" i="17"/>
  <c r="I65" i="17"/>
  <c r="G65" i="17"/>
  <c r="F65" i="17"/>
  <c r="E65" i="17"/>
  <c r="I64" i="17"/>
  <c r="G64" i="17"/>
  <c r="F64" i="17"/>
  <c r="E64" i="17"/>
  <c r="I63" i="17"/>
  <c r="G63" i="17"/>
  <c r="F63" i="17"/>
  <c r="E63" i="17"/>
  <c r="I62" i="17"/>
  <c r="G62" i="17"/>
  <c r="F62" i="17"/>
  <c r="E62" i="17"/>
  <c r="I61" i="17"/>
  <c r="G61" i="17"/>
  <c r="F61" i="17"/>
  <c r="E61" i="17"/>
  <c r="I60" i="17"/>
  <c r="G60" i="17"/>
  <c r="F60" i="17"/>
  <c r="E60" i="17"/>
  <c r="I59" i="17"/>
  <c r="G59" i="17"/>
  <c r="F59" i="17"/>
  <c r="E59" i="17"/>
  <c r="I58" i="17"/>
  <c r="G58" i="17"/>
  <c r="F58" i="17"/>
  <c r="E58" i="17"/>
  <c r="I57" i="17"/>
  <c r="G57" i="17"/>
  <c r="F57" i="17"/>
  <c r="E57" i="17"/>
  <c r="I56" i="17"/>
  <c r="G56" i="17"/>
  <c r="F56" i="17"/>
  <c r="E56" i="17"/>
  <c r="I55" i="17"/>
  <c r="G55" i="17"/>
  <c r="F55" i="17"/>
  <c r="E55" i="17"/>
  <c r="I54" i="17"/>
  <c r="G54" i="17"/>
  <c r="F54" i="17"/>
  <c r="E54" i="17"/>
  <c r="I53" i="17"/>
  <c r="G53" i="17"/>
  <c r="F53" i="17"/>
  <c r="E53" i="17"/>
  <c r="I52" i="17"/>
  <c r="G52" i="17"/>
  <c r="F52" i="17"/>
  <c r="E52" i="17"/>
  <c r="I51" i="17"/>
  <c r="G51" i="17"/>
  <c r="F51" i="17"/>
  <c r="E51" i="17"/>
  <c r="I50" i="17"/>
  <c r="G50" i="17"/>
  <c r="F50" i="17"/>
  <c r="E50" i="17"/>
  <c r="I49" i="17"/>
  <c r="G49" i="17"/>
  <c r="F49" i="17"/>
  <c r="E49" i="17"/>
  <c r="I48" i="17"/>
  <c r="G48" i="17"/>
  <c r="F48" i="17"/>
  <c r="E48" i="17"/>
  <c r="I47" i="17"/>
  <c r="G47" i="17"/>
  <c r="F47" i="17"/>
  <c r="E47" i="17"/>
  <c r="I46" i="17"/>
  <c r="G46" i="17"/>
  <c r="F46" i="17"/>
  <c r="E46" i="17"/>
  <c r="I45" i="17"/>
  <c r="G45" i="17"/>
  <c r="F45" i="17"/>
  <c r="E45" i="17"/>
  <c r="I44" i="17"/>
  <c r="G44" i="17"/>
  <c r="F44" i="17"/>
  <c r="E44" i="17"/>
  <c r="I43" i="17"/>
  <c r="G43" i="17"/>
  <c r="F43" i="17"/>
  <c r="E43" i="17"/>
  <c r="I42" i="17"/>
  <c r="G42" i="17"/>
  <c r="F42" i="17"/>
  <c r="E42" i="17"/>
  <c r="I41" i="17"/>
  <c r="G41" i="17"/>
  <c r="F41" i="17"/>
  <c r="E41" i="17"/>
  <c r="I40" i="17"/>
  <c r="G40" i="17"/>
  <c r="F40" i="17"/>
  <c r="E40" i="17"/>
  <c r="I39" i="17"/>
  <c r="G39" i="17"/>
  <c r="F39" i="17"/>
  <c r="E39" i="17"/>
  <c r="I38" i="17"/>
  <c r="G38" i="17"/>
  <c r="F38" i="17"/>
  <c r="E38" i="17"/>
  <c r="I37" i="17"/>
  <c r="G37" i="17"/>
  <c r="F37" i="17"/>
  <c r="E37" i="17"/>
  <c r="I36" i="17"/>
  <c r="G36" i="17"/>
  <c r="F36" i="17"/>
  <c r="E36" i="17"/>
  <c r="I35" i="17"/>
  <c r="G35" i="17"/>
  <c r="F35" i="17"/>
  <c r="E35" i="17"/>
  <c r="I34" i="17"/>
  <c r="G34" i="17"/>
  <c r="F34" i="17"/>
  <c r="E34" i="17"/>
  <c r="I33" i="17"/>
  <c r="G33" i="17"/>
  <c r="F33" i="17"/>
  <c r="E33" i="17"/>
  <c r="I32" i="17"/>
  <c r="G32" i="17"/>
  <c r="F32" i="17"/>
  <c r="E32" i="17"/>
  <c r="I31" i="17"/>
  <c r="G31" i="17"/>
  <c r="F31" i="17"/>
  <c r="E31" i="17"/>
  <c r="I30" i="17"/>
  <c r="G30" i="17"/>
  <c r="F30" i="17"/>
  <c r="E30" i="17"/>
  <c r="I29" i="17"/>
  <c r="G29" i="17"/>
  <c r="F29" i="17"/>
  <c r="E29" i="17"/>
  <c r="I28" i="17"/>
  <c r="G28" i="17"/>
  <c r="F28" i="17"/>
  <c r="E28" i="17"/>
  <c r="I27" i="17"/>
  <c r="G27" i="17"/>
  <c r="F27" i="17"/>
  <c r="E27" i="17"/>
  <c r="I26" i="17"/>
  <c r="G26" i="17"/>
  <c r="F26" i="17"/>
  <c r="E26" i="17"/>
  <c r="I25" i="17"/>
  <c r="G25" i="17"/>
  <c r="F25" i="17"/>
  <c r="E25" i="17"/>
  <c r="I24" i="17"/>
  <c r="G24" i="17"/>
  <c r="F24" i="17"/>
  <c r="E24" i="17"/>
  <c r="I23" i="17"/>
  <c r="G23" i="17"/>
  <c r="F23" i="17"/>
  <c r="E23" i="17"/>
  <c r="I22" i="17"/>
  <c r="G22" i="17"/>
  <c r="F22" i="17"/>
  <c r="E22" i="17"/>
  <c r="I21" i="17"/>
  <c r="G21" i="17"/>
  <c r="F21" i="17"/>
  <c r="E21" i="17"/>
  <c r="I20" i="17"/>
  <c r="G20" i="17"/>
  <c r="F20" i="17"/>
  <c r="E20" i="17"/>
  <c r="I19" i="17"/>
  <c r="G19" i="17"/>
  <c r="F19" i="17"/>
  <c r="E19" i="17"/>
  <c r="I18" i="17"/>
  <c r="G18" i="17"/>
  <c r="F18" i="17"/>
  <c r="E18" i="17"/>
  <c r="I17" i="17"/>
  <c r="G17" i="17"/>
  <c r="F17" i="17"/>
  <c r="E17" i="17"/>
  <c r="I16" i="17"/>
  <c r="G16" i="17"/>
  <c r="F16" i="17"/>
  <c r="E16" i="17"/>
  <c r="I15" i="17"/>
  <c r="G15" i="17"/>
  <c r="F15" i="17"/>
  <c r="E15" i="17"/>
  <c r="I14" i="17"/>
  <c r="G14" i="17"/>
  <c r="F14" i="17"/>
  <c r="E14" i="17"/>
  <c r="I13" i="17"/>
  <c r="G13" i="17"/>
  <c r="F13" i="17"/>
  <c r="E13" i="17"/>
  <c r="I12" i="17"/>
  <c r="G12" i="17"/>
  <c r="F12" i="17"/>
  <c r="E12" i="17"/>
  <c r="I11" i="17"/>
  <c r="G11" i="17"/>
  <c r="F11" i="17"/>
  <c r="E11" i="17"/>
  <c r="I10" i="17"/>
  <c r="G10" i="17"/>
  <c r="F10" i="17"/>
  <c r="E10" i="17"/>
  <c r="I9" i="17"/>
  <c r="G9" i="17"/>
  <c r="F9" i="17"/>
  <c r="E9" i="17"/>
  <c r="I8" i="17"/>
  <c r="G8" i="17"/>
  <c r="F8" i="17"/>
  <c r="E8" i="17"/>
  <c r="I7" i="17"/>
  <c r="G7" i="17"/>
  <c r="F7" i="17"/>
  <c r="E7" i="17"/>
  <c r="I6" i="17"/>
  <c r="G6" i="17"/>
  <c r="F6" i="17"/>
  <c r="E6" i="17"/>
  <c r="I5" i="17"/>
  <c r="G5" i="17"/>
  <c r="F5" i="17"/>
  <c r="E5" i="17"/>
  <c r="I4" i="17"/>
  <c r="G4" i="17"/>
  <c r="F4" i="17"/>
  <c r="E4" i="17"/>
  <c r="I3" i="17"/>
  <c r="G3" i="17"/>
  <c r="F3" i="17"/>
  <c r="E3" i="17"/>
  <c r="I74" i="16"/>
  <c r="I73" i="16"/>
  <c r="G73" i="16"/>
  <c r="F73" i="16"/>
  <c r="H73" i="16" s="1"/>
  <c r="E73" i="16"/>
  <c r="I72" i="16"/>
  <c r="G72" i="16"/>
  <c r="F72" i="16"/>
  <c r="H72" i="16" s="1"/>
  <c r="E72" i="16"/>
  <c r="I71" i="16"/>
  <c r="G71" i="16"/>
  <c r="F71" i="16"/>
  <c r="H71" i="16" s="1"/>
  <c r="E71" i="16"/>
  <c r="I70" i="16"/>
  <c r="G70" i="16"/>
  <c r="F70" i="16"/>
  <c r="H70" i="16" s="1"/>
  <c r="E70" i="16"/>
  <c r="I69" i="16"/>
  <c r="G69" i="16"/>
  <c r="F69" i="16"/>
  <c r="E69" i="16"/>
  <c r="I68" i="16"/>
  <c r="G68" i="16"/>
  <c r="F68" i="16"/>
  <c r="H68" i="16" s="1"/>
  <c r="E68" i="16"/>
  <c r="I67" i="16"/>
  <c r="H67" i="16"/>
  <c r="G67" i="16"/>
  <c r="F67" i="16"/>
  <c r="E67" i="16"/>
  <c r="I66" i="16"/>
  <c r="G66" i="16"/>
  <c r="F66" i="16"/>
  <c r="H66" i="16" s="1"/>
  <c r="E66" i="16"/>
  <c r="I65" i="16"/>
  <c r="G65" i="16"/>
  <c r="F65" i="16"/>
  <c r="H65" i="16" s="1"/>
  <c r="E65" i="16"/>
  <c r="I64" i="16"/>
  <c r="G64" i="16"/>
  <c r="F64" i="16"/>
  <c r="E64" i="16"/>
  <c r="I63" i="16"/>
  <c r="G63" i="16"/>
  <c r="F63" i="16"/>
  <c r="E63" i="16"/>
  <c r="I62" i="16"/>
  <c r="G62" i="16"/>
  <c r="F62" i="16"/>
  <c r="H62" i="16" s="1"/>
  <c r="E62" i="16"/>
  <c r="I61" i="16"/>
  <c r="G61" i="16"/>
  <c r="F61" i="16"/>
  <c r="H61" i="16" s="1"/>
  <c r="E61" i="16"/>
  <c r="I60" i="16"/>
  <c r="G60" i="16"/>
  <c r="F60" i="16"/>
  <c r="H60" i="16" s="1"/>
  <c r="E60" i="16"/>
  <c r="I59" i="16"/>
  <c r="G59" i="16"/>
  <c r="H59" i="16" s="1"/>
  <c r="F59" i="16"/>
  <c r="E59" i="16"/>
  <c r="I58" i="16"/>
  <c r="H58" i="16"/>
  <c r="G58" i="16"/>
  <c r="F58" i="16"/>
  <c r="E58" i="16"/>
  <c r="I57" i="16"/>
  <c r="G57" i="16"/>
  <c r="F57" i="16"/>
  <c r="H57" i="16" s="1"/>
  <c r="E57" i="16"/>
  <c r="I56" i="16"/>
  <c r="G56" i="16"/>
  <c r="F56" i="16"/>
  <c r="E56" i="16"/>
  <c r="I55" i="16"/>
  <c r="G55" i="16"/>
  <c r="F55" i="16"/>
  <c r="E55" i="16"/>
  <c r="I54" i="16"/>
  <c r="G54" i="16"/>
  <c r="F54" i="16"/>
  <c r="H54" i="16" s="1"/>
  <c r="E54" i="16"/>
  <c r="I53" i="16"/>
  <c r="G53" i="16"/>
  <c r="F53" i="16"/>
  <c r="H53" i="16" s="1"/>
  <c r="E53" i="16"/>
  <c r="I52" i="16"/>
  <c r="G52" i="16"/>
  <c r="F52" i="16"/>
  <c r="H52" i="16" s="1"/>
  <c r="E52" i="16"/>
  <c r="I51" i="16"/>
  <c r="G51" i="16"/>
  <c r="F51" i="16"/>
  <c r="H51" i="16" s="1"/>
  <c r="E51" i="16"/>
  <c r="I50" i="16"/>
  <c r="H50" i="16"/>
  <c r="G50" i="16"/>
  <c r="F50" i="16"/>
  <c r="E50" i="16"/>
  <c r="I49" i="16"/>
  <c r="G49" i="16"/>
  <c r="F49" i="16"/>
  <c r="E49" i="16"/>
  <c r="I48" i="16"/>
  <c r="G48" i="16"/>
  <c r="H48" i="16" s="1"/>
  <c r="F48" i="16"/>
  <c r="E48" i="16"/>
  <c r="I47" i="16"/>
  <c r="H47" i="16"/>
  <c r="G47" i="16"/>
  <c r="F47" i="16"/>
  <c r="E47" i="16"/>
  <c r="I46" i="16"/>
  <c r="G46" i="16"/>
  <c r="F46" i="16"/>
  <c r="E46" i="16"/>
  <c r="I45" i="16"/>
  <c r="G45" i="16"/>
  <c r="F45" i="16"/>
  <c r="H45" i="16" s="1"/>
  <c r="E45" i="16"/>
  <c r="I44" i="16"/>
  <c r="G44" i="16"/>
  <c r="F44" i="16"/>
  <c r="H44" i="16" s="1"/>
  <c r="E44" i="16"/>
  <c r="I43" i="16"/>
  <c r="G43" i="16"/>
  <c r="F43" i="16"/>
  <c r="H43" i="16" s="1"/>
  <c r="E43" i="16"/>
  <c r="I42" i="16"/>
  <c r="H42" i="16"/>
  <c r="G42" i="16"/>
  <c r="F42" i="16"/>
  <c r="E42" i="16"/>
  <c r="I41" i="16"/>
  <c r="G41" i="16"/>
  <c r="F41" i="16"/>
  <c r="E41" i="16"/>
  <c r="I40" i="16"/>
  <c r="G40" i="16"/>
  <c r="H40" i="16" s="1"/>
  <c r="F40" i="16"/>
  <c r="E40" i="16"/>
  <c r="I39" i="16"/>
  <c r="H39" i="16"/>
  <c r="G39" i="16"/>
  <c r="F39" i="16"/>
  <c r="E39" i="16"/>
  <c r="I38" i="16"/>
  <c r="G38" i="16"/>
  <c r="F38" i="16"/>
  <c r="H38" i="16" s="1"/>
  <c r="E38" i="16"/>
  <c r="I37" i="16"/>
  <c r="G37" i="16"/>
  <c r="F37" i="16"/>
  <c r="H37" i="16" s="1"/>
  <c r="E37" i="16"/>
  <c r="I36" i="16"/>
  <c r="G36" i="16"/>
  <c r="F36" i="16"/>
  <c r="H36" i="16" s="1"/>
  <c r="E36" i="16"/>
  <c r="I35" i="16"/>
  <c r="G35" i="16"/>
  <c r="F35" i="16"/>
  <c r="H35" i="16" s="1"/>
  <c r="E35" i="16"/>
  <c r="I34" i="16"/>
  <c r="H34" i="16"/>
  <c r="G34" i="16"/>
  <c r="F34" i="16"/>
  <c r="E34" i="16"/>
  <c r="I33" i="16"/>
  <c r="G33" i="16"/>
  <c r="F33" i="16"/>
  <c r="E33" i="16"/>
  <c r="I32" i="16"/>
  <c r="G32" i="16"/>
  <c r="H32" i="16" s="1"/>
  <c r="F32" i="16"/>
  <c r="E32" i="16"/>
  <c r="I31" i="16"/>
  <c r="H31" i="16"/>
  <c r="G31" i="16"/>
  <c r="F31" i="16"/>
  <c r="E31" i="16"/>
  <c r="I30" i="16"/>
  <c r="G30" i="16"/>
  <c r="F30" i="16"/>
  <c r="E30" i="16"/>
  <c r="I29" i="16"/>
  <c r="G29" i="16"/>
  <c r="F29" i="16"/>
  <c r="H29" i="16" s="1"/>
  <c r="E29" i="16"/>
  <c r="I28" i="16"/>
  <c r="G28" i="16"/>
  <c r="F28" i="16"/>
  <c r="H28" i="16" s="1"/>
  <c r="E28" i="16"/>
  <c r="I27" i="16"/>
  <c r="G27" i="16"/>
  <c r="F27" i="16"/>
  <c r="H27" i="16" s="1"/>
  <c r="E27" i="16"/>
  <c r="I26" i="16"/>
  <c r="H26" i="16"/>
  <c r="G26" i="16"/>
  <c r="F26" i="16"/>
  <c r="E26" i="16"/>
  <c r="I25" i="16"/>
  <c r="G25" i="16"/>
  <c r="F25" i="16"/>
  <c r="E25" i="16"/>
  <c r="I24" i="16"/>
  <c r="G24" i="16"/>
  <c r="F24" i="16"/>
  <c r="E24" i="16"/>
  <c r="I23" i="16"/>
  <c r="H23" i="16"/>
  <c r="G23" i="16"/>
  <c r="F23" i="16"/>
  <c r="E23" i="16"/>
  <c r="I22" i="16"/>
  <c r="G22" i="16"/>
  <c r="F22" i="16"/>
  <c r="E22" i="16"/>
  <c r="I21" i="16"/>
  <c r="G21" i="16"/>
  <c r="F21" i="16"/>
  <c r="H21" i="16" s="1"/>
  <c r="E21" i="16"/>
  <c r="I20" i="16"/>
  <c r="G20" i="16"/>
  <c r="F20" i="16"/>
  <c r="H20" i="16" s="1"/>
  <c r="E20" i="16"/>
  <c r="I19" i="16"/>
  <c r="G19" i="16"/>
  <c r="F19" i="16"/>
  <c r="H19" i="16" s="1"/>
  <c r="E19" i="16"/>
  <c r="I18" i="16"/>
  <c r="G18" i="16"/>
  <c r="F18" i="16"/>
  <c r="H18" i="16" s="1"/>
  <c r="E18" i="16"/>
  <c r="I17" i="16"/>
  <c r="H17" i="16"/>
  <c r="G17" i="16"/>
  <c r="F17" i="16"/>
  <c r="E17" i="16"/>
  <c r="I16" i="16"/>
  <c r="G16" i="16"/>
  <c r="F16" i="16"/>
  <c r="E16" i="16"/>
  <c r="I15" i="16"/>
  <c r="G15" i="16"/>
  <c r="F15" i="16"/>
  <c r="E15" i="16"/>
  <c r="I14" i="16"/>
  <c r="H14" i="16"/>
  <c r="G14" i="16"/>
  <c r="F14" i="16"/>
  <c r="E14" i="16"/>
  <c r="I13" i="16"/>
  <c r="G13" i="16"/>
  <c r="F13" i="16"/>
  <c r="E13" i="16"/>
  <c r="I12" i="16"/>
  <c r="G12" i="16"/>
  <c r="F12" i="16"/>
  <c r="H12" i="16" s="1"/>
  <c r="E12" i="16"/>
  <c r="I11" i="16"/>
  <c r="G11" i="16"/>
  <c r="H11" i="16" s="1"/>
  <c r="F11" i="16"/>
  <c r="E11" i="16"/>
  <c r="I10" i="16"/>
  <c r="G10" i="16"/>
  <c r="F10" i="16"/>
  <c r="H10" i="16" s="1"/>
  <c r="E10" i="16"/>
  <c r="I9" i="16"/>
  <c r="G9" i="16"/>
  <c r="F9" i="16"/>
  <c r="H9" i="16" s="1"/>
  <c r="E9" i="16"/>
  <c r="I8" i="16"/>
  <c r="H8" i="16"/>
  <c r="G8" i="16"/>
  <c r="F8" i="16"/>
  <c r="E8" i="16"/>
  <c r="I7" i="16"/>
  <c r="G7" i="16"/>
  <c r="F7" i="16"/>
  <c r="H7" i="16" s="1"/>
  <c r="E7" i="16"/>
  <c r="I6" i="16"/>
  <c r="G6" i="16"/>
  <c r="F6" i="16"/>
  <c r="H6" i="16" s="1"/>
  <c r="E6" i="16"/>
  <c r="I5" i="16"/>
  <c r="G5" i="16"/>
  <c r="F5" i="16"/>
  <c r="E5" i="16"/>
  <c r="I4" i="16"/>
  <c r="G4" i="16"/>
  <c r="F4" i="16"/>
  <c r="H4" i="16" s="1"/>
  <c r="E4" i="16"/>
  <c r="I3" i="16"/>
  <c r="G3" i="16"/>
  <c r="F3" i="16"/>
  <c r="E3" i="16"/>
  <c r="I38" i="15"/>
  <c r="G38" i="15"/>
  <c r="F38" i="15"/>
  <c r="E38" i="15"/>
  <c r="I37" i="15"/>
  <c r="G37" i="15"/>
  <c r="F37" i="15"/>
  <c r="E37" i="15"/>
  <c r="I36" i="15"/>
  <c r="G36" i="15"/>
  <c r="F36" i="15"/>
  <c r="E36" i="15"/>
  <c r="I35" i="15"/>
  <c r="G35" i="15"/>
  <c r="F35" i="15"/>
  <c r="E35" i="15"/>
  <c r="I34" i="15"/>
  <c r="G34" i="15"/>
  <c r="F34" i="15"/>
  <c r="E34" i="15"/>
  <c r="I33" i="15"/>
  <c r="G33" i="15"/>
  <c r="F33" i="15"/>
  <c r="E33" i="15"/>
  <c r="I32" i="15"/>
  <c r="G32" i="15"/>
  <c r="F32" i="15"/>
  <c r="E32" i="15"/>
  <c r="I31" i="15"/>
  <c r="G31" i="15"/>
  <c r="F31" i="15"/>
  <c r="E31" i="15"/>
  <c r="I30" i="15"/>
  <c r="G30" i="15"/>
  <c r="F30" i="15"/>
  <c r="E30" i="15"/>
  <c r="I29" i="15"/>
  <c r="G29" i="15"/>
  <c r="F29" i="15"/>
  <c r="E29" i="15"/>
  <c r="I28" i="15"/>
  <c r="G28" i="15"/>
  <c r="F28" i="15"/>
  <c r="E28" i="15"/>
  <c r="I27" i="15"/>
  <c r="G27" i="15"/>
  <c r="F27" i="15"/>
  <c r="E27" i="15"/>
  <c r="I26" i="15"/>
  <c r="G26" i="15"/>
  <c r="F26" i="15"/>
  <c r="E26" i="15"/>
  <c r="I25" i="15"/>
  <c r="G25" i="15"/>
  <c r="F25" i="15"/>
  <c r="E25" i="15"/>
  <c r="I24" i="15"/>
  <c r="G24" i="15"/>
  <c r="F24" i="15"/>
  <c r="E24" i="15"/>
  <c r="I23" i="15"/>
  <c r="G23" i="15"/>
  <c r="F23" i="15"/>
  <c r="E23" i="15"/>
  <c r="I22" i="15"/>
  <c r="G22" i="15"/>
  <c r="F22" i="15"/>
  <c r="E22" i="15"/>
  <c r="I21" i="15"/>
  <c r="G21" i="15"/>
  <c r="F21" i="15"/>
  <c r="E21" i="15"/>
  <c r="I20" i="15"/>
  <c r="G20" i="15"/>
  <c r="F20" i="15"/>
  <c r="E20" i="15"/>
  <c r="I19" i="15"/>
  <c r="G19" i="15"/>
  <c r="F19" i="15"/>
  <c r="E19" i="15"/>
  <c r="I18" i="15"/>
  <c r="G18" i="15"/>
  <c r="F18" i="15"/>
  <c r="E18" i="15"/>
  <c r="I17" i="15"/>
  <c r="G17" i="15"/>
  <c r="F17" i="15"/>
  <c r="E17" i="15"/>
  <c r="I16" i="15"/>
  <c r="G16" i="15"/>
  <c r="F16" i="15"/>
  <c r="E16" i="15"/>
  <c r="I15" i="15"/>
  <c r="G15" i="15"/>
  <c r="F15" i="15"/>
  <c r="E15" i="15"/>
  <c r="I14" i="15"/>
  <c r="G14" i="15"/>
  <c r="F14" i="15"/>
  <c r="E14" i="15"/>
  <c r="I13" i="15"/>
  <c r="G13" i="15"/>
  <c r="F13" i="15"/>
  <c r="E13" i="15"/>
  <c r="I12" i="15"/>
  <c r="G12" i="15"/>
  <c r="F12" i="15"/>
  <c r="E12" i="15"/>
  <c r="I11" i="15"/>
  <c r="G11" i="15"/>
  <c r="F11" i="15"/>
  <c r="E11" i="15"/>
  <c r="I10" i="15"/>
  <c r="G10" i="15"/>
  <c r="F10" i="15"/>
  <c r="E10" i="15"/>
  <c r="I9" i="15"/>
  <c r="G9" i="15"/>
  <c r="F9" i="15"/>
  <c r="E9" i="15"/>
  <c r="I8" i="15"/>
  <c r="G8" i="15"/>
  <c r="F8" i="15"/>
  <c r="E8" i="15"/>
  <c r="I7" i="15"/>
  <c r="G7" i="15"/>
  <c r="F7" i="15"/>
  <c r="E7" i="15"/>
  <c r="I6" i="15"/>
  <c r="G6" i="15"/>
  <c r="F6" i="15"/>
  <c r="E6" i="15"/>
  <c r="I5" i="15"/>
  <c r="G5" i="15"/>
  <c r="F5" i="15"/>
  <c r="E5" i="15"/>
  <c r="I4" i="15"/>
  <c r="G4" i="15"/>
  <c r="F4" i="15"/>
  <c r="E4" i="15"/>
  <c r="I3" i="15"/>
  <c r="G3" i="15"/>
  <c r="F3" i="15"/>
  <c r="E3" i="15"/>
  <c r="I71" i="14"/>
  <c r="I70" i="14"/>
  <c r="G70" i="14"/>
  <c r="F70" i="14"/>
  <c r="E70" i="14"/>
  <c r="I69" i="14"/>
  <c r="G69" i="14"/>
  <c r="F69" i="14"/>
  <c r="E69" i="14"/>
  <c r="I68" i="14"/>
  <c r="G68" i="14"/>
  <c r="F68" i="14"/>
  <c r="E68" i="14"/>
  <c r="I67" i="14"/>
  <c r="G67" i="14"/>
  <c r="F67" i="14"/>
  <c r="E67" i="14"/>
  <c r="I66" i="14"/>
  <c r="G66" i="14"/>
  <c r="F66" i="14"/>
  <c r="E66" i="14"/>
  <c r="I65" i="14"/>
  <c r="G65" i="14"/>
  <c r="F65" i="14"/>
  <c r="E65" i="14"/>
  <c r="I64" i="14"/>
  <c r="G64" i="14"/>
  <c r="F64" i="14"/>
  <c r="E64" i="14"/>
  <c r="I63" i="14"/>
  <c r="G63" i="14"/>
  <c r="F63" i="14"/>
  <c r="E63" i="14"/>
  <c r="I62" i="14"/>
  <c r="G62" i="14"/>
  <c r="F62" i="14"/>
  <c r="E62" i="14"/>
  <c r="I61" i="14"/>
  <c r="G61" i="14"/>
  <c r="F61" i="14"/>
  <c r="E61" i="14"/>
  <c r="I60" i="14"/>
  <c r="G60" i="14"/>
  <c r="F60" i="14"/>
  <c r="E60" i="14"/>
  <c r="I59" i="14"/>
  <c r="G59" i="14"/>
  <c r="F59" i="14"/>
  <c r="E59" i="14"/>
  <c r="I58" i="14"/>
  <c r="G58" i="14"/>
  <c r="F58" i="14"/>
  <c r="E58" i="14"/>
  <c r="I57" i="14"/>
  <c r="G57" i="14"/>
  <c r="F57" i="14"/>
  <c r="E57" i="14"/>
  <c r="I56" i="14"/>
  <c r="G56" i="14"/>
  <c r="F56" i="14"/>
  <c r="E56" i="14"/>
  <c r="I55" i="14"/>
  <c r="G55" i="14"/>
  <c r="F55" i="14"/>
  <c r="E55" i="14"/>
  <c r="I54" i="14"/>
  <c r="G54" i="14"/>
  <c r="F54" i="14"/>
  <c r="E54" i="14"/>
  <c r="I53" i="14"/>
  <c r="G53" i="14"/>
  <c r="F53" i="14"/>
  <c r="E53" i="14"/>
  <c r="I52" i="14"/>
  <c r="G52" i="14"/>
  <c r="F52" i="14"/>
  <c r="E52" i="14"/>
  <c r="I51" i="14"/>
  <c r="G51" i="14"/>
  <c r="F51" i="14"/>
  <c r="E51" i="14"/>
  <c r="I50" i="14"/>
  <c r="G50" i="14"/>
  <c r="F50" i="14"/>
  <c r="E50" i="14"/>
  <c r="I49" i="14"/>
  <c r="G49" i="14"/>
  <c r="F49" i="14"/>
  <c r="E49" i="14"/>
  <c r="I48" i="14"/>
  <c r="G48" i="14"/>
  <c r="F48" i="14"/>
  <c r="E48" i="14"/>
  <c r="I47" i="14"/>
  <c r="G47" i="14"/>
  <c r="F47" i="14"/>
  <c r="E47" i="14"/>
  <c r="I46" i="14"/>
  <c r="G46" i="14"/>
  <c r="F46" i="14"/>
  <c r="E46" i="14"/>
  <c r="I45" i="14"/>
  <c r="G45" i="14"/>
  <c r="F45" i="14"/>
  <c r="E45" i="14"/>
  <c r="I44" i="14"/>
  <c r="G44" i="14"/>
  <c r="F44" i="14"/>
  <c r="E44" i="14"/>
  <c r="I43" i="14"/>
  <c r="G43" i="14"/>
  <c r="F43" i="14"/>
  <c r="E43" i="14"/>
  <c r="I42" i="14"/>
  <c r="G42" i="14"/>
  <c r="F42" i="14"/>
  <c r="E42" i="14"/>
  <c r="I41" i="14"/>
  <c r="G41" i="14"/>
  <c r="F41" i="14"/>
  <c r="E41" i="14"/>
  <c r="I40" i="14"/>
  <c r="G40" i="14"/>
  <c r="F40" i="14"/>
  <c r="E40" i="14"/>
  <c r="I39" i="14"/>
  <c r="G39" i="14"/>
  <c r="F39" i="14"/>
  <c r="E39" i="14"/>
  <c r="I38" i="14"/>
  <c r="G38" i="14"/>
  <c r="F38" i="14"/>
  <c r="E38" i="14"/>
  <c r="I37" i="14"/>
  <c r="G37" i="14"/>
  <c r="F37" i="14"/>
  <c r="E37" i="14"/>
  <c r="I36" i="14"/>
  <c r="G36" i="14"/>
  <c r="F36" i="14"/>
  <c r="E36" i="14"/>
  <c r="I35" i="14"/>
  <c r="G35" i="14"/>
  <c r="F35" i="14"/>
  <c r="E35" i="14"/>
  <c r="I34" i="14"/>
  <c r="G34" i="14"/>
  <c r="F34" i="14"/>
  <c r="E34" i="14"/>
  <c r="I33" i="14"/>
  <c r="G33" i="14"/>
  <c r="F33" i="14"/>
  <c r="E33" i="14"/>
  <c r="I32" i="14"/>
  <c r="G32" i="14"/>
  <c r="F32" i="14"/>
  <c r="E32" i="14"/>
  <c r="I31" i="14"/>
  <c r="G31" i="14"/>
  <c r="F31" i="14"/>
  <c r="E31" i="14"/>
  <c r="I30" i="14"/>
  <c r="G30" i="14"/>
  <c r="F30" i="14"/>
  <c r="E30" i="14"/>
  <c r="I29" i="14"/>
  <c r="G29" i="14"/>
  <c r="F29" i="14"/>
  <c r="E29" i="14"/>
  <c r="I28" i="14"/>
  <c r="G28" i="14"/>
  <c r="F28" i="14"/>
  <c r="E28" i="14"/>
  <c r="I27" i="14"/>
  <c r="G27" i="14"/>
  <c r="F27" i="14"/>
  <c r="E27" i="14"/>
  <c r="I26" i="14"/>
  <c r="G26" i="14"/>
  <c r="F26" i="14"/>
  <c r="E26" i="14"/>
  <c r="I25" i="14"/>
  <c r="G25" i="14"/>
  <c r="F25" i="14"/>
  <c r="E25" i="14"/>
  <c r="I24" i="14"/>
  <c r="G24" i="14"/>
  <c r="F24" i="14"/>
  <c r="E24" i="14"/>
  <c r="I23" i="14"/>
  <c r="G23" i="14"/>
  <c r="F23" i="14"/>
  <c r="E23" i="14"/>
  <c r="I22" i="14"/>
  <c r="G22" i="14"/>
  <c r="F22" i="14"/>
  <c r="E22" i="14"/>
  <c r="I21" i="14"/>
  <c r="G21" i="14"/>
  <c r="F21" i="14"/>
  <c r="E21" i="14"/>
  <c r="I20" i="14"/>
  <c r="G20" i="14"/>
  <c r="F20" i="14"/>
  <c r="E20" i="14"/>
  <c r="I19" i="14"/>
  <c r="G19" i="14"/>
  <c r="F19" i="14"/>
  <c r="E19" i="14"/>
  <c r="I18" i="14"/>
  <c r="G18" i="14"/>
  <c r="F18" i="14"/>
  <c r="E18" i="14"/>
  <c r="I17" i="14"/>
  <c r="G17" i="14"/>
  <c r="F17" i="14"/>
  <c r="E17" i="14"/>
  <c r="I16" i="14"/>
  <c r="G16" i="14"/>
  <c r="F16" i="14"/>
  <c r="E16" i="14"/>
  <c r="I15" i="14"/>
  <c r="G15" i="14"/>
  <c r="F15" i="14"/>
  <c r="E15" i="14"/>
  <c r="I14" i="14"/>
  <c r="G14" i="14"/>
  <c r="F14" i="14"/>
  <c r="E14" i="14"/>
  <c r="I13" i="14"/>
  <c r="G13" i="14"/>
  <c r="F13" i="14"/>
  <c r="E13" i="14"/>
  <c r="I12" i="14"/>
  <c r="G12" i="14"/>
  <c r="F12" i="14"/>
  <c r="E12" i="14"/>
  <c r="I11" i="14"/>
  <c r="G11" i="14"/>
  <c r="F11" i="14"/>
  <c r="E11" i="14"/>
  <c r="I10" i="14"/>
  <c r="G10" i="14"/>
  <c r="F10" i="14"/>
  <c r="E10" i="14"/>
  <c r="I9" i="14"/>
  <c r="G9" i="14"/>
  <c r="F9" i="14"/>
  <c r="E9" i="14"/>
  <c r="I8" i="14"/>
  <c r="G8" i="14"/>
  <c r="F8" i="14"/>
  <c r="E8" i="14"/>
  <c r="I7" i="14"/>
  <c r="G7" i="14"/>
  <c r="F7" i="14"/>
  <c r="E7" i="14"/>
  <c r="I6" i="14"/>
  <c r="G6" i="14"/>
  <c r="F6" i="14"/>
  <c r="E6" i="14"/>
  <c r="I5" i="14"/>
  <c r="G5" i="14"/>
  <c r="F5" i="14"/>
  <c r="E5" i="14"/>
  <c r="I4" i="14"/>
  <c r="G4" i="14"/>
  <c r="F4" i="14"/>
  <c r="E4" i="14"/>
  <c r="I3" i="14"/>
  <c r="G3" i="14"/>
  <c r="F3" i="14"/>
  <c r="E3" i="14"/>
  <c r="I74" i="13"/>
  <c r="G74" i="13"/>
  <c r="F74" i="13"/>
  <c r="H74" i="13" s="1"/>
  <c r="E74" i="13"/>
  <c r="I73" i="13"/>
  <c r="G73" i="13"/>
  <c r="H73" i="13" s="1"/>
  <c r="F73" i="13"/>
  <c r="E73" i="13"/>
  <c r="I72" i="13"/>
  <c r="G72" i="13"/>
  <c r="F72" i="13"/>
  <c r="H72" i="13" s="1"/>
  <c r="E72" i="13"/>
  <c r="I71" i="13"/>
  <c r="G71" i="13"/>
  <c r="F71" i="13"/>
  <c r="H71" i="13" s="1"/>
  <c r="E71" i="13"/>
  <c r="I70" i="13"/>
  <c r="G70" i="13"/>
  <c r="F70" i="13"/>
  <c r="E70" i="13"/>
  <c r="I69" i="13"/>
  <c r="G69" i="13"/>
  <c r="F69" i="13"/>
  <c r="H69" i="13" s="1"/>
  <c r="E69" i="13"/>
  <c r="I68" i="13"/>
  <c r="H68" i="13"/>
  <c r="G68" i="13"/>
  <c r="F68" i="13"/>
  <c r="E68" i="13"/>
  <c r="I67" i="13"/>
  <c r="G67" i="13"/>
  <c r="F67" i="13"/>
  <c r="E67" i="13"/>
  <c r="I66" i="13"/>
  <c r="G66" i="13"/>
  <c r="F66" i="13"/>
  <c r="E66" i="13"/>
  <c r="I65" i="13"/>
  <c r="G65" i="13"/>
  <c r="F65" i="13"/>
  <c r="E65" i="13"/>
  <c r="I64" i="13"/>
  <c r="G64" i="13"/>
  <c r="F64" i="13"/>
  <c r="E64" i="13"/>
  <c r="I63" i="13"/>
  <c r="G63" i="13"/>
  <c r="H63" i="13" s="1"/>
  <c r="F63" i="13"/>
  <c r="E63" i="13"/>
  <c r="I62" i="13"/>
  <c r="G62" i="13"/>
  <c r="F62" i="13"/>
  <c r="E62" i="13"/>
  <c r="I61" i="13"/>
  <c r="G61" i="13"/>
  <c r="F61" i="13"/>
  <c r="E61" i="13"/>
  <c r="I60" i="13"/>
  <c r="G60" i="13"/>
  <c r="F60" i="13"/>
  <c r="H60" i="13" s="1"/>
  <c r="E60" i="13"/>
  <c r="I59" i="13"/>
  <c r="G59" i="13"/>
  <c r="F59" i="13"/>
  <c r="H59" i="13" s="1"/>
  <c r="E59" i="13"/>
  <c r="I58" i="13"/>
  <c r="G58" i="13"/>
  <c r="F58" i="13"/>
  <c r="H58" i="13" s="1"/>
  <c r="E58" i="13"/>
  <c r="I57" i="13"/>
  <c r="G57" i="13"/>
  <c r="F57" i="13"/>
  <c r="E57" i="13"/>
  <c r="I56" i="13"/>
  <c r="G56" i="13"/>
  <c r="F56" i="13"/>
  <c r="H56" i="13" s="1"/>
  <c r="E56" i="13"/>
  <c r="I55" i="13"/>
  <c r="H55" i="13"/>
  <c r="G55" i="13"/>
  <c r="F55" i="13"/>
  <c r="E55" i="13"/>
  <c r="I54" i="13"/>
  <c r="G54" i="13"/>
  <c r="F54" i="13"/>
  <c r="H54" i="13" s="1"/>
  <c r="E54" i="13"/>
  <c r="I53" i="13"/>
  <c r="G53" i="13"/>
  <c r="F53" i="13"/>
  <c r="E53" i="13"/>
  <c r="I52" i="13"/>
  <c r="G52" i="13"/>
  <c r="F52" i="13"/>
  <c r="H52" i="13" s="1"/>
  <c r="E52" i="13"/>
  <c r="I51" i="13"/>
  <c r="G51" i="13"/>
  <c r="F51" i="13"/>
  <c r="E51" i="13"/>
  <c r="I50" i="13"/>
  <c r="G50" i="13"/>
  <c r="F50" i="13"/>
  <c r="E50" i="13"/>
  <c r="I49" i="13"/>
  <c r="G49" i="13"/>
  <c r="H49" i="13" s="1"/>
  <c r="F49" i="13"/>
  <c r="E49" i="13"/>
  <c r="I48" i="13"/>
  <c r="G48" i="13"/>
  <c r="F48" i="13"/>
  <c r="H48" i="13" s="1"/>
  <c r="E48" i="13"/>
  <c r="I47" i="13"/>
  <c r="G47" i="13"/>
  <c r="F47" i="13"/>
  <c r="H47" i="13" s="1"/>
  <c r="E47" i="13"/>
  <c r="I46" i="13"/>
  <c r="G46" i="13"/>
  <c r="F46" i="13"/>
  <c r="E46" i="13"/>
  <c r="I45" i="13"/>
  <c r="G45" i="13"/>
  <c r="F45" i="13"/>
  <c r="H45" i="13" s="1"/>
  <c r="E45" i="13"/>
  <c r="I44" i="13"/>
  <c r="H44" i="13"/>
  <c r="G44" i="13"/>
  <c r="F44" i="13"/>
  <c r="E44" i="13"/>
  <c r="I43" i="13"/>
  <c r="G43" i="13"/>
  <c r="F43" i="13"/>
  <c r="E43" i="13"/>
  <c r="I42" i="13"/>
  <c r="G42" i="13"/>
  <c r="F42" i="13"/>
  <c r="H42" i="13" s="1"/>
  <c r="E42" i="13"/>
  <c r="I41" i="13"/>
  <c r="G41" i="13"/>
  <c r="F41" i="13"/>
  <c r="E41" i="13"/>
  <c r="I40" i="13"/>
  <c r="G40" i="13"/>
  <c r="H40" i="13" s="1"/>
  <c r="F40" i="13"/>
  <c r="E40" i="13"/>
  <c r="I39" i="13"/>
  <c r="G39" i="13"/>
  <c r="F39" i="13"/>
  <c r="E39" i="13"/>
  <c r="I38" i="13"/>
  <c r="G38" i="13"/>
  <c r="F38" i="13"/>
  <c r="E38" i="13"/>
  <c r="I37" i="13"/>
  <c r="G37" i="13"/>
  <c r="F37" i="13"/>
  <c r="E37" i="13"/>
  <c r="I36" i="13"/>
  <c r="H36" i="13"/>
  <c r="G36" i="13"/>
  <c r="F36" i="13"/>
  <c r="E36" i="13"/>
  <c r="I35" i="13"/>
  <c r="G35" i="13"/>
  <c r="F35" i="13"/>
  <c r="H35" i="13" s="1"/>
  <c r="E35" i="13"/>
  <c r="I34" i="13"/>
  <c r="G34" i="13"/>
  <c r="F34" i="13"/>
  <c r="H34" i="13" s="1"/>
  <c r="E34" i="13"/>
  <c r="I33" i="13"/>
  <c r="G33" i="13"/>
  <c r="F33" i="13"/>
  <c r="E33" i="13"/>
  <c r="I32" i="13"/>
  <c r="G32" i="13"/>
  <c r="F32" i="13"/>
  <c r="H32" i="13" s="1"/>
  <c r="E32" i="13"/>
  <c r="I31" i="13"/>
  <c r="G31" i="13"/>
  <c r="F31" i="13"/>
  <c r="E31" i="13"/>
  <c r="I30" i="13"/>
  <c r="G30" i="13"/>
  <c r="F30" i="13"/>
  <c r="H30" i="13" s="1"/>
  <c r="E30" i="13"/>
  <c r="I29" i="13"/>
  <c r="G29" i="13"/>
  <c r="F29" i="13"/>
  <c r="E29" i="13"/>
  <c r="I28" i="13"/>
  <c r="G28" i="13"/>
  <c r="F28" i="13"/>
  <c r="H28" i="13" s="1"/>
  <c r="E28" i="13"/>
  <c r="I27" i="13"/>
  <c r="G27" i="13"/>
  <c r="F27" i="13"/>
  <c r="H27" i="13" s="1"/>
  <c r="E27" i="13"/>
  <c r="I26" i="13"/>
  <c r="G26" i="13"/>
  <c r="F26" i="13"/>
  <c r="H26" i="13" s="1"/>
  <c r="E26" i="13"/>
  <c r="I25" i="13"/>
  <c r="G25" i="13"/>
  <c r="F25" i="13"/>
  <c r="E25" i="13"/>
  <c r="I24" i="13"/>
  <c r="G24" i="13"/>
  <c r="H24" i="13" s="1"/>
  <c r="F24" i="13"/>
  <c r="E24" i="13"/>
  <c r="I23" i="13"/>
  <c r="G23" i="13"/>
  <c r="F23" i="13"/>
  <c r="E23" i="13"/>
  <c r="I22" i="13"/>
  <c r="G22" i="13"/>
  <c r="F22" i="13"/>
  <c r="E22" i="13"/>
  <c r="I21" i="13"/>
  <c r="G21" i="13"/>
  <c r="F21" i="13"/>
  <c r="E21" i="13"/>
  <c r="I20" i="13"/>
  <c r="G20" i="13"/>
  <c r="F20" i="13"/>
  <c r="H20" i="13" s="1"/>
  <c r="E20" i="13"/>
  <c r="I19" i="13"/>
  <c r="G19" i="13"/>
  <c r="F19" i="13"/>
  <c r="H19" i="13" s="1"/>
  <c r="E19" i="13"/>
  <c r="I18" i="13"/>
  <c r="G18" i="13"/>
  <c r="F18" i="13"/>
  <c r="H18" i="13" s="1"/>
  <c r="E18" i="13"/>
  <c r="I17" i="13"/>
  <c r="G17" i="13"/>
  <c r="F17" i="13"/>
  <c r="H17" i="13" s="1"/>
  <c r="E17" i="13"/>
  <c r="I16" i="13"/>
  <c r="G16" i="13"/>
  <c r="F16" i="13"/>
  <c r="H16" i="13" s="1"/>
  <c r="E16" i="13"/>
  <c r="I15" i="13"/>
  <c r="G15" i="13"/>
  <c r="F15" i="13"/>
  <c r="H15" i="13" s="1"/>
  <c r="E15" i="13"/>
  <c r="I14" i="13"/>
  <c r="G14" i="13"/>
  <c r="F14" i="13"/>
  <c r="E14" i="13"/>
  <c r="I13" i="13"/>
  <c r="G13" i="13"/>
  <c r="F13" i="13"/>
  <c r="H13" i="13" s="1"/>
  <c r="E13" i="13"/>
  <c r="I12" i="13"/>
  <c r="H12" i="13"/>
  <c r="G12" i="13"/>
  <c r="F12" i="13"/>
  <c r="E12" i="13"/>
  <c r="I11" i="13"/>
  <c r="G11" i="13"/>
  <c r="F11" i="13"/>
  <c r="E11" i="13"/>
  <c r="I10" i="13"/>
  <c r="G10" i="13"/>
  <c r="H10" i="13" s="1"/>
  <c r="F10" i="13"/>
  <c r="E10" i="13"/>
  <c r="I9" i="13"/>
  <c r="G9" i="13"/>
  <c r="F9" i="13"/>
  <c r="E9" i="13"/>
  <c r="I8" i="13"/>
  <c r="G8" i="13"/>
  <c r="F8" i="13"/>
  <c r="H8" i="13" s="1"/>
  <c r="E8" i="13"/>
  <c r="I7" i="13"/>
  <c r="H7" i="13"/>
  <c r="G7" i="13"/>
  <c r="F7" i="13"/>
  <c r="E7" i="13"/>
  <c r="I6" i="13"/>
  <c r="G6" i="13"/>
  <c r="F6" i="13"/>
  <c r="E6" i="13"/>
  <c r="I5" i="13"/>
  <c r="G5" i="13"/>
  <c r="F5" i="13"/>
  <c r="E5" i="13"/>
  <c r="I4" i="13"/>
  <c r="G4" i="13"/>
  <c r="F4" i="13"/>
  <c r="E4" i="13"/>
  <c r="I3" i="13"/>
  <c r="G3" i="13"/>
  <c r="F3" i="13"/>
  <c r="E3" i="13"/>
  <c r="I73" i="12"/>
  <c r="G73" i="12"/>
  <c r="H73" i="12" s="1"/>
  <c r="F73" i="12"/>
  <c r="E73" i="12"/>
  <c r="I72" i="12"/>
  <c r="G72" i="12"/>
  <c r="F72" i="12"/>
  <c r="E72" i="12"/>
  <c r="I71" i="12"/>
  <c r="G71" i="12"/>
  <c r="F71" i="12"/>
  <c r="H71" i="12" s="1"/>
  <c r="E71" i="12"/>
  <c r="I70" i="12"/>
  <c r="G70" i="12"/>
  <c r="F70" i="12"/>
  <c r="E70" i="12"/>
  <c r="I69" i="12"/>
  <c r="G69" i="12"/>
  <c r="F69" i="12"/>
  <c r="H69" i="12" s="1"/>
  <c r="E69" i="12"/>
  <c r="I68" i="12"/>
  <c r="G68" i="12"/>
  <c r="F68" i="12"/>
  <c r="H68" i="12" s="1"/>
  <c r="E68" i="12"/>
  <c r="I67" i="12"/>
  <c r="G67" i="12"/>
  <c r="F67" i="12"/>
  <c r="E67" i="12"/>
  <c r="I66" i="12"/>
  <c r="G66" i="12"/>
  <c r="H66" i="12" s="1"/>
  <c r="F66" i="12"/>
  <c r="E66" i="12"/>
  <c r="I65" i="12"/>
  <c r="G65" i="12"/>
  <c r="F65" i="12"/>
  <c r="E65" i="12"/>
  <c r="I64" i="12"/>
  <c r="G64" i="12"/>
  <c r="F64" i="12"/>
  <c r="E64" i="12"/>
  <c r="I63" i="12"/>
  <c r="G63" i="12"/>
  <c r="F63" i="12"/>
  <c r="H63" i="12" s="1"/>
  <c r="E63" i="12"/>
  <c r="I62" i="12"/>
  <c r="G62" i="12"/>
  <c r="F62" i="12"/>
  <c r="H62" i="12" s="1"/>
  <c r="E62" i="12"/>
  <c r="I61" i="12"/>
  <c r="G61" i="12"/>
  <c r="F61" i="12"/>
  <c r="H61" i="12" s="1"/>
  <c r="E61" i="12"/>
  <c r="I60" i="12"/>
  <c r="G60" i="12"/>
  <c r="F60" i="12"/>
  <c r="H60" i="12" s="1"/>
  <c r="E60" i="12"/>
  <c r="I59" i="12"/>
  <c r="G59" i="12"/>
  <c r="F59" i="12"/>
  <c r="E59" i="12"/>
  <c r="I58" i="12"/>
  <c r="G58" i="12"/>
  <c r="F58" i="12"/>
  <c r="E58" i="12"/>
  <c r="I57" i="12"/>
  <c r="G57" i="12"/>
  <c r="H57" i="12" s="1"/>
  <c r="F57" i="12"/>
  <c r="E57" i="12"/>
  <c r="I56" i="12"/>
  <c r="G56" i="12"/>
  <c r="F56" i="12"/>
  <c r="H56" i="12" s="1"/>
  <c r="E56" i="12"/>
  <c r="I55" i="12"/>
  <c r="G55" i="12"/>
  <c r="F55" i="12"/>
  <c r="E55" i="12"/>
  <c r="I54" i="12"/>
  <c r="G54" i="12"/>
  <c r="F54" i="12"/>
  <c r="H54" i="12" s="1"/>
  <c r="E54" i="12"/>
  <c r="I53" i="12"/>
  <c r="H53" i="12"/>
  <c r="G53" i="12"/>
  <c r="F53" i="12"/>
  <c r="E53" i="12"/>
  <c r="I52" i="12"/>
  <c r="H52" i="12"/>
  <c r="G52" i="12"/>
  <c r="F52" i="12"/>
  <c r="E52" i="12"/>
  <c r="I51" i="12"/>
  <c r="G51" i="12"/>
  <c r="F51" i="12"/>
  <c r="E51" i="12"/>
  <c r="I50" i="12"/>
  <c r="G50" i="12"/>
  <c r="F50" i="12"/>
  <c r="H50" i="12" s="1"/>
  <c r="E50" i="12"/>
  <c r="I49" i="12"/>
  <c r="G49" i="12"/>
  <c r="H49" i="12" s="1"/>
  <c r="F49" i="12"/>
  <c r="E49" i="12"/>
  <c r="I48" i="12"/>
  <c r="G48" i="12"/>
  <c r="F48" i="12"/>
  <c r="H48" i="12" s="1"/>
  <c r="E48" i="12"/>
  <c r="I47" i="12"/>
  <c r="G47" i="12"/>
  <c r="F47" i="12"/>
  <c r="H47" i="12" s="1"/>
  <c r="E47" i="12"/>
  <c r="I46" i="12"/>
  <c r="G46" i="12"/>
  <c r="F46" i="12"/>
  <c r="H46" i="12" s="1"/>
  <c r="E46" i="12"/>
  <c r="I45" i="12"/>
  <c r="G45" i="12"/>
  <c r="F45" i="12"/>
  <c r="H45" i="12" s="1"/>
  <c r="E45" i="12"/>
  <c r="I44" i="12"/>
  <c r="G44" i="12"/>
  <c r="F44" i="12"/>
  <c r="H44" i="12" s="1"/>
  <c r="E44" i="12"/>
  <c r="I43" i="12"/>
  <c r="G43" i="12"/>
  <c r="F43" i="12"/>
  <c r="H43" i="12" s="1"/>
  <c r="E43" i="12"/>
  <c r="I42" i="12"/>
  <c r="G42" i="12"/>
  <c r="F42" i="12"/>
  <c r="E42" i="12"/>
  <c r="I41" i="12"/>
  <c r="G41" i="12"/>
  <c r="F41" i="12"/>
  <c r="E41" i="12"/>
  <c r="I40" i="12"/>
  <c r="G40" i="12"/>
  <c r="F40" i="12"/>
  <c r="E40" i="12"/>
  <c r="I39" i="12"/>
  <c r="G39" i="12"/>
  <c r="F39" i="12"/>
  <c r="H39" i="12" s="1"/>
  <c r="E39" i="12"/>
  <c r="I38" i="12"/>
  <c r="G38" i="12"/>
  <c r="F38" i="12"/>
  <c r="E38" i="12"/>
  <c r="I37" i="12"/>
  <c r="G37" i="12"/>
  <c r="H37" i="12" s="1"/>
  <c r="F37" i="12"/>
  <c r="E37" i="12"/>
  <c r="I36" i="12"/>
  <c r="H36" i="12"/>
  <c r="G36" i="12"/>
  <c r="F36" i="12"/>
  <c r="E36" i="12"/>
  <c r="I35" i="12"/>
  <c r="G35" i="12"/>
  <c r="F35" i="12"/>
  <c r="H35" i="12" s="1"/>
  <c r="E35" i="12"/>
  <c r="I34" i="12"/>
  <c r="G34" i="12"/>
  <c r="F34" i="12"/>
  <c r="H34" i="12" s="1"/>
  <c r="E34" i="12"/>
  <c r="I33" i="12"/>
  <c r="G33" i="12"/>
  <c r="F33" i="12"/>
  <c r="E33" i="12"/>
  <c r="I32" i="12"/>
  <c r="G32" i="12"/>
  <c r="F32" i="12"/>
  <c r="H32" i="12" s="1"/>
  <c r="E32" i="12"/>
  <c r="I31" i="12"/>
  <c r="G31" i="12"/>
  <c r="F31" i="12"/>
  <c r="H31" i="12" s="1"/>
  <c r="E31" i="12"/>
  <c r="I30" i="12"/>
  <c r="G30" i="12"/>
  <c r="F30" i="12"/>
  <c r="H30" i="12" s="1"/>
  <c r="E30" i="12"/>
  <c r="I29" i="12"/>
  <c r="G29" i="12"/>
  <c r="F29" i="12"/>
  <c r="H29" i="12" s="1"/>
  <c r="E29" i="12"/>
  <c r="I28" i="12"/>
  <c r="H28" i="12"/>
  <c r="G28" i="12"/>
  <c r="F28" i="12"/>
  <c r="E28" i="12"/>
  <c r="I27" i="12"/>
  <c r="G27" i="12"/>
  <c r="F27" i="12"/>
  <c r="E27" i="12"/>
  <c r="I26" i="12"/>
  <c r="G26" i="12"/>
  <c r="F26" i="12"/>
  <c r="H26" i="12" s="1"/>
  <c r="E26" i="12"/>
  <c r="I25" i="12"/>
  <c r="G25" i="12"/>
  <c r="H25" i="12" s="1"/>
  <c r="F25" i="12"/>
  <c r="E25" i="12"/>
  <c r="I24" i="12"/>
  <c r="G24" i="12"/>
  <c r="F24" i="12"/>
  <c r="H24" i="12" s="1"/>
  <c r="E24" i="12"/>
  <c r="I23" i="12"/>
  <c r="G23" i="12"/>
  <c r="F23" i="12"/>
  <c r="E23" i="12"/>
  <c r="I22" i="12"/>
  <c r="G22" i="12"/>
  <c r="F22" i="12"/>
  <c r="H22" i="12" s="1"/>
  <c r="E22" i="12"/>
  <c r="I21" i="12"/>
  <c r="H21" i="12"/>
  <c r="G21" i="12"/>
  <c r="F21" i="12"/>
  <c r="E21" i="12"/>
  <c r="I20" i="12"/>
  <c r="H20" i="12"/>
  <c r="G20" i="12"/>
  <c r="F20" i="12"/>
  <c r="E20" i="12"/>
  <c r="I19" i="12"/>
  <c r="G19" i="12"/>
  <c r="F19" i="12"/>
  <c r="H19" i="12" s="1"/>
  <c r="E19" i="12"/>
  <c r="I18" i="12"/>
  <c r="G18" i="12"/>
  <c r="F18" i="12"/>
  <c r="H18" i="12" s="1"/>
  <c r="E18" i="12"/>
  <c r="I17" i="12"/>
  <c r="G17" i="12"/>
  <c r="F17" i="12"/>
  <c r="H17" i="12" s="1"/>
  <c r="E17" i="12"/>
  <c r="I16" i="12"/>
  <c r="G16" i="12"/>
  <c r="F16" i="12"/>
  <c r="H16" i="12" s="1"/>
  <c r="E16" i="12"/>
  <c r="I15" i="12"/>
  <c r="G15" i="12"/>
  <c r="F15" i="12"/>
  <c r="H15" i="12" s="1"/>
  <c r="E15" i="12"/>
  <c r="I14" i="12"/>
  <c r="G14" i="12"/>
  <c r="F14" i="12"/>
  <c r="H14" i="12" s="1"/>
  <c r="E14" i="12"/>
  <c r="I13" i="12"/>
  <c r="G13" i="12"/>
  <c r="F13" i="12"/>
  <c r="H13" i="12" s="1"/>
  <c r="E13" i="12"/>
  <c r="I12" i="12"/>
  <c r="G12" i="12"/>
  <c r="F12" i="12"/>
  <c r="E12" i="12"/>
  <c r="I11" i="12"/>
  <c r="G11" i="12"/>
  <c r="F11" i="12"/>
  <c r="H11" i="12" s="1"/>
  <c r="E11" i="12"/>
  <c r="I10" i="12"/>
  <c r="H10" i="12"/>
  <c r="G10" i="12"/>
  <c r="F10" i="12"/>
  <c r="E10" i="12"/>
  <c r="I9" i="12"/>
  <c r="G9" i="12"/>
  <c r="F9" i="12"/>
  <c r="E9" i="12"/>
  <c r="I8" i="12"/>
  <c r="G8" i="12"/>
  <c r="F8" i="12"/>
  <c r="H8" i="12" s="1"/>
  <c r="E8" i="12"/>
  <c r="I7" i="12"/>
  <c r="G7" i="12"/>
  <c r="F7" i="12"/>
  <c r="H7" i="12" s="1"/>
  <c r="E7" i="12"/>
  <c r="I6" i="12"/>
  <c r="G6" i="12"/>
  <c r="F6" i="12"/>
  <c r="E6" i="12"/>
  <c r="I5" i="12"/>
  <c r="G5" i="12"/>
  <c r="F5" i="12"/>
  <c r="E5" i="12"/>
  <c r="I4" i="12"/>
  <c r="G4" i="12"/>
  <c r="F4" i="12"/>
  <c r="H4" i="12" s="1"/>
  <c r="E4" i="12"/>
  <c r="I3" i="12"/>
  <c r="H3" i="12"/>
  <c r="G3" i="12"/>
  <c r="F3" i="12"/>
  <c r="E3" i="12"/>
  <c r="I71" i="11"/>
  <c r="I70" i="11"/>
  <c r="G70" i="11"/>
  <c r="F70" i="11"/>
  <c r="H70" i="11" s="1"/>
  <c r="E70" i="11"/>
  <c r="I69" i="11"/>
  <c r="G69" i="11"/>
  <c r="F69" i="11"/>
  <c r="E69" i="11"/>
  <c r="I68" i="11"/>
  <c r="G68" i="11"/>
  <c r="F68" i="11"/>
  <c r="H68" i="11" s="1"/>
  <c r="E68" i="11"/>
  <c r="I67" i="11"/>
  <c r="G67" i="11"/>
  <c r="F67" i="11"/>
  <c r="E67" i="11"/>
  <c r="I66" i="11"/>
  <c r="G66" i="11"/>
  <c r="F66" i="11"/>
  <c r="H66" i="11" s="1"/>
  <c r="E66" i="11"/>
  <c r="I65" i="11"/>
  <c r="G65" i="11"/>
  <c r="F65" i="11"/>
  <c r="E65" i="11"/>
  <c r="I64" i="11"/>
  <c r="G64" i="11"/>
  <c r="F64" i="11"/>
  <c r="E64" i="11"/>
  <c r="I63" i="11"/>
  <c r="G63" i="11"/>
  <c r="F63" i="11"/>
  <c r="E63" i="11"/>
  <c r="I62" i="11"/>
  <c r="G62" i="11"/>
  <c r="F62" i="11"/>
  <c r="E62" i="11"/>
  <c r="I61" i="11"/>
  <c r="G61" i="11"/>
  <c r="F61" i="11"/>
  <c r="E61" i="11"/>
  <c r="I60" i="11"/>
  <c r="G60" i="11"/>
  <c r="F60" i="11"/>
  <c r="H60" i="11" s="1"/>
  <c r="E60" i="11"/>
  <c r="I59" i="11"/>
  <c r="G59" i="11"/>
  <c r="F59" i="11"/>
  <c r="H59" i="11" s="1"/>
  <c r="E59" i="11"/>
  <c r="I58" i="11"/>
  <c r="G58" i="11"/>
  <c r="F58" i="11"/>
  <c r="H58" i="11" s="1"/>
  <c r="E58" i="11"/>
  <c r="I57" i="11"/>
  <c r="G57" i="11"/>
  <c r="F57" i="11"/>
  <c r="E57" i="11"/>
  <c r="I56" i="11"/>
  <c r="G56" i="11"/>
  <c r="F56" i="11"/>
  <c r="E56" i="11"/>
  <c r="I55" i="11"/>
  <c r="G55" i="11"/>
  <c r="F55" i="11"/>
  <c r="E55" i="11"/>
  <c r="I54" i="11"/>
  <c r="G54" i="11"/>
  <c r="F54" i="11"/>
  <c r="E54" i="11"/>
  <c r="I53" i="11"/>
  <c r="G53" i="11"/>
  <c r="F53" i="11"/>
  <c r="E53" i="11"/>
  <c r="I52" i="11"/>
  <c r="G52" i="11"/>
  <c r="F52" i="11"/>
  <c r="H52" i="11" s="1"/>
  <c r="E52" i="11"/>
  <c r="I51" i="11"/>
  <c r="G51" i="11"/>
  <c r="F51" i="11"/>
  <c r="H51" i="11" s="1"/>
  <c r="E51" i="11"/>
  <c r="I50" i="11"/>
  <c r="G50" i="11"/>
  <c r="F50" i="11"/>
  <c r="E50" i="11"/>
  <c r="I49" i="11"/>
  <c r="G49" i="11"/>
  <c r="F49" i="11"/>
  <c r="E49" i="11"/>
  <c r="I48" i="11"/>
  <c r="G48" i="11"/>
  <c r="F48" i="11"/>
  <c r="E48" i="11"/>
  <c r="I47" i="11"/>
  <c r="G47" i="11"/>
  <c r="F47" i="11"/>
  <c r="E47" i="11"/>
  <c r="I46" i="11"/>
  <c r="G46" i="11"/>
  <c r="F46" i="11"/>
  <c r="E46" i="11"/>
  <c r="I45" i="11"/>
  <c r="G45" i="11"/>
  <c r="F45" i="11"/>
  <c r="E45" i="11"/>
  <c r="I44" i="11"/>
  <c r="G44" i="11"/>
  <c r="F44" i="11"/>
  <c r="E44" i="11"/>
  <c r="I43" i="11"/>
  <c r="G43" i="11"/>
  <c r="F43" i="11"/>
  <c r="E43" i="11"/>
  <c r="I42" i="11"/>
  <c r="G42" i="11"/>
  <c r="F42" i="11"/>
  <c r="H42" i="11" s="1"/>
  <c r="E42" i="11"/>
  <c r="I41" i="11"/>
  <c r="G41" i="11"/>
  <c r="F41" i="11"/>
  <c r="E41" i="11"/>
  <c r="I40" i="11"/>
  <c r="G40" i="11"/>
  <c r="F40" i="11"/>
  <c r="E40" i="11"/>
  <c r="I39" i="11"/>
  <c r="G39" i="11"/>
  <c r="F39" i="11"/>
  <c r="E39" i="11"/>
  <c r="I38" i="11"/>
  <c r="G38" i="11"/>
  <c r="F38" i="11"/>
  <c r="E38" i="11"/>
  <c r="I37" i="11"/>
  <c r="G37" i="11"/>
  <c r="F37" i="11"/>
  <c r="E37" i="11"/>
  <c r="I36" i="11"/>
  <c r="G36" i="11"/>
  <c r="F36" i="11"/>
  <c r="E36" i="11"/>
  <c r="I35" i="11"/>
  <c r="G35" i="11"/>
  <c r="F35" i="11"/>
  <c r="E35" i="11"/>
  <c r="I34" i="11"/>
  <c r="G34" i="11"/>
  <c r="F34" i="11"/>
  <c r="E34" i="11"/>
  <c r="I33" i="11"/>
  <c r="G33" i="11"/>
  <c r="F33" i="11"/>
  <c r="E33" i="11"/>
  <c r="I32" i="11"/>
  <c r="G32" i="11"/>
  <c r="F32" i="11"/>
  <c r="E32" i="11"/>
  <c r="I31" i="11"/>
  <c r="G31" i="11"/>
  <c r="F31" i="11"/>
  <c r="E31" i="11"/>
  <c r="I30" i="11"/>
  <c r="G30" i="11"/>
  <c r="F30" i="11"/>
  <c r="E30" i="11"/>
  <c r="I29" i="11"/>
  <c r="G29" i="11"/>
  <c r="F29" i="11"/>
  <c r="E29" i="11"/>
  <c r="I28" i="11"/>
  <c r="G28" i="11"/>
  <c r="F28" i="11"/>
  <c r="E28" i="11"/>
  <c r="I27" i="11"/>
  <c r="G27" i="11"/>
  <c r="F27" i="11"/>
  <c r="E27" i="11"/>
  <c r="I26" i="11"/>
  <c r="G26" i="11"/>
  <c r="F26" i="11"/>
  <c r="E26" i="11"/>
  <c r="I25" i="11"/>
  <c r="G25" i="11"/>
  <c r="F25" i="11"/>
  <c r="E25" i="11"/>
  <c r="I24" i="11"/>
  <c r="G24" i="11"/>
  <c r="F24" i="11"/>
  <c r="E24" i="11"/>
  <c r="I23" i="11"/>
  <c r="G23" i="11"/>
  <c r="F23" i="11"/>
  <c r="E23" i="11"/>
  <c r="I22" i="11"/>
  <c r="G22" i="11"/>
  <c r="F22" i="11"/>
  <c r="E22" i="11"/>
  <c r="I21" i="11"/>
  <c r="G21" i="11"/>
  <c r="F21" i="11"/>
  <c r="E21" i="11"/>
  <c r="I20" i="11"/>
  <c r="G20" i="11"/>
  <c r="F20" i="11"/>
  <c r="H20" i="11" s="1"/>
  <c r="E20" i="11"/>
  <c r="I19" i="11"/>
  <c r="G19" i="11"/>
  <c r="F19" i="11"/>
  <c r="E19" i="11"/>
  <c r="I18" i="11"/>
  <c r="G18" i="11"/>
  <c r="F18" i="11"/>
  <c r="H18" i="11" s="1"/>
  <c r="E18" i="11"/>
  <c r="I17" i="11"/>
  <c r="G17" i="11"/>
  <c r="F17" i="11"/>
  <c r="E17" i="11"/>
  <c r="I16" i="11"/>
  <c r="G16" i="11"/>
  <c r="F16" i="11"/>
  <c r="H16" i="11" s="1"/>
  <c r="E16" i="11"/>
  <c r="I15" i="11"/>
  <c r="G15" i="11"/>
  <c r="F15" i="11"/>
  <c r="E15" i="11"/>
  <c r="I14" i="11"/>
  <c r="G14" i="11"/>
  <c r="F14" i="11"/>
  <c r="E14" i="11"/>
  <c r="I13" i="11"/>
  <c r="G13" i="11"/>
  <c r="F13" i="11"/>
  <c r="E13" i="11"/>
  <c r="I12" i="11"/>
  <c r="G12" i="11"/>
  <c r="F12" i="11"/>
  <c r="H12" i="11" s="1"/>
  <c r="E12" i="11"/>
  <c r="I11" i="11"/>
  <c r="G11" i="11"/>
  <c r="F11" i="11"/>
  <c r="E11" i="11"/>
  <c r="I10" i="11"/>
  <c r="G10" i="11"/>
  <c r="F10" i="11"/>
  <c r="E10" i="11"/>
  <c r="I9" i="11"/>
  <c r="G9" i="11"/>
  <c r="F9" i="11"/>
  <c r="E9" i="11"/>
  <c r="I8" i="11"/>
  <c r="G8" i="11"/>
  <c r="F8" i="11"/>
  <c r="E8" i="11"/>
  <c r="I7" i="11"/>
  <c r="G7" i="11"/>
  <c r="F7" i="11"/>
  <c r="E7" i="11"/>
  <c r="I6" i="11"/>
  <c r="G6" i="11"/>
  <c r="F6" i="11"/>
  <c r="E6" i="11"/>
  <c r="I5" i="11"/>
  <c r="G5" i="11"/>
  <c r="F5" i="11"/>
  <c r="E5" i="11"/>
  <c r="I4" i="11"/>
  <c r="G4" i="11"/>
  <c r="F4" i="11"/>
  <c r="E4" i="11"/>
  <c r="I3" i="11"/>
  <c r="G3" i="11"/>
  <c r="F3" i="11"/>
  <c r="E3" i="11"/>
  <c r="I74" i="10"/>
  <c r="G74" i="10"/>
  <c r="F74" i="10"/>
  <c r="H74" i="10" s="1"/>
  <c r="E74" i="10"/>
  <c r="I73" i="10"/>
  <c r="G73" i="10"/>
  <c r="F73" i="10"/>
  <c r="E73" i="10"/>
  <c r="I72" i="10"/>
  <c r="G72" i="10"/>
  <c r="F72" i="10"/>
  <c r="H72" i="10" s="1"/>
  <c r="E72" i="10"/>
  <c r="I71" i="10"/>
  <c r="G71" i="10"/>
  <c r="F71" i="10"/>
  <c r="E71" i="10"/>
  <c r="I70" i="10"/>
  <c r="G70" i="10"/>
  <c r="F70" i="10"/>
  <c r="H70" i="10" s="1"/>
  <c r="E70" i="10"/>
  <c r="I69" i="10"/>
  <c r="G69" i="10"/>
  <c r="F69" i="10"/>
  <c r="E69" i="10"/>
  <c r="I68" i="10"/>
  <c r="G68" i="10"/>
  <c r="F68" i="10"/>
  <c r="H68" i="10" s="1"/>
  <c r="E68" i="10"/>
  <c r="I67" i="10"/>
  <c r="G67" i="10"/>
  <c r="F67" i="10"/>
  <c r="H67" i="10" s="1"/>
  <c r="E67" i="10"/>
  <c r="I66" i="10"/>
  <c r="G66" i="10"/>
  <c r="F66" i="10"/>
  <c r="H66" i="10" s="1"/>
  <c r="E66" i="10"/>
  <c r="I65" i="10"/>
  <c r="G65" i="10"/>
  <c r="F65" i="10"/>
  <c r="H65" i="10" s="1"/>
  <c r="E65" i="10"/>
  <c r="I64" i="10"/>
  <c r="G64" i="10"/>
  <c r="F64" i="10"/>
  <c r="H64" i="10" s="1"/>
  <c r="E64" i="10"/>
  <c r="I63" i="10"/>
  <c r="G63" i="10"/>
  <c r="F63" i="10"/>
  <c r="H63" i="10" s="1"/>
  <c r="E63" i="10"/>
  <c r="I62" i="10"/>
  <c r="G62" i="10"/>
  <c r="F62" i="10"/>
  <c r="H62" i="10" s="1"/>
  <c r="E62" i="10"/>
  <c r="I61" i="10"/>
  <c r="G61" i="10"/>
  <c r="F61" i="10"/>
  <c r="H61" i="10" s="1"/>
  <c r="E61" i="10"/>
  <c r="I60" i="10"/>
  <c r="G60" i="10"/>
  <c r="H60" i="10" s="1"/>
  <c r="F60" i="10"/>
  <c r="E60" i="10"/>
  <c r="I59" i="10"/>
  <c r="G59" i="10"/>
  <c r="F59" i="10"/>
  <c r="E59" i="10"/>
  <c r="I58" i="10"/>
  <c r="G58" i="10"/>
  <c r="F58" i="10"/>
  <c r="E58" i="10"/>
  <c r="I57" i="10"/>
  <c r="G57" i="10"/>
  <c r="F57" i="10"/>
  <c r="E57" i="10"/>
  <c r="I56" i="10"/>
  <c r="G56" i="10"/>
  <c r="F56" i="10"/>
  <c r="E56" i="10"/>
  <c r="I55" i="10"/>
  <c r="G55" i="10"/>
  <c r="F55" i="10"/>
  <c r="E55" i="10"/>
  <c r="I54" i="10"/>
  <c r="G54" i="10"/>
  <c r="F54" i="10"/>
  <c r="E54" i="10"/>
  <c r="I53" i="10"/>
  <c r="H53" i="10"/>
  <c r="G53" i="10"/>
  <c r="F53" i="10"/>
  <c r="E53" i="10"/>
  <c r="I52" i="10"/>
  <c r="G52" i="10"/>
  <c r="F52" i="10"/>
  <c r="H52" i="10" s="1"/>
  <c r="E52" i="10"/>
  <c r="I51" i="10"/>
  <c r="G51" i="10"/>
  <c r="F51" i="10"/>
  <c r="H51" i="10" s="1"/>
  <c r="E51" i="10"/>
  <c r="I50" i="10"/>
  <c r="G50" i="10"/>
  <c r="F50" i="10"/>
  <c r="E50" i="10"/>
  <c r="I49" i="10"/>
  <c r="G49" i="10"/>
  <c r="F49" i="10"/>
  <c r="H49" i="10" s="1"/>
  <c r="E49" i="10"/>
  <c r="I48" i="10"/>
  <c r="G48" i="10"/>
  <c r="F48" i="10"/>
  <c r="E48" i="10"/>
  <c r="I47" i="10"/>
  <c r="G47" i="10"/>
  <c r="F47" i="10"/>
  <c r="H47" i="10" s="1"/>
  <c r="E47" i="10"/>
  <c r="I46" i="10"/>
  <c r="G46" i="10"/>
  <c r="F46" i="10"/>
  <c r="E46" i="10"/>
  <c r="I45" i="10"/>
  <c r="G45" i="10"/>
  <c r="F45" i="10"/>
  <c r="H45" i="10" s="1"/>
  <c r="E45" i="10"/>
  <c r="I44" i="10"/>
  <c r="G44" i="10"/>
  <c r="H44" i="10" s="1"/>
  <c r="F44" i="10"/>
  <c r="E44" i="10"/>
  <c r="I43" i="10"/>
  <c r="G43" i="10"/>
  <c r="F43" i="10"/>
  <c r="E43" i="10"/>
  <c r="I42" i="10"/>
  <c r="G42" i="10"/>
  <c r="F42" i="10"/>
  <c r="E42" i="10"/>
  <c r="I41" i="10"/>
  <c r="G41" i="10"/>
  <c r="H41" i="10" s="1"/>
  <c r="F41" i="10"/>
  <c r="E41" i="10"/>
  <c r="I40" i="10"/>
  <c r="G40" i="10"/>
  <c r="F40" i="10"/>
  <c r="E40" i="10"/>
  <c r="I39" i="10"/>
  <c r="G39" i="10"/>
  <c r="F39" i="10"/>
  <c r="E39" i="10"/>
  <c r="I38" i="10"/>
  <c r="G38" i="10"/>
  <c r="F38" i="10"/>
  <c r="E38" i="10"/>
  <c r="I37" i="10"/>
  <c r="G37" i="10"/>
  <c r="F37" i="10"/>
  <c r="H37" i="10" s="1"/>
  <c r="E37" i="10"/>
  <c r="I36" i="10"/>
  <c r="H36" i="10"/>
  <c r="G36" i="10"/>
  <c r="F36" i="10"/>
  <c r="E36" i="10"/>
  <c r="I35" i="10"/>
  <c r="G35" i="10"/>
  <c r="F35" i="10"/>
  <c r="E35" i="10"/>
  <c r="I34" i="10"/>
  <c r="G34" i="10"/>
  <c r="F34" i="10"/>
  <c r="H34" i="10" s="1"/>
  <c r="E34" i="10"/>
  <c r="I33" i="10"/>
  <c r="G33" i="10"/>
  <c r="H33" i="10" s="1"/>
  <c r="F33" i="10"/>
  <c r="E33" i="10"/>
  <c r="I32" i="10"/>
  <c r="G32" i="10"/>
  <c r="F32" i="10"/>
  <c r="H32" i="10" s="1"/>
  <c r="E32" i="10"/>
  <c r="I31" i="10"/>
  <c r="G31" i="10"/>
  <c r="F31" i="10"/>
  <c r="H31" i="10" s="1"/>
  <c r="E31" i="10"/>
  <c r="I30" i="10"/>
  <c r="G30" i="10"/>
  <c r="F30" i="10"/>
  <c r="E30" i="10"/>
  <c r="I29" i="10"/>
  <c r="G29" i="10"/>
  <c r="F29" i="10"/>
  <c r="H29" i="10" s="1"/>
  <c r="E29" i="10"/>
  <c r="I28" i="10"/>
  <c r="G28" i="10"/>
  <c r="F28" i="10"/>
  <c r="H28" i="10" s="1"/>
  <c r="E28" i="10"/>
  <c r="I27" i="10"/>
  <c r="G27" i="10"/>
  <c r="F27" i="10"/>
  <c r="E27" i="10"/>
  <c r="I26" i="10"/>
  <c r="G26" i="10"/>
  <c r="F26" i="10"/>
  <c r="H26" i="10" s="1"/>
  <c r="E26" i="10"/>
  <c r="I25" i="10"/>
  <c r="G25" i="10"/>
  <c r="H25" i="10" s="1"/>
  <c r="F25" i="10"/>
  <c r="E25" i="10"/>
  <c r="I24" i="10"/>
  <c r="G24" i="10"/>
  <c r="F24" i="10"/>
  <c r="H24" i="10" s="1"/>
  <c r="E24" i="10"/>
  <c r="I23" i="10"/>
  <c r="G23" i="10"/>
  <c r="F23" i="10"/>
  <c r="H23" i="10" s="1"/>
  <c r="E23" i="10"/>
  <c r="I22" i="10"/>
  <c r="G22" i="10"/>
  <c r="F22" i="10"/>
  <c r="E22" i="10"/>
  <c r="I21" i="10"/>
  <c r="G21" i="10"/>
  <c r="F21" i="10"/>
  <c r="H21" i="10" s="1"/>
  <c r="E21" i="10"/>
  <c r="I20" i="10"/>
  <c r="G20" i="10"/>
  <c r="F20" i="10"/>
  <c r="H20" i="10" s="1"/>
  <c r="E20" i="10"/>
  <c r="I19" i="10"/>
  <c r="G19" i="10"/>
  <c r="F19" i="10"/>
  <c r="E19" i="10"/>
  <c r="I18" i="10"/>
  <c r="H18" i="10"/>
  <c r="G18" i="10"/>
  <c r="F18" i="10"/>
  <c r="E18" i="10"/>
  <c r="I17" i="10"/>
  <c r="G17" i="10"/>
  <c r="F17" i="10"/>
  <c r="H17" i="10" s="1"/>
  <c r="E17" i="10"/>
  <c r="I16" i="10"/>
  <c r="G16" i="10"/>
  <c r="F16" i="10"/>
  <c r="E16" i="10"/>
  <c r="I15" i="10"/>
  <c r="G15" i="10"/>
  <c r="F15" i="10"/>
  <c r="H15" i="10" s="1"/>
  <c r="E15" i="10"/>
  <c r="I14" i="10"/>
  <c r="G14" i="10"/>
  <c r="F14" i="10"/>
  <c r="H14" i="10" s="1"/>
  <c r="E14" i="10"/>
  <c r="I13" i="10"/>
  <c r="H13" i="10"/>
  <c r="G13" i="10"/>
  <c r="F13" i="10"/>
  <c r="E13" i="10"/>
  <c r="I12" i="10"/>
  <c r="H12" i="10"/>
  <c r="G12" i="10"/>
  <c r="F12" i="10"/>
  <c r="E12" i="10"/>
  <c r="I11" i="10"/>
  <c r="G11" i="10"/>
  <c r="F11" i="10"/>
  <c r="E11" i="10"/>
  <c r="I10" i="10"/>
  <c r="G10" i="10"/>
  <c r="F10" i="10"/>
  <c r="H10" i="10" s="1"/>
  <c r="E10" i="10"/>
  <c r="I9" i="10"/>
  <c r="G9" i="10"/>
  <c r="F9" i="10"/>
  <c r="E9" i="10"/>
  <c r="I8" i="10"/>
  <c r="G8" i="10"/>
  <c r="F8" i="10"/>
  <c r="E8" i="10"/>
  <c r="I7" i="10"/>
  <c r="H7" i="10"/>
  <c r="G7" i="10"/>
  <c r="F7" i="10"/>
  <c r="E7" i="10"/>
  <c r="I6" i="10"/>
  <c r="G6" i="10"/>
  <c r="F6" i="10"/>
  <c r="E6" i="10"/>
  <c r="I5" i="10"/>
  <c r="G5" i="10"/>
  <c r="F5" i="10"/>
  <c r="E5" i="10"/>
  <c r="I4" i="10"/>
  <c r="G4" i="10"/>
  <c r="F4" i="10"/>
  <c r="E4" i="10"/>
  <c r="I3" i="10"/>
  <c r="G3" i="10"/>
  <c r="F3" i="10"/>
  <c r="H3" i="10" s="1"/>
  <c r="E3" i="10"/>
  <c r="I74" i="9"/>
  <c r="G74" i="9"/>
  <c r="F74" i="9"/>
  <c r="H74" i="9" s="1"/>
  <c r="E74" i="9"/>
  <c r="I73" i="9"/>
  <c r="G73" i="9"/>
  <c r="F73" i="9"/>
  <c r="H73" i="9" s="1"/>
  <c r="E73" i="9"/>
  <c r="I72" i="9"/>
  <c r="G72" i="9"/>
  <c r="F72" i="9"/>
  <c r="H72" i="9" s="1"/>
  <c r="E72" i="9"/>
  <c r="I71" i="9"/>
  <c r="G71" i="9"/>
  <c r="F71" i="9"/>
  <c r="H71" i="9" s="1"/>
  <c r="E71" i="9"/>
  <c r="I70" i="9"/>
  <c r="G70" i="9"/>
  <c r="F70" i="9"/>
  <c r="H70" i="9" s="1"/>
  <c r="E70" i="9"/>
  <c r="I69" i="9"/>
  <c r="G69" i="9"/>
  <c r="F69" i="9"/>
  <c r="H69" i="9" s="1"/>
  <c r="E69" i="9"/>
  <c r="I68" i="9"/>
  <c r="G68" i="9"/>
  <c r="F68" i="9"/>
  <c r="H68" i="9" s="1"/>
  <c r="E68" i="9"/>
  <c r="I67" i="9"/>
  <c r="G67" i="9"/>
  <c r="F67" i="9"/>
  <c r="E67" i="9"/>
  <c r="I66" i="9"/>
  <c r="G66" i="9"/>
  <c r="F66" i="9"/>
  <c r="E66" i="9"/>
  <c r="I65" i="9"/>
  <c r="G65" i="9"/>
  <c r="F65" i="9"/>
  <c r="H65" i="9" s="1"/>
  <c r="E65" i="9"/>
  <c r="I64" i="9"/>
  <c r="G64" i="9"/>
  <c r="F64" i="9"/>
  <c r="E64" i="9"/>
  <c r="I63" i="9"/>
  <c r="G63" i="9"/>
  <c r="F63" i="9"/>
  <c r="H63" i="9" s="1"/>
  <c r="E63" i="9"/>
  <c r="I62" i="9"/>
  <c r="G62" i="9"/>
  <c r="F62" i="9"/>
  <c r="E62" i="9"/>
  <c r="I61" i="9"/>
  <c r="G61" i="9"/>
  <c r="F61" i="9"/>
  <c r="H61" i="9" s="1"/>
  <c r="E61" i="9"/>
  <c r="I60" i="9"/>
  <c r="H60" i="9"/>
  <c r="G60" i="9"/>
  <c r="F60" i="9"/>
  <c r="E60" i="9"/>
  <c r="I59" i="9"/>
  <c r="G59" i="9"/>
  <c r="H59" i="9" s="1"/>
  <c r="F59" i="9"/>
  <c r="E59" i="9"/>
  <c r="I58" i="9"/>
  <c r="G58" i="9"/>
  <c r="H58" i="9" s="1"/>
  <c r="F58" i="9"/>
  <c r="E58" i="9"/>
  <c r="I57" i="9"/>
  <c r="G57" i="9"/>
  <c r="F57" i="9"/>
  <c r="E57" i="9"/>
  <c r="I56" i="9"/>
  <c r="G56" i="9"/>
  <c r="F56" i="9"/>
  <c r="E56" i="9"/>
  <c r="I55" i="9"/>
  <c r="G55" i="9"/>
  <c r="F55" i="9"/>
  <c r="E55" i="9"/>
  <c r="I54" i="9"/>
  <c r="G54" i="9"/>
  <c r="F54" i="9"/>
  <c r="E54" i="9"/>
  <c r="I53" i="9"/>
  <c r="G53" i="9"/>
  <c r="F53" i="9"/>
  <c r="H53" i="9" s="1"/>
  <c r="E53" i="9"/>
  <c r="I52" i="9"/>
  <c r="G52" i="9"/>
  <c r="F52" i="9"/>
  <c r="H52" i="9" s="1"/>
  <c r="E52" i="9"/>
  <c r="I51" i="9"/>
  <c r="G51" i="9"/>
  <c r="H51" i="9" s="1"/>
  <c r="F51" i="9"/>
  <c r="E51" i="9"/>
  <c r="I50" i="9"/>
  <c r="G50" i="9"/>
  <c r="F50" i="9"/>
  <c r="E50" i="9"/>
  <c r="I49" i="9"/>
  <c r="G49" i="9"/>
  <c r="F49" i="9"/>
  <c r="E49" i="9"/>
  <c r="I48" i="9"/>
  <c r="G48" i="9"/>
  <c r="F48" i="9"/>
  <c r="H48" i="9" s="1"/>
  <c r="E48" i="9"/>
  <c r="I47" i="9"/>
  <c r="G47" i="9"/>
  <c r="F47" i="9"/>
  <c r="E47" i="9"/>
  <c r="I46" i="9"/>
  <c r="G46" i="9"/>
  <c r="F46" i="9"/>
  <c r="H46" i="9" s="1"/>
  <c r="E46" i="9"/>
  <c r="I45" i="9"/>
  <c r="H45" i="9"/>
  <c r="G45" i="9"/>
  <c r="F45" i="9"/>
  <c r="E45" i="9"/>
  <c r="I44" i="9"/>
  <c r="H44" i="9"/>
  <c r="G44" i="9"/>
  <c r="F44" i="9"/>
  <c r="E44" i="9"/>
  <c r="I43" i="9"/>
  <c r="G43" i="9"/>
  <c r="H43" i="9" s="1"/>
  <c r="F43" i="9"/>
  <c r="E43" i="9"/>
  <c r="I42" i="9"/>
  <c r="G42" i="9"/>
  <c r="F42" i="9"/>
  <c r="E42" i="9"/>
  <c r="I41" i="9"/>
  <c r="G41" i="9"/>
  <c r="F41" i="9"/>
  <c r="E41" i="9"/>
  <c r="I40" i="9"/>
  <c r="G40" i="9"/>
  <c r="F40" i="9"/>
  <c r="H40" i="9" s="1"/>
  <c r="E40" i="9"/>
  <c r="I39" i="9"/>
  <c r="G39" i="9"/>
  <c r="F39" i="9"/>
  <c r="E39" i="9"/>
  <c r="I38" i="9"/>
  <c r="G38" i="9"/>
  <c r="F38" i="9"/>
  <c r="H38" i="9" s="1"/>
  <c r="E38" i="9"/>
  <c r="I37" i="9"/>
  <c r="G37" i="9"/>
  <c r="F37" i="9"/>
  <c r="H37" i="9" s="1"/>
  <c r="E37" i="9"/>
  <c r="I36" i="9"/>
  <c r="G36" i="9"/>
  <c r="F36" i="9"/>
  <c r="H36" i="9" s="1"/>
  <c r="E36" i="9"/>
  <c r="I35" i="9"/>
  <c r="G35" i="9"/>
  <c r="F35" i="9"/>
  <c r="E35" i="9"/>
  <c r="I34" i="9"/>
  <c r="G34" i="9"/>
  <c r="H34" i="9" s="1"/>
  <c r="F34" i="9"/>
  <c r="E34" i="9"/>
  <c r="I33" i="9"/>
  <c r="G33" i="9"/>
  <c r="F33" i="9"/>
  <c r="H33" i="9" s="1"/>
  <c r="E33" i="9"/>
  <c r="I32" i="9"/>
  <c r="G32" i="9"/>
  <c r="F32" i="9"/>
  <c r="E32" i="9"/>
  <c r="I31" i="9"/>
  <c r="G31" i="9"/>
  <c r="F31" i="9"/>
  <c r="H31" i="9" s="1"/>
  <c r="E31" i="9"/>
  <c r="I30" i="9"/>
  <c r="G30" i="9"/>
  <c r="F30" i="9"/>
  <c r="E30" i="9"/>
  <c r="I29" i="9"/>
  <c r="G29" i="9"/>
  <c r="H29" i="9" s="1"/>
  <c r="F29" i="9"/>
  <c r="E29" i="9"/>
  <c r="I28" i="9"/>
  <c r="H28" i="9"/>
  <c r="G28" i="9"/>
  <c r="F28" i="9"/>
  <c r="E28" i="9"/>
  <c r="I27" i="9"/>
  <c r="G27" i="9"/>
  <c r="F27" i="9"/>
  <c r="E27" i="9"/>
  <c r="I26" i="9"/>
  <c r="G26" i="9"/>
  <c r="F26" i="9"/>
  <c r="E26" i="9"/>
  <c r="I25" i="9"/>
  <c r="G25" i="9"/>
  <c r="F25" i="9"/>
  <c r="H25" i="9" s="1"/>
  <c r="E25" i="9"/>
  <c r="I24" i="9"/>
  <c r="G24" i="9"/>
  <c r="F24" i="9"/>
  <c r="H24" i="9" s="1"/>
  <c r="E24" i="9"/>
  <c r="I23" i="9"/>
  <c r="G23" i="9"/>
  <c r="F23" i="9"/>
  <c r="H23" i="9" s="1"/>
  <c r="E23" i="9"/>
  <c r="I22" i="9"/>
  <c r="G22" i="9"/>
  <c r="F22" i="9"/>
  <c r="H22" i="9" s="1"/>
  <c r="E22" i="9"/>
  <c r="I21" i="9"/>
  <c r="G21" i="9"/>
  <c r="F21" i="9"/>
  <c r="H21" i="9" s="1"/>
  <c r="E21" i="9"/>
  <c r="I20" i="9"/>
  <c r="G20" i="9"/>
  <c r="F20" i="9"/>
  <c r="H20" i="9" s="1"/>
  <c r="E20" i="9"/>
  <c r="I19" i="9"/>
  <c r="G19" i="9"/>
  <c r="H19" i="9" s="1"/>
  <c r="F19" i="9"/>
  <c r="E19" i="9"/>
  <c r="I18" i="9"/>
  <c r="G18" i="9"/>
  <c r="F18" i="9"/>
  <c r="H18" i="9" s="1"/>
  <c r="E18" i="9"/>
  <c r="I17" i="9"/>
  <c r="G17" i="9"/>
  <c r="F17" i="9"/>
  <c r="E17" i="9"/>
  <c r="I16" i="9"/>
  <c r="G16" i="9"/>
  <c r="F16" i="9"/>
  <c r="E16" i="9"/>
  <c r="I15" i="9"/>
  <c r="G15" i="9"/>
  <c r="F15" i="9"/>
  <c r="E15" i="9"/>
  <c r="I14" i="9"/>
  <c r="G14" i="9"/>
  <c r="H14" i="9" s="1"/>
  <c r="F14" i="9"/>
  <c r="E14" i="9"/>
  <c r="I13" i="9"/>
  <c r="H13" i="9"/>
  <c r="G13" i="9"/>
  <c r="F13" i="9"/>
  <c r="E13" i="9"/>
  <c r="I12" i="9"/>
  <c r="G12" i="9"/>
  <c r="F12" i="9"/>
  <c r="H12" i="9" s="1"/>
  <c r="E12" i="9"/>
  <c r="I11" i="9"/>
  <c r="G11" i="9"/>
  <c r="H11" i="9" s="1"/>
  <c r="F11" i="9"/>
  <c r="E11" i="9"/>
  <c r="I10" i="9"/>
  <c r="G10" i="9"/>
  <c r="F10" i="9"/>
  <c r="H10" i="9" s="1"/>
  <c r="E10" i="9"/>
  <c r="I9" i="9"/>
  <c r="G9" i="9"/>
  <c r="F9" i="9"/>
  <c r="E9" i="9"/>
  <c r="I8" i="9"/>
  <c r="G8" i="9"/>
  <c r="H8" i="9" s="1"/>
  <c r="F8" i="9"/>
  <c r="E8" i="9"/>
  <c r="I7" i="9"/>
  <c r="G7" i="9"/>
  <c r="F7" i="9"/>
  <c r="E7" i="9"/>
  <c r="I6" i="9"/>
  <c r="G6" i="9"/>
  <c r="H6" i="9" s="1"/>
  <c r="F6" i="9"/>
  <c r="E6" i="9"/>
  <c r="I5" i="9"/>
  <c r="G5" i="9"/>
  <c r="F5" i="9"/>
  <c r="E5" i="9"/>
  <c r="I4" i="9"/>
  <c r="G4" i="9"/>
  <c r="F4" i="9"/>
  <c r="E4" i="9"/>
  <c r="I3" i="9"/>
  <c r="G3" i="9"/>
  <c r="F3" i="9"/>
  <c r="H3" i="9" s="1"/>
  <c r="E3" i="9"/>
  <c r="I74" i="8"/>
  <c r="G74" i="8"/>
  <c r="F74" i="8"/>
  <c r="E74" i="8"/>
  <c r="I73" i="8"/>
  <c r="G73" i="8"/>
  <c r="H73" i="8" s="1"/>
  <c r="F73" i="8"/>
  <c r="E73" i="8"/>
  <c r="I72" i="8"/>
  <c r="G72" i="8"/>
  <c r="F72" i="8"/>
  <c r="E72" i="8"/>
  <c r="I71" i="8"/>
  <c r="G71" i="8"/>
  <c r="F71" i="8"/>
  <c r="H71" i="8" s="1"/>
  <c r="E71" i="8"/>
  <c r="I70" i="8"/>
  <c r="G70" i="8"/>
  <c r="F70" i="8"/>
  <c r="E70" i="8"/>
  <c r="I69" i="8"/>
  <c r="G69" i="8"/>
  <c r="F69" i="8"/>
  <c r="H69" i="8" s="1"/>
  <c r="E69" i="8"/>
  <c r="I68" i="8"/>
  <c r="G68" i="8"/>
  <c r="F68" i="8"/>
  <c r="H68" i="8" s="1"/>
  <c r="E68" i="8"/>
  <c r="I67" i="8"/>
  <c r="G67" i="8"/>
  <c r="F67" i="8"/>
  <c r="E67" i="8"/>
  <c r="I66" i="8"/>
  <c r="G66" i="8"/>
  <c r="F66" i="8"/>
  <c r="H66" i="8" s="1"/>
  <c r="E66" i="8"/>
  <c r="I65" i="8"/>
  <c r="G65" i="8"/>
  <c r="F65" i="8"/>
  <c r="E65" i="8"/>
  <c r="I64" i="8"/>
  <c r="G64" i="8"/>
  <c r="H64" i="8" s="1"/>
  <c r="F64" i="8"/>
  <c r="E64" i="8"/>
  <c r="I63" i="8"/>
  <c r="G63" i="8"/>
  <c r="F63" i="8"/>
  <c r="H63" i="8" s="1"/>
  <c r="E63" i="8"/>
  <c r="I62" i="8"/>
  <c r="G62" i="8"/>
  <c r="F62" i="8"/>
  <c r="E62" i="8"/>
  <c r="I61" i="8"/>
  <c r="G61" i="8"/>
  <c r="F61" i="8"/>
  <c r="H61" i="8" s="1"/>
  <c r="E61" i="8"/>
  <c r="I60" i="8"/>
  <c r="G60" i="8"/>
  <c r="F60" i="8"/>
  <c r="H60" i="8" s="1"/>
  <c r="E60" i="8"/>
  <c r="I59" i="8"/>
  <c r="G59" i="8"/>
  <c r="F59" i="8"/>
  <c r="H59" i="8" s="1"/>
  <c r="E59" i="8"/>
  <c r="I58" i="8"/>
  <c r="G58" i="8"/>
  <c r="F58" i="8"/>
  <c r="H58" i="8" s="1"/>
  <c r="E58" i="8"/>
  <c r="I57" i="8"/>
  <c r="G57" i="8"/>
  <c r="F57" i="8"/>
  <c r="E57" i="8"/>
  <c r="I56" i="8"/>
  <c r="G56" i="8"/>
  <c r="F56" i="8"/>
  <c r="H56" i="8" s="1"/>
  <c r="E56" i="8"/>
  <c r="I55" i="8"/>
  <c r="G55" i="8"/>
  <c r="F55" i="8"/>
  <c r="H55" i="8" s="1"/>
  <c r="E55" i="8"/>
  <c r="I54" i="8"/>
  <c r="G54" i="8"/>
  <c r="F54" i="8"/>
  <c r="H54" i="8" s="1"/>
  <c r="E54" i="8"/>
  <c r="I53" i="8"/>
  <c r="G53" i="8"/>
  <c r="F53" i="8"/>
  <c r="H53" i="8" s="1"/>
  <c r="E53" i="8"/>
  <c r="I52" i="8"/>
  <c r="G52" i="8"/>
  <c r="H52" i="8" s="1"/>
  <c r="F52" i="8"/>
  <c r="E52" i="8"/>
  <c r="I51" i="8"/>
  <c r="G51" i="8"/>
  <c r="F51" i="8"/>
  <c r="H51" i="8" s="1"/>
  <c r="E51" i="8"/>
  <c r="I50" i="8"/>
  <c r="G50" i="8"/>
  <c r="F50" i="8"/>
  <c r="E50" i="8"/>
  <c r="I49" i="8"/>
  <c r="G49" i="8"/>
  <c r="F49" i="8"/>
  <c r="E49" i="8"/>
  <c r="I48" i="8"/>
  <c r="H48" i="8"/>
  <c r="G48" i="8"/>
  <c r="F48" i="8"/>
  <c r="E48" i="8"/>
  <c r="I47" i="8"/>
  <c r="G47" i="8"/>
  <c r="F47" i="8"/>
  <c r="H47" i="8" s="1"/>
  <c r="E47" i="8"/>
  <c r="I46" i="8"/>
  <c r="G46" i="8"/>
  <c r="F46" i="8"/>
  <c r="E46" i="8"/>
  <c r="I45" i="8"/>
  <c r="G45" i="8"/>
  <c r="F45" i="8"/>
  <c r="H45" i="8" s="1"/>
  <c r="E45" i="8"/>
  <c r="I44" i="8"/>
  <c r="G44" i="8"/>
  <c r="F44" i="8"/>
  <c r="H44" i="8" s="1"/>
  <c r="E44" i="8"/>
  <c r="I43" i="8"/>
  <c r="G43" i="8"/>
  <c r="F43" i="8"/>
  <c r="H43" i="8" s="1"/>
  <c r="E43" i="8"/>
  <c r="I42" i="8"/>
  <c r="G42" i="8"/>
  <c r="F42" i="8"/>
  <c r="E42" i="8"/>
  <c r="I41" i="8"/>
  <c r="G41" i="8"/>
  <c r="F41" i="8"/>
  <c r="E41" i="8"/>
  <c r="I40" i="8"/>
  <c r="H40" i="8"/>
  <c r="G40" i="8"/>
  <c r="F40" i="8"/>
  <c r="E40" i="8"/>
  <c r="I39" i="8"/>
  <c r="G39" i="8"/>
  <c r="F39" i="8"/>
  <c r="E39" i="8"/>
  <c r="I38" i="8"/>
  <c r="G38" i="8"/>
  <c r="F38" i="8"/>
  <c r="H38" i="8" s="1"/>
  <c r="E38" i="8"/>
  <c r="I37" i="8"/>
  <c r="H37" i="8"/>
  <c r="G37" i="8"/>
  <c r="F37" i="8"/>
  <c r="E37" i="8"/>
  <c r="I36" i="8"/>
  <c r="G36" i="8"/>
  <c r="H36" i="8" s="1"/>
  <c r="F36" i="8"/>
  <c r="E36" i="8"/>
  <c r="I35" i="8"/>
  <c r="G35" i="8"/>
  <c r="F35" i="8"/>
  <c r="H35" i="8" s="1"/>
  <c r="E35" i="8"/>
  <c r="I34" i="8"/>
  <c r="G34" i="8"/>
  <c r="F34" i="8"/>
  <c r="E34" i="8"/>
  <c r="I33" i="8"/>
  <c r="G33" i="8"/>
  <c r="F33" i="8"/>
  <c r="E33" i="8"/>
  <c r="I32" i="8"/>
  <c r="G32" i="8"/>
  <c r="F32" i="8"/>
  <c r="H32" i="8" s="1"/>
  <c r="E32" i="8"/>
  <c r="I31" i="8"/>
  <c r="G31" i="8"/>
  <c r="F31" i="8"/>
  <c r="E31" i="8"/>
  <c r="I30" i="8"/>
  <c r="G30" i="8"/>
  <c r="F30" i="8"/>
  <c r="H30" i="8" s="1"/>
  <c r="E30" i="8"/>
  <c r="I29" i="8"/>
  <c r="H29" i="8"/>
  <c r="G29" i="8"/>
  <c r="F29" i="8"/>
  <c r="E29" i="8"/>
  <c r="I28" i="8"/>
  <c r="H28" i="8"/>
  <c r="G28" i="8"/>
  <c r="F28" i="8"/>
  <c r="E28" i="8"/>
  <c r="I27" i="8"/>
  <c r="G27" i="8"/>
  <c r="F27" i="8"/>
  <c r="H27" i="8" s="1"/>
  <c r="E27" i="8"/>
  <c r="I26" i="8"/>
  <c r="G26" i="8"/>
  <c r="F26" i="8"/>
  <c r="H26" i="8" s="1"/>
  <c r="E26" i="8"/>
  <c r="I25" i="8"/>
  <c r="G25" i="8"/>
  <c r="F25" i="8"/>
  <c r="E25" i="8"/>
  <c r="I24" i="8"/>
  <c r="G24" i="8"/>
  <c r="F24" i="8"/>
  <c r="H24" i="8" s="1"/>
  <c r="E24" i="8"/>
  <c r="I23" i="8"/>
  <c r="G23" i="8"/>
  <c r="F23" i="8"/>
  <c r="E23" i="8"/>
  <c r="I22" i="8"/>
  <c r="G22" i="8"/>
  <c r="F22" i="8"/>
  <c r="H22" i="8" s="1"/>
  <c r="E22" i="8"/>
  <c r="I21" i="8"/>
  <c r="G21" i="8"/>
  <c r="F21" i="8"/>
  <c r="H21" i="8" s="1"/>
  <c r="E21" i="8"/>
  <c r="I20" i="8"/>
  <c r="H20" i="8"/>
  <c r="G20" i="8"/>
  <c r="F20" i="8"/>
  <c r="E20" i="8"/>
  <c r="I19" i="8"/>
  <c r="G19" i="8"/>
  <c r="F19" i="8"/>
  <c r="E19" i="8"/>
  <c r="I18" i="8"/>
  <c r="G18" i="8"/>
  <c r="F18" i="8"/>
  <c r="H18" i="8" s="1"/>
  <c r="E18" i="8"/>
  <c r="I17" i="8"/>
  <c r="G17" i="8"/>
  <c r="F17" i="8"/>
  <c r="H17" i="8" s="1"/>
  <c r="E17" i="8"/>
  <c r="I16" i="8"/>
  <c r="G16" i="8"/>
  <c r="F16" i="8"/>
  <c r="H16" i="8" s="1"/>
  <c r="E16" i="8"/>
  <c r="I15" i="8"/>
  <c r="G15" i="8"/>
  <c r="F15" i="8"/>
  <c r="H15" i="8" s="1"/>
  <c r="E15" i="8"/>
  <c r="I14" i="8"/>
  <c r="G14" i="8"/>
  <c r="F14" i="8"/>
  <c r="E14" i="8"/>
  <c r="I13" i="8"/>
  <c r="G13" i="8"/>
  <c r="F13" i="8"/>
  <c r="H13" i="8" s="1"/>
  <c r="E13" i="8"/>
  <c r="I12" i="8"/>
  <c r="G12" i="8"/>
  <c r="F12" i="8"/>
  <c r="H12" i="8" s="1"/>
  <c r="E12" i="8"/>
  <c r="I11" i="8"/>
  <c r="G11" i="8"/>
  <c r="F11" i="8"/>
  <c r="H11" i="8" s="1"/>
  <c r="E11" i="8"/>
  <c r="I10" i="8"/>
  <c r="H10" i="8"/>
  <c r="G10" i="8"/>
  <c r="F10" i="8"/>
  <c r="E10" i="8"/>
  <c r="I9" i="8"/>
  <c r="G9" i="8"/>
  <c r="F9" i="8"/>
  <c r="H9" i="8" s="1"/>
  <c r="E9" i="8"/>
  <c r="I8" i="8"/>
  <c r="G8" i="8"/>
  <c r="F8" i="8"/>
  <c r="H8" i="8" s="1"/>
  <c r="E8" i="8"/>
  <c r="I7" i="8"/>
  <c r="G7" i="8"/>
  <c r="F7" i="8"/>
  <c r="H7" i="8" s="1"/>
  <c r="E7" i="8"/>
  <c r="I6" i="8"/>
  <c r="G6" i="8"/>
  <c r="F6" i="8"/>
  <c r="E6" i="8"/>
  <c r="I5" i="8"/>
  <c r="G5" i="8"/>
  <c r="H5" i="8" s="1"/>
  <c r="F5" i="8"/>
  <c r="E5" i="8"/>
  <c r="I4" i="8"/>
  <c r="G4" i="8"/>
  <c r="F4" i="8"/>
  <c r="E4" i="8"/>
  <c r="I3" i="8"/>
  <c r="G3" i="8"/>
  <c r="F3" i="8"/>
  <c r="H3" i="8" s="1"/>
  <c r="E3" i="8"/>
  <c r="I74" i="7"/>
  <c r="G74" i="7"/>
  <c r="H74" i="7" s="1"/>
  <c r="F74" i="7"/>
  <c r="E74" i="7"/>
  <c r="I73" i="7"/>
  <c r="G73" i="7"/>
  <c r="F73" i="7"/>
  <c r="H73" i="7" s="1"/>
  <c r="E73" i="7"/>
  <c r="I72" i="7"/>
  <c r="G72" i="7"/>
  <c r="F72" i="7"/>
  <c r="E72" i="7"/>
  <c r="I71" i="7"/>
  <c r="G71" i="7"/>
  <c r="F71" i="7"/>
  <c r="H71" i="7" s="1"/>
  <c r="E71" i="7"/>
  <c r="I70" i="7"/>
  <c r="G70" i="7"/>
  <c r="F70" i="7"/>
  <c r="H70" i="7" s="1"/>
  <c r="E70" i="7"/>
  <c r="I69" i="7"/>
  <c r="G69" i="7"/>
  <c r="F69" i="7"/>
  <c r="H69" i="7" s="1"/>
  <c r="E69" i="7"/>
  <c r="I68" i="7"/>
  <c r="G68" i="7"/>
  <c r="F68" i="7"/>
  <c r="H68" i="7" s="1"/>
  <c r="E68" i="7"/>
  <c r="I67" i="7"/>
  <c r="H67" i="7"/>
  <c r="G67" i="7"/>
  <c r="F67" i="7"/>
  <c r="E67" i="7"/>
  <c r="I66" i="7"/>
  <c r="G66" i="7"/>
  <c r="H66" i="7" s="1"/>
  <c r="F66" i="7"/>
  <c r="E66" i="7"/>
  <c r="I65" i="7"/>
  <c r="G65" i="7"/>
  <c r="F65" i="7"/>
  <c r="H65" i="7" s="1"/>
  <c r="E65" i="7"/>
  <c r="I64" i="7"/>
  <c r="G64" i="7"/>
  <c r="H64" i="7" s="1"/>
  <c r="F64" i="7"/>
  <c r="E64" i="7"/>
  <c r="I63" i="7"/>
  <c r="G63" i="7"/>
  <c r="F63" i="7"/>
  <c r="H63" i="7" s="1"/>
  <c r="E63" i="7"/>
  <c r="I62" i="7"/>
  <c r="G62" i="7"/>
  <c r="F62" i="7"/>
  <c r="E62" i="7"/>
  <c r="I61" i="7"/>
  <c r="G61" i="7"/>
  <c r="H61" i="7" s="1"/>
  <c r="F61" i="7"/>
  <c r="E61" i="7"/>
  <c r="I60" i="7"/>
  <c r="G60" i="7"/>
  <c r="F60" i="7"/>
  <c r="H60" i="7" s="1"/>
  <c r="E60" i="7"/>
  <c r="I59" i="7"/>
  <c r="G59" i="7"/>
  <c r="F59" i="7"/>
  <c r="H59" i="7" s="1"/>
  <c r="E59" i="7"/>
  <c r="I58" i="7"/>
  <c r="G58" i="7"/>
  <c r="H58" i="7" s="1"/>
  <c r="F58" i="7"/>
  <c r="E58" i="7"/>
  <c r="I57" i="7"/>
  <c r="G57" i="7"/>
  <c r="F57" i="7"/>
  <c r="H57" i="7" s="1"/>
  <c r="E57" i="7"/>
  <c r="I56" i="7"/>
  <c r="G56" i="7"/>
  <c r="H56" i="7" s="1"/>
  <c r="F56" i="7"/>
  <c r="E56" i="7"/>
  <c r="I55" i="7"/>
  <c r="G55" i="7"/>
  <c r="F55" i="7"/>
  <c r="H55" i="7" s="1"/>
  <c r="E55" i="7"/>
  <c r="I54" i="7"/>
  <c r="G54" i="7"/>
  <c r="F54" i="7"/>
  <c r="E54" i="7"/>
  <c r="I53" i="7"/>
  <c r="G53" i="7"/>
  <c r="F53" i="7"/>
  <c r="H53" i="7" s="1"/>
  <c r="E53" i="7"/>
  <c r="I52" i="7"/>
  <c r="G52" i="7"/>
  <c r="H52" i="7" s="1"/>
  <c r="F52" i="7"/>
  <c r="E52" i="7"/>
  <c r="I51" i="7"/>
  <c r="G51" i="7"/>
  <c r="F51" i="7"/>
  <c r="H51" i="7" s="1"/>
  <c r="E51" i="7"/>
  <c r="I50" i="7"/>
  <c r="G50" i="7"/>
  <c r="F50" i="7"/>
  <c r="H50" i="7" s="1"/>
  <c r="E50" i="7"/>
  <c r="I49" i="7"/>
  <c r="G49" i="7"/>
  <c r="F49" i="7"/>
  <c r="E49" i="7"/>
  <c r="I48" i="7"/>
  <c r="G48" i="7"/>
  <c r="F48" i="7"/>
  <c r="E48" i="7"/>
  <c r="I47" i="7"/>
  <c r="G47" i="7"/>
  <c r="F47" i="7"/>
  <c r="E47" i="7"/>
  <c r="I46" i="7"/>
  <c r="G46" i="7"/>
  <c r="F46" i="7"/>
  <c r="H46" i="7" s="1"/>
  <c r="E46" i="7"/>
  <c r="I45" i="7"/>
  <c r="H45" i="7"/>
  <c r="G45" i="7"/>
  <c r="F45" i="7"/>
  <c r="E45" i="7"/>
  <c r="I44" i="7"/>
  <c r="G44" i="7"/>
  <c r="F44" i="7"/>
  <c r="E44" i="7"/>
  <c r="I43" i="7"/>
  <c r="G43" i="7"/>
  <c r="H43" i="7" s="1"/>
  <c r="F43" i="7"/>
  <c r="E43" i="7"/>
  <c r="I42" i="7"/>
  <c r="G42" i="7"/>
  <c r="F42" i="7"/>
  <c r="H42" i="7" s="1"/>
  <c r="E42" i="7"/>
  <c r="I41" i="7"/>
  <c r="G41" i="7"/>
  <c r="F41" i="7"/>
  <c r="H41" i="7" s="1"/>
  <c r="E41" i="7"/>
  <c r="I40" i="7"/>
  <c r="G40" i="7"/>
  <c r="H40" i="7" s="1"/>
  <c r="F40" i="7"/>
  <c r="E40" i="7"/>
  <c r="I39" i="7"/>
  <c r="G39" i="7"/>
  <c r="F39" i="7"/>
  <c r="H39" i="7" s="1"/>
  <c r="E39" i="7"/>
  <c r="I38" i="7"/>
  <c r="G38" i="7"/>
  <c r="F38" i="7"/>
  <c r="E38" i="7"/>
  <c r="I37" i="7"/>
  <c r="G37" i="7"/>
  <c r="F37" i="7"/>
  <c r="H37" i="7" s="1"/>
  <c r="E37" i="7"/>
  <c r="I36" i="7"/>
  <c r="G36" i="7"/>
  <c r="F36" i="7"/>
  <c r="E36" i="7"/>
  <c r="I35" i="7"/>
  <c r="G35" i="7"/>
  <c r="F35" i="7"/>
  <c r="H35" i="7" s="1"/>
  <c r="E35" i="7"/>
  <c r="I34" i="7"/>
  <c r="G34" i="7"/>
  <c r="H34" i="7" s="1"/>
  <c r="F34" i="7"/>
  <c r="E34" i="7"/>
  <c r="I33" i="7"/>
  <c r="G33" i="7"/>
  <c r="F33" i="7"/>
  <c r="H33" i="7" s="1"/>
  <c r="E33" i="7"/>
  <c r="I32" i="7"/>
  <c r="G32" i="7"/>
  <c r="H32" i="7" s="1"/>
  <c r="F32" i="7"/>
  <c r="E32" i="7"/>
  <c r="I31" i="7"/>
  <c r="G31" i="7"/>
  <c r="F31" i="7"/>
  <c r="H31" i="7" s="1"/>
  <c r="E31" i="7"/>
  <c r="I30" i="7"/>
  <c r="G30" i="7"/>
  <c r="F30" i="7"/>
  <c r="E30" i="7"/>
  <c r="I29" i="7"/>
  <c r="G29" i="7"/>
  <c r="F29" i="7"/>
  <c r="H29" i="7" s="1"/>
  <c r="E29" i="7"/>
  <c r="I28" i="7"/>
  <c r="G28" i="7"/>
  <c r="F28" i="7"/>
  <c r="E28" i="7"/>
  <c r="I27" i="7"/>
  <c r="H27" i="7"/>
  <c r="G27" i="7"/>
  <c r="F27" i="7"/>
  <c r="E27" i="7"/>
  <c r="I26" i="7"/>
  <c r="G26" i="7"/>
  <c r="F26" i="7"/>
  <c r="H26" i="7" s="1"/>
  <c r="E26" i="7"/>
  <c r="I25" i="7"/>
  <c r="G25" i="7"/>
  <c r="F25" i="7"/>
  <c r="H25" i="7" s="1"/>
  <c r="E25" i="7"/>
  <c r="I24" i="7"/>
  <c r="G24" i="7"/>
  <c r="H24" i="7" s="1"/>
  <c r="F24" i="7"/>
  <c r="E24" i="7"/>
  <c r="I23" i="7"/>
  <c r="G23" i="7"/>
  <c r="F23" i="7"/>
  <c r="H23" i="7" s="1"/>
  <c r="E23" i="7"/>
  <c r="I22" i="7"/>
  <c r="G22" i="7"/>
  <c r="F22" i="7"/>
  <c r="E22" i="7"/>
  <c r="I21" i="7"/>
  <c r="G21" i="7"/>
  <c r="H21" i="7" s="1"/>
  <c r="F21" i="7"/>
  <c r="E21" i="7"/>
  <c r="I20" i="7"/>
  <c r="G20" i="7"/>
  <c r="F20" i="7"/>
  <c r="H20" i="7" s="1"/>
  <c r="E20" i="7"/>
  <c r="I19" i="7"/>
  <c r="H19" i="7"/>
  <c r="G19" i="7"/>
  <c r="F19" i="7"/>
  <c r="E19" i="7"/>
  <c r="I18" i="7"/>
  <c r="H18" i="7"/>
  <c r="G18" i="7"/>
  <c r="F18" i="7"/>
  <c r="E18" i="7"/>
  <c r="I17" i="7"/>
  <c r="G17" i="7"/>
  <c r="F17" i="7"/>
  <c r="H17" i="7" s="1"/>
  <c r="E17" i="7"/>
  <c r="I16" i="7"/>
  <c r="G16" i="7"/>
  <c r="F16" i="7"/>
  <c r="E16" i="7"/>
  <c r="I15" i="7"/>
  <c r="G15" i="7"/>
  <c r="F15" i="7"/>
  <c r="E15" i="7"/>
  <c r="I14" i="7"/>
  <c r="H14" i="7"/>
  <c r="G14" i="7"/>
  <c r="F14" i="7"/>
  <c r="E14" i="7"/>
  <c r="I13" i="7"/>
  <c r="H13" i="7"/>
  <c r="G13" i="7"/>
  <c r="F13" i="7"/>
  <c r="E13" i="7"/>
  <c r="I12" i="7"/>
  <c r="G12" i="7"/>
  <c r="H12" i="7" s="1"/>
  <c r="F12" i="7"/>
  <c r="E12" i="7"/>
  <c r="I11" i="7"/>
  <c r="G11" i="7"/>
  <c r="F11" i="7"/>
  <c r="H11" i="7" s="1"/>
  <c r="E11" i="7"/>
  <c r="I10" i="7"/>
  <c r="G10" i="7"/>
  <c r="F10" i="7"/>
  <c r="E10" i="7"/>
  <c r="I9" i="7"/>
  <c r="G9" i="7"/>
  <c r="F9" i="7"/>
  <c r="E9" i="7"/>
  <c r="I8" i="7"/>
  <c r="G8" i="7"/>
  <c r="F8" i="7"/>
  <c r="H8" i="7" s="1"/>
  <c r="E8" i="7"/>
  <c r="I7" i="7"/>
  <c r="G7" i="7"/>
  <c r="H7" i="7" s="1"/>
  <c r="F7" i="7"/>
  <c r="E7" i="7"/>
  <c r="I6" i="7"/>
  <c r="G6" i="7"/>
  <c r="F6" i="7"/>
  <c r="H6" i="7" s="1"/>
  <c r="E6" i="7"/>
  <c r="I5" i="7"/>
  <c r="G5" i="7"/>
  <c r="F5" i="7"/>
  <c r="H5" i="7" s="1"/>
  <c r="E5" i="7"/>
  <c r="I4" i="7"/>
  <c r="G4" i="7"/>
  <c r="F4" i="7"/>
  <c r="E4" i="7"/>
  <c r="I3" i="7"/>
  <c r="G3" i="7"/>
  <c r="F3" i="7"/>
  <c r="H3" i="7" s="1"/>
  <c r="E3" i="7"/>
  <c r="I74" i="6"/>
  <c r="I73" i="6"/>
  <c r="G73" i="6"/>
  <c r="F73" i="6"/>
  <c r="E73" i="6"/>
  <c r="I72" i="6"/>
  <c r="G72" i="6"/>
  <c r="F72" i="6"/>
  <c r="H72" i="6" s="1"/>
  <c r="E72" i="6"/>
  <c r="I71" i="6"/>
  <c r="G71" i="6"/>
  <c r="F71" i="6"/>
  <c r="E71" i="6"/>
  <c r="I70" i="6"/>
  <c r="G70" i="6"/>
  <c r="F70" i="6"/>
  <c r="H70" i="6" s="1"/>
  <c r="E70" i="6"/>
  <c r="I69" i="6"/>
  <c r="H69" i="6"/>
  <c r="G69" i="6"/>
  <c r="F69" i="6"/>
  <c r="E69" i="6"/>
  <c r="I68" i="6"/>
  <c r="H68" i="6"/>
  <c r="G68" i="6"/>
  <c r="F68" i="6"/>
  <c r="E68" i="6"/>
  <c r="I67" i="6"/>
  <c r="G67" i="6"/>
  <c r="F67" i="6"/>
  <c r="H67" i="6" s="1"/>
  <c r="E67" i="6"/>
  <c r="I66" i="6"/>
  <c r="G66" i="6"/>
  <c r="H66" i="6" s="1"/>
  <c r="F66" i="6"/>
  <c r="E66" i="6"/>
  <c r="I65" i="6"/>
  <c r="G65" i="6"/>
  <c r="F65" i="6"/>
  <c r="H65" i="6" s="1"/>
  <c r="E65" i="6"/>
  <c r="I64" i="6"/>
  <c r="G64" i="6"/>
  <c r="H64" i="6" s="1"/>
  <c r="F64" i="6"/>
  <c r="E64" i="6"/>
  <c r="I63" i="6"/>
  <c r="G63" i="6"/>
  <c r="F63" i="6"/>
  <c r="H63" i="6" s="1"/>
  <c r="E63" i="6"/>
  <c r="I62" i="6"/>
  <c r="G62" i="6"/>
  <c r="F62" i="6"/>
  <c r="E62" i="6"/>
  <c r="I61" i="6"/>
  <c r="G61" i="6"/>
  <c r="F61" i="6"/>
  <c r="H61" i="6" s="1"/>
  <c r="E61" i="6"/>
  <c r="I60" i="6"/>
  <c r="H60" i="6"/>
  <c r="G60" i="6"/>
  <c r="F60" i="6"/>
  <c r="E60" i="6"/>
  <c r="I59" i="6"/>
  <c r="H59" i="6"/>
  <c r="G59" i="6"/>
  <c r="F59" i="6"/>
  <c r="E59" i="6"/>
  <c r="I58" i="6"/>
  <c r="G58" i="6"/>
  <c r="H58" i="6" s="1"/>
  <c r="F58" i="6"/>
  <c r="E58" i="6"/>
  <c r="I57" i="6"/>
  <c r="G57" i="6"/>
  <c r="F57" i="6"/>
  <c r="H57" i="6" s="1"/>
  <c r="E57" i="6"/>
  <c r="I56" i="6"/>
  <c r="G56" i="6"/>
  <c r="F56" i="6"/>
  <c r="E56" i="6"/>
  <c r="I55" i="6"/>
  <c r="G55" i="6"/>
  <c r="F55" i="6"/>
  <c r="H55" i="6" s="1"/>
  <c r="E55" i="6"/>
  <c r="I54" i="6"/>
  <c r="G54" i="6"/>
  <c r="F54" i="6"/>
  <c r="H54" i="6" s="1"/>
  <c r="E54" i="6"/>
  <c r="I53" i="6"/>
  <c r="G53" i="6"/>
  <c r="F53" i="6"/>
  <c r="H53" i="6" s="1"/>
  <c r="E53" i="6"/>
  <c r="I52" i="6"/>
  <c r="G52" i="6"/>
  <c r="F52" i="6"/>
  <c r="H52" i="6" s="1"/>
  <c r="E52" i="6"/>
  <c r="I51" i="6"/>
  <c r="H51" i="6"/>
  <c r="G51" i="6"/>
  <c r="F51" i="6"/>
  <c r="E51" i="6"/>
  <c r="I50" i="6"/>
  <c r="G50" i="6"/>
  <c r="F50" i="6"/>
  <c r="E50" i="6"/>
  <c r="I49" i="6"/>
  <c r="G49" i="6"/>
  <c r="F49" i="6"/>
  <c r="E49" i="6"/>
  <c r="I48" i="6"/>
  <c r="G48" i="6"/>
  <c r="F48" i="6"/>
  <c r="E48" i="6"/>
  <c r="I47" i="6"/>
  <c r="G47" i="6"/>
  <c r="F47" i="6"/>
  <c r="E47" i="6"/>
  <c r="I46" i="6"/>
  <c r="G46" i="6"/>
  <c r="F46" i="6"/>
  <c r="H46" i="6" s="1"/>
  <c r="E46" i="6"/>
  <c r="I45" i="6"/>
  <c r="G45" i="6"/>
  <c r="F45" i="6"/>
  <c r="E45" i="6"/>
  <c r="I44" i="6"/>
  <c r="G44" i="6"/>
  <c r="H44" i="6" s="1"/>
  <c r="F44" i="6"/>
  <c r="E44" i="6"/>
  <c r="I43" i="6"/>
  <c r="H43" i="6"/>
  <c r="G43" i="6"/>
  <c r="F43" i="6"/>
  <c r="E43" i="6"/>
  <c r="I42" i="6"/>
  <c r="G42" i="6"/>
  <c r="F42" i="6"/>
  <c r="E42" i="6"/>
  <c r="I41" i="6"/>
  <c r="G41" i="6"/>
  <c r="F41" i="6"/>
  <c r="E41" i="6"/>
  <c r="I40" i="6"/>
  <c r="G40" i="6"/>
  <c r="F40" i="6"/>
  <c r="E40" i="6"/>
  <c r="I39" i="6"/>
  <c r="G39" i="6"/>
  <c r="F39" i="6"/>
  <c r="H39" i="6" s="1"/>
  <c r="E39" i="6"/>
  <c r="I38" i="6"/>
  <c r="G38" i="6"/>
  <c r="F38" i="6"/>
  <c r="H38" i="6" s="1"/>
  <c r="E38" i="6"/>
  <c r="I37" i="6"/>
  <c r="G37" i="6"/>
  <c r="F37" i="6"/>
  <c r="E37" i="6"/>
  <c r="I36" i="6"/>
  <c r="G36" i="6"/>
  <c r="F36" i="6"/>
  <c r="H36" i="6" s="1"/>
  <c r="E36" i="6"/>
  <c r="I35" i="6"/>
  <c r="G35" i="6"/>
  <c r="F35" i="6"/>
  <c r="H35" i="6" s="1"/>
  <c r="E35" i="6"/>
  <c r="I34" i="6"/>
  <c r="H34" i="6"/>
  <c r="G34" i="6"/>
  <c r="F34" i="6"/>
  <c r="E34" i="6"/>
  <c r="I33" i="6"/>
  <c r="G33" i="6"/>
  <c r="F33" i="6"/>
  <c r="E33" i="6"/>
  <c r="I32" i="6"/>
  <c r="G32" i="6"/>
  <c r="H32" i="6" s="1"/>
  <c r="F32" i="6"/>
  <c r="E32" i="6"/>
  <c r="I31" i="6"/>
  <c r="G31" i="6"/>
  <c r="F31" i="6"/>
  <c r="E31" i="6"/>
  <c r="I30" i="6"/>
  <c r="G30" i="6"/>
  <c r="F30" i="6"/>
  <c r="E30" i="6"/>
  <c r="I29" i="6"/>
  <c r="G29" i="6"/>
  <c r="F29" i="6"/>
  <c r="E29" i="6"/>
  <c r="I28" i="6"/>
  <c r="G28" i="6"/>
  <c r="H28" i="6" s="1"/>
  <c r="F28" i="6"/>
  <c r="E28" i="6"/>
  <c r="I27" i="6"/>
  <c r="G27" i="6"/>
  <c r="F27" i="6"/>
  <c r="H27" i="6" s="1"/>
  <c r="E27" i="6"/>
  <c r="I26" i="6"/>
  <c r="G26" i="6"/>
  <c r="F26" i="6"/>
  <c r="H26" i="6" s="1"/>
  <c r="E26" i="6"/>
  <c r="I25" i="6"/>
  <c r="G25" i="6"/>
  <c r="F25" i="6"/>
  <c r="E25" i="6"/>
  <c r="I24" i="6"/>
  <c r="G24" i="6"/>
  <c r="F24" i="6"/>
  <c r="E24" i="6"/>
  <c r="I23" i="6"/>
  <c r="G23" i="6"/>
  <c r="F23" i="6"/>
  <c r="E23" i="6"/>
  <c r="I22" i="6"/>
  <c r="G22" i="6"/>
  <c r="F22" i="6"/>
  <c r="H22" i="6" s="1"/>
  <c r="E22" i="6"/>
  <c r="I21" i="6"/>
  <c r="G21" i="6"/>
  <c r="F21" i="6"/>
  <c r="E21" i="6"/>
  <c r="I20" i="6"/>
  <c r="G20" i="6"/>
  <c r="H20" i="6" s="1"/>
  <c r="F20" i="6"/>
  <c r="E20" i="6"/>
  <c r="I19" i="6"/>
  <c r="H19" i="6"/>
  <c r="G19" i="6"/>
  <c r="F19" i="6"/>
  <c r="E19" i="6"/>
  <c r="I18" i="6"/>
  <c r="G18" i="6"/>
  <c r="F18" i="6"/>
  <c r="H18" i="6" s="1"/>
  <c r="E18" i="6"/>
  <c r="I17" i="6"/>
  <c r="G17" i="6"/>
  <c r="F17" i="6"/>
  <c r="H17" i="6" s="1"/>
  <c r="E17" i="6"/>
  <c r="I16" i="6"/>
  <c r="G16" i="6"/>
  <c r="F16" i="6"/>
  <c r="H16" i="6" s="1"/>
  <c r="E16" i="6"/>
  <c r="I15" i="6"/>
  <c r="G15" i="6"/>
  <c r="F15" i="6"/>
  <c r="E15" i="6"/>
  <c r="I14" i="6"/>
  <c r="G14" i="6"/>
  <c r="F14" i="6"/>
  <c r="H14" i="6" s="1"/>
  <c r="E14" i="6"/>
  <c r="I13" i="6"/>
  <c r="G13" i="6"/>
  <c r="F13" i="6"/>
  <c r="H13" i="6" s="1"/>
  <c r="E13" i="6"/>
  <c r="I12" i="6"/>
  <c r="G12" i="6"/>
  <c r="H12" i="6" s="1"/>
  <c r="F12" i="6"/>
  <c r="E12" i="6"/>
  <c r="I11" i="6"/>
  <c r="G11" i="6"/>
  <c r="F11" i="6"/>
  <c r="H11" i="6" s="1"/>
  <c r="E11" i="6"/>
  <c r="I10" i="6"/>
  <c r="H10" i="6"/>
  <c r="G10" i="6"/>
  <c r="F10" i="6"/>
  <c r="E10" i="6"/>
  <c r="I9" i="6"/>
  <c r="G9" i="6"/>
  <c r="F9" i="6"/>
  <c r="E9" i="6"/>
  <c r="I8" i="6"/>
  <c r="G8" i="6"/>
  <c r="F8" i="6"/>
  <c r="H8" i="6" s="1"/>
  <c r="E8" i="6"/>
  <c r="I7" i="6"/>
  <c r="G7" i="6"/>
  <c r="H7" i="6" s="1"/>
  <c r="F7" i="6"/>
  <c r="E7" i="6"/>
  <c r="I6" i="6"/>
  <c r="G6" i="6"/>
  <c r="H6" i="6" s="1"/>
  <c r="F6" i="6"/>
  <c r="E6" i="6"/>
  <c r="I5" i="6"/>
  <c r="G5" i="6"/>
  <c r="F5" i="6"/>
  <c r="H5" i="6" s="1"/>
  <c r="E5" i="6"/>
  <c r="I4" i="6"/>
  <c r="G4" i="6"/>
  <c r="F4" i="6"/>
  <c r="E4" i="6"/>
  <c r="I3" i="6"/>
  <c r="G3" i="6"/>
  <c r="F3" i="6"/>
  <c r="E3" i="6"/>
  <c r="I70" i="5"/>
  <c r="G70" i="5"/>
  <c r="F70" i="5"/>
  <c r="E70" i="5"/>
  <c r="I69" i="5"/>
  <c r="G69" i="5"/>
  <c r="F69" i="5"/>
  <c r="E69" i="5"/>
  <c r="I68" i="5"/>
  <c r="G68" i="5"/>
  <c r="F68" i="5"/>
  <c r="E68" i="5"/>
  <c r="I67" i="5"/>
  <c r="G67" i="5"/>
  <c r="F67" i="5"/>
  <c r="E67" i="5"/>
  <c r="I66" i="5"/>
  <c r="G66" i="5"/>
  <c r="F66" i="5"/>
  <c r="E66" i="5"/>
  <c r="I65" i="5"/>
  <c r="G65" i="5"/>
  <c r="F65" i="5"/>
  <c r="E65" i="5"/>
  <c r="I64" i="5"/>
  <c r="G64" i="5"/>
  <c r="F64" i="5"/>
  <c r="E64" i="5"/>
  <c r="I63" i="5"/>
  <c r="G63" i="5"/>
  <c r="F63" i="5"/>
  <c r="E63" i="5"/>
  <c r="I62" i="5"/>
  <c r="G62" i="5"/>
  <c r="F62" i="5"/>
  <c r="E62" i="5"/>
  <c r="I61" i="5"/>
  <c r="G61" i="5"/>
  <c r="F61" i="5"/>
  <c r="E61" i="5"/>
  <c r="I60" i="5"/>
  <c r="G60" i="5"/>
  <c r="F60" i="5"/>
  <c r="E60" i="5"/>
  <c r="I59" i="5"/>
  <c r="G59" i="5"/>
  <c r="F59" i="5"/>
  <c r="E59" i="5"/>
  <c r="I58" i="5"/>
  <c r="G58" i="5"/>
  <c r="F58" i="5"/>
  <c r="E58" i="5"/>
  <c r="I57" i="5"/>
  <c r="G57" i="5"/>
  <c r="F57" i="5"/>
  <c r="E57" i="5"/>
  <c r="I56" i="5"/>
  <c r="G56" i="5"/>
  <c r="F56" i="5"/>
  <c r="E56" i="5"/>
  <c r="I55" i="5"/>
  <c r="G55" i="5"/>
  <c r="F55" i="5"/>
  <c r="E55" i="5"/>
  <c r="I54" i="5"/>
  <c r="G54" i="5"/>
  <c r="F54" i="5"/>
  <c r="E54" i="5"/>
  <c r="I53" i="5"/>
  <c r="G53" i="5"/>
  <c r="F53" i="5"/>
  <c r="E53" i="5"/>
  <c r="I52" i="5"/>
  <c r="G52" i="5"/>
  <c r="F52" i="5"/>
  <c r="E52" i="5"/>
  <c r="I51" i="5"/>
  <c r="G51" i="5"/>
  <c r="F51" i="5"/>
  <c r="E51" i="5"/>
  <c r="I50" i="5"/>
  <c r="G50" i="5"/>
  <c r="F50" i="5"/>
  <c r="E50" i="5"/>
  <c r="I49" i="5"/>
  <c r="G49" i="5"/>
  <c r="F49" i="5"/>
  <c r="E49" i="5"/>
  <c r="I48" i="5"/>
  <c r="G48" i="5"/>
  <c r="F48" i="5"/>
  <c r="E48" i="5"/>
  <c r="I47" i="5"/>
  <c r="G47" i="5"/>
  <c r="F47" i="5"/>
  <c r="E47" i="5"/>
  <c r="I46" i="5"/>
  <c r="G46" i="5"/>
  <c r="F46" i="5"/>
  <c r="E46" i="5"/>
  <c r="I45" i="5"/>
  <c r="G45" i="5"/>
  <c r="F45" i="5"/>
  <c r="E45" i="5"/>
  <c r="I44" i="5"/>
  <c r="G44" i="5"/>
  <c r="F44" i="5"/>
  <c r="E44" i="5"/>
  <c r="I43" i="5"/>
  <c r="G43" i="5"/>
  <c r="F43" i="5"/>
  <c r="E43" i="5"/>
  <c r="I42" i="5"/>
  <c r="G42" i="5"/>
  <c r="F42" i="5"/>
  <c r="E42" i="5"/>
  <c r="I41" i="5"/>
  <c r="G41" i="5"/>
  <c r="F41" i="5"/>
  <c r="E41" i="5"/>
  <c r="I40" i="5"/>
  <c r="G40" i="5"/>
  <c r="F40" i="5"/>
  <c r="E40" i="5"/>
  <c r="I39" i="5"/>
  <c r="G39" i="5"/>
  <c r="F39" i="5"/>
  <c r="E39" i="5"/>
  <c r="I38" i="5"/>
  <c r="G38" i="5"/>
  <c r="F38" i="5"/>
  <c r="E38" i="5"/>
  <c r="I37" i="5"/>
  <c r="G37" i="5"/>
  <c r="F37" i="5"/>
  <c r="E37" i="5"/>
  <c r="I36" i="5"/>
  <c r="G36" i="5"/>
  <c r="F36" i="5"/>
  <c r="E36" i="5"/>
  <c r="I35" i="5"/>
  <c r="G35" i="5"/>
  <c r="F35" i="5"/>
  <c r="E35" i="5"/>
  <c r="I34" i="5"/>
  <c r="G34" i="5"/>
  <c r="F34" i="5"/>
  <c r="E34" i="5"/>
  <c r="I33" i="5"/>
  <c r="G33" i="5"/>
  <c r="F33" i="5"/>
  <c r="E33" i="5"/>
  <c r="I32" i="5"/>
  <c r="G32" i="5"/>
  <c r="F32" i="5"/>
  <c r="E32" i="5"/>
  <c r="I31" i="5"/>
  <c r="G31" i="5"/>
  <c r="F31" i="5"/>
  <c r="E31" i="5"/>
  <c r="I30" i="5"/>
  <c r="G30" i="5"/>
  <c r="F30" i="5"/>
  <c r="E30" i="5"/>
  <c r="I29" i="5"/>
  <c r="G29" i="5"/>
  <c r="F29" i="5"/>
  <c r="E29" i="5"/>
  <c r="I28" i="5"/>
  <c r="G28" i="5"/>
  <c r="F28" i="5"/>
  <c r="E28" i="5"/>
  <c r="I27" i="5"/>
  <c r="G27" i="5"/>
  <c r="F27" i="5"/>
  <c r="E27" i="5"/>
  <c r="I26" i="5"/>
  <c r="G26" i="5"/>
  <c r="F26" i="5"/>
  <c r="E26" i="5"/>
  <c r="I25" i="5"/>
  <c r="G25" i="5"/>
  <c r="F25" i="5"/>
  <c r="E25" i="5"/>
  <c r="I24" i="5"/>
  <c r="G24" i="5"/>
  <c r="F24" i="5"/>
  <c r="E24" i="5"/>
  <c r="I23" i="5"/>
  <c r="G23" i="5"/>
  <c r="F23" i="5"/>
  <c r="E23" i="5"/>
  <c r="I22" i="5"/>
  <c r="G22" i="5"/>
  <c r="F22" i="5"/>
  <c r="E22" i="5"/>
  <c r="I21" i="5"/>
  <c r="G21" i="5"/>
  <c r="F21" i="5"/>
  <c r="E21" i="5"/>
  <c r="I20" i="5"/>
  <c r="G20" i="5"/>
  <c r="F20" i="5"/>
  <c r="E20" i="5"/>
  <c r="I19" i="5"/>
  <c r="G19" i="5"/>
  <c r="F19" i="5"/>
  <c r="E19" i="5"/>
  <c r="I18" i="5"/>
  <c r="G18" i="5"/>
  <c r="F18" i="5"/>
  <c r="E18" i="5"/>
  <c r="I17" i="5"/>
  <c r="G17" i="5"/>
  <c r="F17" i="5"/>
  <c r="E17" i="5"/>
  <c r="I16" i="5"/>
  <c r="G16" i="5"/>
  <c r="F16" i="5"/>
  <c r="E16" i="5"/>
  <c r="I15" i="5"/>
  <c r="G15" i="5"/>
  <c r="F15" i="5"/>
  <c r="E15" i="5"/>
  <c r="I14" i="5"/>
  <c r="G14" i="5"/>
  <c r="F14" i="5"/>
  <c r="E14" i="5"/>
  <c r="I13" i="5"/>
  <c r="G13" i="5"/>
  <c r="F13" i="5"/>
  <c r="E13" i="5"/>
  <c r="I12" i="5"/>
  <c r="G12" i="5"/>
  <c r="F12" i="5"/>
  <c r="E12" i="5"/>
  <c r="I11" i="5"/>
  <c r="G11" i="5"/>
  <c r="F11" i="5"/>
  <c r="E11" i="5"/>
  <c r="I10" i="5"/>
  <c r="G10" i="5"/>
  <c r="F10" i="5"/>
  <c r="E10" i="5"/>
  <c r="I9" i="5"/>
  <c r="G9" i="5"/>
  <c r="F9" i="5"/>
  <c r="E9" i="5"/>
  <c r="I8" i="5"/>
  <c r="G8" i="5"/>
  <c r="F8" i="5"/>
  <c r="E8" i="5"/>
  <c r="I7" i="5"/>
  <c r="G7" i="5"/>
  <c r="F7" i="5"/>
  <c r="E7" i="5"/>
  <c r="I6" i="5"/>
  <c r="G6" i="5"/>
  <c r="F6" i="5"/>
  <c r="E6" i="5"/>
  <c r="I5" i="5"/>
  <c r="G5" i="5"/>
  <c r="F5" i="5"/>
  <c r="E5" i="5"/>
  <c r="I4" i="5"/>
  <c r="G4" i="5"/>
  <c r="F4" i="5"/>
  <c r="E4" i="5"/>
  <c r="I3" i="5"/>
  <c r="G3" i="5"/>
  <c r="F3" i="5"/>
  <c r="E3" i="5"/>
  <c r="I71" i="4"/>
  <c r="I70" i="4"/>
  <c r="G70" i="4"/>
  <c r="F70" i="4"/>
  <c r="E70" i="4"/>
  <c r="I69" i="4"/>
  <c r="G69" i="4"/>
  <c r="F69" i="4"/>
  <c r="H69" i="4" s="1"/>
  <c r="E69" i="4"/>
  <c r="I68" i="4"/>
  <c r="G68" i="4"/>
  <c r="F68" i="4"/>
  <c r="E68" i="4"/>
  <c r="I67" i="4"/>
  <c r="G67" i="4"/>
  <c r="F67" i="4"/>
  <c r="H67" i="4" s="1"/>
  <c r="E67" i="4"/>
  <c r="I66" i="4"/>
  <c r="G66" i="4"/>
  <c r="F66" i="4"/>
  <c r="E66" i="4"/>
  <c r="I65" i="4"/>
  <c r="G65" i="4"/>
  <c r="F65" i="4"/>
  <c r="E65" i="4"/>
  <c r="I64" i="4"/>
  <c r="G64" i="4"/>
  <c r="H64" i="4" s="1"/>
  <c r="F64" i="4"/>
  <c r="E64" i="4"/>
  <c r="I63" i="4"/>
  <c r="G63" i="4"/>
  <c r="F63" i="4"/>
  <c r="E63" i="4"/>
  <c r="I62" i="4"/>
  <c r="G62" i="4"/>
  <c r="F62" i="4"/>
  <c r="E62" i="4"/>
  <c r="I61" i="4"/>
  <c r="G61" i="4"/>
  <c r="F61" i="4"/>
  <c r="H61" i="4" s="1"/>
  <c r="E61" i="4"/>
  <c r="I60" i="4"/>
  <c r="G60" i="4"/>
  <c r="F60" i="4"/>
  <c r="E60" i="4"/>
  <c r="I59" i="4"/>
  <c r="G59" i="4"/>
  <c r="F59" i="4"/>
  <c r="H59" i="4" s="1"/>
  <c r="E59" i="4"/>
  <c r="I58" i="4"/>
  <c r="G58" i="4"/>
  <c r="F58" i="4"/>
  <c r="E58" i="4"/>
  <c r="I57" i="4"/>
  <c r="G57" i="4"/>
  <c r="F57" i="4"/>
  <c r="E57" i="4"/>
  <c r="I56" i="4"/>
  <c r="G56" i="4"/>
  <c r="F56" i="4"/>
  <c r="E56" i="4"/>
  <c r="I55" i="4"/>
  <c r="G55" i="4"/>
  <c r="F55" i="4"/>
  <c r="E55" i="4"/>
  <c r="I54" i="4"/>
  <c r="G54" i="4"/>
  <c r="F54" i="4"/>
  <c r="E54" i="4"/>
  <c r="I53" i="4"/>
  <c r="G53" i="4"/>
  <c r="F53" i="4"/>
  <c r="H53" i="4" s="1"/>
  <c r="E53" i="4"/>
  <c r="I52" i="4"/>
  <c r="H52" i="4"/>
  <c r="G52" i="4"/>
  <c r="F52" i="4"/>
  <c r="E52" i="4"/>
  <c r="I51" i="4"/>
  <c r="G51" i="4"/>
  <c r="F51" i="4"/>
  <c r="E51" i="4"/>
  <c r="I50" i="4"/>
  <c r="G50" i="4"/>
  <c r="F50" i="4"/>
  <c r="E50" i="4"/>
  <c r="I49" i="4"/>
  <c r="G49" i="4"/>
  <c r="F49" i="4"/>
  <c r="E49" i="4"/>
  <c r="I48" i="4"/>
  <c r="G48" i="4"/>
  <c r="F48" i="4"/>
  <c r="E48" i="4"/>
  <c r="I47" i="4"/>
  <c r="G47" i="4"/>
  <c r="F47" i="4"/>
  <c r="E47" i="4"/>
  <c r="I46" i="4"/>
  <c r="G46" i="4"/>
  <c r="F46" i="4"/>
  <c r="E46" i="4"/>
  <c r="I45" i="4"/>
  <c r="G45" i="4"/>
  <c r="F45" i="4"/>
  <c r="E45" i="4"/>
  <c r="I44" i="4"/>
  <c r="G44" i="4"/>
  <c r="F44" i="4"/>
  <c r="E44" i="4"/>
  <c r="I43" i="4"/>
  <c r="G43" i="4"/>
  <c r="F43" i="4"/>
  <c r="E43" i="4"/>
  <c r="I42" i="4"/>
  <c r="G42" i="4"/>
  <c r="F42" i="4"/>
  <c r="E42" i="4"/>
  <c r="I41" i="4"/>
  <c r="G41" i="4"/>
  <c r="H41" i="4" s="1"/>
  <c r="F41" i="4"/>
  <c r="E41" i="4"/>
  <c r="I40" i="4"/>
  <c r="G40" i="4"/>
  <c r="F40" i="4"/>
  <c r="E40" i="4"/>
  <c r="I39" i="4"/>
  <c r="G39" i="4"/>
  <c r="F39" i="4"/>
  <c r="E39" i="4"/>
  <c r="I38" i="4"/>
  <c r="G38" i="4"/>
  <c r="F38" i="4"/>
  <c r="E38" i="4"/>
  <c r="I37" i="4"/>
  <c r="G37" i="4"/>
  <c r="F37" i="4"/>
  <c r="E37" i="4"/>
  <c r="I36" i="4"/>
  <c r="G36" i="4"/>
  <c r="F36" i="4"/>
  <c r="E36" i="4"/>
  <c r="I35" i="4"/>
  <c r="G35" i="4"/>
  <c r="F35" i="4"/>
  <c r="E35" i="4"/>
  <c r="I34" i="4"/>
  <c r="G34" i="4"/>
  <c r="F34" i="4"/>
  <c r="E34" i="4"/>
  <c r="I33" i="4"/>
  <c r="G33" i="4"/>
  <c r="F33" i="4"/>
  <c r="E33" i="4"/>
  <c r="I32" i="4"/>
  <c r="G32" i="4"/>
  <c r="F32" i="4"/>
  <c r="H32" i="4" s="1"/>
  <c r="E32" i="4"/>
  <c r="I31" i="4"/>
  <c r="G31" i="4"/>
  <c r="F31" i="4"/>
  <c r="E31" i="4"/>
  <c r="I30" i="4"/>
  <c r="G30" i="4"/>
  <c r="F30" i="4"/>
  <c r="E30" i="4"/>
  <c r="I29" i="4"/>
  <c r="G29" i="4"/>
  <c r="F29" i="4"/>
  <c r="E29" i="4"/>
  <c r="I28" i="4"/>
  <c r="G28" i="4"/>
  <c r="F28" i="4"/>
  <c r="H28" i="4" s="1"/>
  <c r="E28" i="4"/>
  <c r="I27" i="4"/>
  <c r="G27" i="4"/>
  <c r="F27" i="4"/>
  <c r="E27" i="4"/>
  <c r="I26" i="4"/>
  <c r="G26" i="4"/>
  <c r="F26" i="4"/>
  <c r="H26" i="4" s="1"/>
  <c r="E26" i="4"/>
  <c r="I25" i="4"/>
  <c r="G25" i="4"/>
  <c r="F25" i="4"/>
  <c r="E25" i="4"/>
  <c r="I24" i="4"/>
  <c r="G24" i="4"/>
  <c r="F24" i="4"/>
  <c r="H24" i="4" s="1"/>
  <c r="E24" i="4"/>
  <c r="I23" i="4"/>
  <c r="G23" i="4"/>
  <c r="F23" i="4"/>
  <c r="E23" i="4"/>
  <c r="I22" i="4"/>
  <c r="G22" i="4"/>
  <c r="F22" i="4"/>
  <c r="E22" i="4"/>
  <c r="I21" i="4"/>
  <c r="G21" i="4"/>
  <c r="F21" i="4"/>
  <c r="E21" i="4"/>
  <c r="I20" i="4"/>
  <c r="G20" i="4"/>
  <c r="F20" i="4"/>
  <c r="H20" i="4" s="1"/>
  <c r="E20" i="4"/>
  <c r="I19" i="4"/>
  <c r="G19" i="4"/>
  <c r="F19" i="4"/>
  <c r="E19" i="4"/>
  <c r="I18" i="4"/>
  <c r="G18" i="4"/>
  <c r="F18" i="4"/>
  <c r="H18" i="4" s="1"/>
  <c r="E18" i="4"/>
  <c r="I17" i="4"/>
  <c r="G17" i="4"/>
  <c r="F17" i="4"/>
  <c r="E17" i="4"/>
  <c r="I16" i="4"/>
  <c r="G16" i="4"/>
  <c r="F16" i="4"/>
  <c r="H16" i="4" s="1"/>
  <c r="E16" i="4"/>
  <c r="I15" i="4"/>
  <c r="G15" i="4"/>
  <c r="F15" i="4"/>
  <c r="E15" i="4"/>
  <c r="I14" i="4"/>
  <c r="G14" i="4"/>
  <c r="F14" i="4"/>
  <c r="H14" i="4" s="1"/>
  <c r="E14" i="4"/>
  <c r="I13" i="4"/>
  <c r="H13" i="4"/>
  <c r="G13" i="4"/>
  <c r="F13" i="4"/>
  <c r="E13" i="4"/>
  <c r="I12" i="4"/>
  <c r="G12" i="4"/>
  <c r="H12" i="4" s="1"/>
  <c r="F12" i="4"/>
  <c r="E12" i="4"/>
  <c r="I11" i="4"/>
  <c r="G11" i="4"/>
  <c r="F11" i="4"/>
  <c r="E11" i="4"/>
  <c r="I10" i="4"/>
  <c r="G10" i="4"/>
  <c r="F10" i="4"/>
  <c r="E10" i="4"/>
  <c r="I9" i="4"/>
  <c r="G9" i="4"/>
  <c r="F9" i="4"/>
  <c r="E9" i="4"/>
  <c r="I8" i="4"/>
  <c r="G8" i="4"/>
  <c r="F8" i="4"/>
  <c r="E8" i="4"/>
  <c r="I7" i="4"/>
  <c r="G7" i="4"/>
  <c r="F7" i="4"/>
  <c r="E7" i="4"/>
  <c r="I6" i="4"/>
  <c r="G6" i="4"/>
  <c r="F6" i="4"/>
  <c r="E6" i="4"/>
  <c r="I5" i="4"/>
  <c r="G5" i="4"/>
  <c r="F5" i="4"/>
  <c r="E5" i="4"/>
  <c r="I4" i="4"/>
  <c r="G4" i="4"/>
  <c r="F4" i="4"/>
  <c r="E4" i="4"/>
  <c r="I3" i="4"/>
  <c r="G3" i="4"/>
  <c r="F3" i="4"/>
  <c r="E3" i="4"/>
  <c r="I70" i="3"/>
  <c r="G70" i="3"/>
  <c r="F70" i="3"/>
  <c r="E70" i="3"/>
  <c r="I69" i="3"/>
  <c r="G69" i="3"/>
  <c r="F69" i="3"/>
  <c r="H69" i="3" s="1"/>
  <c r="E69" i="3"/>
  <c r="I68" i="3"/>
  <c r="G68" i="3"/>
  <c r="F68" i="3"/>
  <c r="E68" i="3"/>
  <c r="I67" i="3"/>
  <c r="G67" i="3"/>
  <c r="F67" i="3"/>
  <c r="H67" i="3" s="1"/>
  <c r="E67" i="3"/>
  <c r="I66" i="3"/>
  <c r="G66" i="3"/>
  <c r="F66" i="3"/>
  <c r="E66" i="3"/>
  <c r="I65" i="3"/>
  <c r="G65" i="3"/>
  <c r="F65" i="3"/>
  <c r="H65" i="3" s="1"/>
  <c r="E65" i="3"/>
  <c r="I64" i="3"/>
  <c r="G64" i="3"/>
  <c r="F64" i="3"/>
  <c r="E64" i="3"/>
  <c r="I63" i="3"/>
  <c r="G63" i="3"/>
  <c r="F63" i="3"/>
  <c r="E63" i="3"/>
  <c r="I62" i="3"/>
  <c r="G62" i="3"/>
  <c r="F62" i="3"/>
  <c r="E62" i="3"/>
  <c r="I61" i="3"/>
  <c r="G61" i="3"/>
  <c r="F61" i="3"/>
  <c r="E61" i="3"/>
  <c r="I60" i="3"/>
  <c r="G60" i="3"/>
  <c r="F60" i="3"/>
  <c r="H60" i="3" s="1"/>
  <c r="E60" i="3"/>
  <c r="I59" i="3"/>
  <c r="G59" i="3"/>
  <c r="F59" i="3"/>
  <c r="E59" i="3"/>
  <c r="I58" i="3"/>
  <c r="G58" i="3"/>
  <c r="F58" i="3"/>
  <c r="E58" i="3"/>
  <c r="I57" i="3"/>
  <c r="G57" i="3"/>
  <c r="F57" i="3"/>
  <c r="E57" i="3"/>
  <c r="I56" i="3"/>
  <c r="G56" i="3"/>
  <c r="F56" i="3"/>
  <c r="H56" i="3" s="1"/>
  <c r="E56" i="3"/>
  <c r="I55" i="3"/>
  <c r="G55" i="3"/>
  <c r="F55" i="3"/>
  <c r="E55" i="3"/>
  <c r="I54" i="3"/>
  <c r="G54" i="3"/>
  <c r="F54" i="3"/>
  <c r="H54" i="3" s="1"/>
  <c r="E54" i="3"/>
  <c r="I53" i="3"/>
  <c r="G53" i="3"/>
  <c r="F53" i="3"/>
  <c r="E53" i="3"/>
  <c r="I52" i="3"/>
  <c r="G52" i="3"/>
  <c r="F52" i="3"/>
  <c r="H52" i="3" s="1"/>
  <c r="E52" i="3"/>
  <c r="I51" i="3"/>
  <c r="G51" i="3"/>
  <c r="F51" i="3"/>
  <c r="E51" i="3"/>
  <c r="I50" i="3"/>
  <c r="G50" i="3"/>
  <c r="F50" i="3"/>
  <c r="E50" i="3"/>
  <c r="I49" i="3"/>
  <c r="G49" i="3"/>
  <c r="F49" i="3"/>
  <c r="E49" i="3"/>
  <c r="I48" i="3"/>
  <c r="G48" i="3"/>
  <c r="F48" i="3"/>
  <c r="E48" i="3"/>
  <c r="I47" i="3"/>
  <c r="G47" i="3"/>
  <c r="F47" i="3"/>
  <c r="E47" i="3"/>
  <c r="I46" i="3"/>
  <c r="G46" i="3"/>
  <c r="F46" i="3"/>
  <c r="H46" i="3" s="1"/>
  <c r="E46" i="3"/>
  <c r="I45" i="3"/>
  <c r="G45" i="3"/>
  <c r="F45" i="3"/>
  <c r="E45" i="3"/>
  <c r="I44" i="3"/>
  <c r="G44" i="3"/>
  <c r="F44" i="3"/>
  <c r="E44" i="3"/>
  <c r="I43" i="3"/>
  <c r="G43" i="3"/>
  <c r="F43" i="3"/>
  <c r="E43" i="3"/>
  <c r="I42" i="3"/>
  <c r="G42" i="3"/>
  <c r="F42" i="3"/>
  <c r="H42" i="3" s="1"/>
  <c r="E42" i="3"/>
  <c r="I41" i="3"/>
  <c r="G41" i="3"/>
  <c r="F41" i="3"/>
  <c r="E41" i="3"/>
  <c r="I40" i="3"/>
  <c r="G40" i="3"/>
  <c r="F40" i="3"/>
  <c r="E40" i="3"/>
  <c r="I39" i="3"/>
  <c r="G39" i="3"/>
  <c r="F39" i="3"/>
  <c r="E39" i="3"/>
  <c r="I38" i="3"/>
  <c r="G38" i="3"/>
  <c r="F38" i="3"/>
  <c r="E38" i="3"/>
  <c r="I37" i="3"/>
  <c r="G37" i="3"/>
  <c r="F37" i="3"/>
  <c r="E37" i="3"/>
  <c r="I36" i="3"/>
  <c r="G36" i="3"/>
  <c r="F36" i="3"/>
  <c r="E36" i="3"/>
  <c r="I35" i="3"/>
  <c r="G35" i="3"/>
  <c r="F35" i="3"/>
  <c r="E35" i="3"/>
  <c r="I34" i="3"/>
  <c r="G34" i="3"/>
  <c r="F34" i="3"/>
  <c r="E34" i="3"/>
  <c r="I33" i="3"/>
  <c r="G33" i="3"/>
  <c r="F33" i="3"/>
  <c r="E33" i="3"/>
  <c r="I32" i="3"/>
  <c r="G32" i="3"/>
  <c r="F32" i="3"/>
  <c r="E32" i="3"/>
  <c r="I31" i="3"/>
  <c r="G31" i="3"/>
  <c r="F31" i="3"/>
  <c r="E31" i="3"/>
  <c r="I30" i="3"/>
  <c r="G30" i="3"/>
  <c r="F30" i="3"/>
  <c r="E30" i="3"/>
  <c r="I29" i="3"/>
  <c r="G29" i="3"/>
  <c r="F29" i="3"/>
  <c r="E29" i="3"/>
  <c r="I28" i="3"/>
  <c r="G28" i="3"/>
  <c r="F28" i="3"/>
  <c r="E28" i="3"/>
  <c r="I27" i="3"/>
  <c r="G27" i="3"/>
  <c r="F27" i="3"/>
  <c r="E27" i="3"/>
  <c r="I26" i="3"/>
  <c r="G26" i="3"/>
  <c r="F26" i="3"/>
  <c r="E26" i="3"/>
  <c r="I25" i="3"/>
  <c r="G25" i="3"/>
  <c r="F25" i="3"/>
  <c r="E25" i="3"/>
  <c r="I24" i="3"/>
  <c r="G24" i="3"/>
  <c r="F24" i="3"/>
  <c r="E24" i="3"/>
  <c r="I23" i="3"/>
  <c r="G23" i="3"/>
  <c r="F23" i="3"/>
  <c r="E23" i="3"/>
  <c r="I22" i="3"/>
  <c r="G22" i="3"/>
  <c r="F22" i="3"/>
  <c r="E22" i="3"/>
  <c r="I21" i="3"/>
  <c r="G21" i="3"/>
  <c r="F21" i="3"/>
  <c r="E21" i="3"/>
  <c r="I20" i="3"/>
  <c r="G20" i="3"/>
  <c r="F20" i="3"/>
  <c r="E20" i="3"/>
  <c r="I19" i="3"/>
  <c r="G19" i="3"/>
  <c r="F19" i="3"/>
  <c r="E19" i="3"/>
  <c r="I18" i="3"/>
  <c r="G18" i="3"/>
  <c r="F18" i="3"/>
  <c r="E18" i="3"/>
  <c r="I17" i="3"/>
  <c r="G17" i="3"/>
  <c r="H17" i="3" s="1"/>
  <c r="F17" i="3"/>
  <c r="E17" i="3"/>
  <c r="I16" i="3"/>
  <c r="G16" i="3"/>
  <c r="F16" i="3"/>
  <c r="E16" i="3"/>
  <c r="I15" i="3"/>
  <c r="G15" i="3"/>
  <c r="F15" i="3"/>
  <c r="E15" i="3"/>
  <c r="I14" i="3"/>
  <c r="G14" i="3"/>
  <c r="F14" i="3"/>
  <c r="E14" i="3"/>
  <c r="I13" i="3"/>
  <c r="G13" i="3"/>
  <c r="F13" i="3"/>
  <c r="E13" i="3"/>
  <c r="I12" i="3"/>
  <c r="G12" i="3"/>
  <c r="F12" i="3"/>
  <c r="E12" i="3"/>
  <c r="I11" i="3"/>
  <c r="G11" i="3"/>
  <c r="F11" i="3"/>
  <c r="E11" i="3"/>
  <c r="I10" i="3"/>
  <c r="G10" i="3"/>
  <c r="F10" i="3"/>
  <c r="E10" i="3"/>
  <c r="I9" i="3"/>
  <c r="G9" i="3"/>
  <c r="F9" i="3"/>
  <c r="E9" i="3"/>
  <c r="I8" i="3"/>
  <c r="G8" i="3"/>
  <c r="F8" i="3"/>
  <c r="E8" i="3"/>
  <c r="I7" i="3"/>
  <c r="G7" i="3"/>
  <c r="F7" i="3"/>
  <c r="E7" i="3"/>
  <c r="I6" i="3"/>
  <c r="G6" i="3"/>
  <c r="F6" i="3"/>
  <c r="H6" i="3" s="1"/>
  <c r="E6" i="3"/>
  <c r="I5" i="3"/>
  <c r="G5" i="3"/>
  <c r="F5" i="3"/>
  <c r="E5" i="3"/>
  <c r="I4" i="3"/>
  <c r="G4" i="3"/>
  <c r="F4" i="3"/>
  <c r="E4" i="3"/>
  <c r="I3" i="3"/>
  <c r="G3" i="3"/>
  <c r="F3" i="3"/>
  <c r="E3" i="3"/>
  <c r="M5" i="2"/>
  <c r="P7" i="11" s="1"/>
  <c r="M4" i="2"/>
  <c r="P7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3" i="1"/>
  <c r="F4" i="1"/>
  <c r="F5" i="1"/>
  <c r="H5" i="1" s="1"/>
  <c r="F6" i="1"/>
  <c r="H6" i="1" s="1"/>
  <c r="F7" i="1"/>
  <c r="H7" i="1" s="1"/>
  <c r="F8" i="1"/>
  <c r="H8" i="1" s="1"/>
  <c r="F9" i="1"/>
  <c r="F10" i="1"/>
  <c r="F11" i="1"/>
  <c r="F12" i="1"/>
  <c r="F13" i="1"/>
  <c r="H13" i="1" s="1"/>
  <c r="F14" i="1"/>
  <c r="F15" i="1"/>
  <c r="H15" i="1" s="1"/>
  <c r="F16" i="1"/>
  <c r="F17" i="1"/>
  <c r="H17" i="1" s="1"/>
  <c r="F18" i="1"/>
  <c r="F19" i="1"/>
  <c r="H19" i="1" s="1"/>
  <c r="F20" i="1"/>
  <c r="F21" i="1"/>
  <c r="F22" i="1"/>
  <c r="F23" i="1"/>
  <c r="H23" i="1" s="1"/>
  <c r="F24" i="1"/>
  <c r="H24" i="1" s="1"/>
  <c r="F25" i="1"/>
  <c r="H25" i="1" s="1"/>
  <c r="F26" i="1"/>
  <c r="F27" i="1"/>
  <c r="F28" i="1"/>
  <c r="H28" i="1" s="1"/>
  <c r="F29" i="1"/>
  <c r="H29" i="1" s="1"/>
  <c r="F30" i="1"/>
  <c r="F31" i="1"/>
  <c r="H31" i="1" s="1"/>
  <c r="F32" i="1"/>
  <c r="H32" i="1" s="1"/>
  <c r="F33" i="1"/>
  <c r="H33" i="1" s="1"/>
  <c r="F34" i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F43" i="1"/>
  <c r="H43" i="1" s="1"/>
  <c r="F44" i="1"/>
  <c r="H44" i="1" s="1"/>
  <c r="F45" i="1"/>
  <c r="H45" i="1" s="1"/>
  <c r="F46" i="1"/>
  <c r="H46" i="1" s="1"/>
  <c r="F47" i="1"/>
  <c r="H47" i="1" s="1"/>
  <c r="F48" i="1"/>
  <c r="F49" i="1"/>
  <c r="H49" i="1" s="1"/>
  <c r="F50" i="1"/>
  <c r="F51" i="1"/>
  <c r="H51" i="1" s="1"/>
  <c r="F52" i="1"/>
  <c r="F53" i="1"/>
  <c r="H53" i="1" s="1"/>
  <c r="F54" i="1"/>
  <c r="H54" i="1" s="1"/>
  <c r="F55" i="1"/>
  <c r="H55" i="1" s="1"/>
  <c r="F56" i="1"/>
  <c r="H56" i="1" s="1"/>
  <c r="F57" i="1"/>
  <c r="H57" i="1" s="1"/>
  <c r="F58" i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F67" i="1"/>
  <c r="H67" i="1" s="1"/>
  <c r="F68" i="1"/>
  <c r="H68" i="1" s="1"/>
  <c r="F69" i="1"/>
  <c r="H69" i="1" s="1"/>
  <c r="F70" i="1"/>
  <c r="F71" i="1"/>
  <c r="H71" i="1" s="1"/>
  <c r="F72" i="1"/>
  <c r="H72" i="1" s="1"/>
  <c r="F73" i="1"/>
  <c r="H73" i="1" s="1"/>
  <c r="F74" i="1"/>
  <c r="F3" i="1"/>
  <c r="H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3" i="1"/>
  <c r="I41" i="15" l="1"/>
  <c r="N23" i="15"/>
  <c r="Y15" i="24" s="1"/>
  <c r="M23" i="15"/>
  <c r="X15" i="24" s="1"/>
  <c r="L23" i="15"/>
  <c r="W15" i="24" s="1"/>
  <c r="K23" i="15"/>
  <c r="V15" i="24" s="1"/>
  <c r="I77" i="23"/>
  <c r="N23" i="23"/>
  <c r="Y23" i="24" s="1"/>
  <c r="M23" i="23"/>
  <c r="X23" i="24" s="1"/>
  <c r="L23" i="23"/>
  <c r="W23" i="24" s="1"/>
  <c r="K23" i="23"/>
  <c r="V23" i="24" s="1"/>
  <c r="I73" i="22"/>
  <c r="K23" i="22"/>
  <c r="V22" i="24" s="1"/>
  <c r="L73" i="22"/>
  <c r="N23" i="22"/>
  <c r="Y22" i="24" s="1"/>
  <c r="O73" i="22"/>
  <c r="L23" i="22"/>
  <c r="W22" i="24" s="1"/>
  <c r="M23" i="22"/>
  <c r="X22" i="24" s="1"/>
  <c r="N73" i="22"/>
  <c r="M73" i="22"/>
  <c r="I77" i="21"/>
  <c r="N23" i="21"/>
  <c r="Y21" i="24" s="1"/>
  <c r="M23" i="21"/>
  <c r="X21" i="24" s="1"/>
  <c r="L23" i="21"/>
  <c r="W21" i="24" s="1"/>
  <c r="K23" i="21"/>
  <c r="V21" i="24" s="1"/>
  <c r="I72" i="20"/>
  <c r="N23" i="20"/>
  <c r="Y20" i="24" s="1"/>
  <c r="O72" i="20"/>
  <c r="M23" i="20"/>
  <c r="X20" i="24" s="1"/>
  <c r="N72" i="20"/>
  <c r="L23" i="20"/>
  <c r="W20" i="24" s="1"/>
  <c r="M72" i="20"/>
  <c r="K23" i="20"/>
  <c r="V20" i="24" s="1"/>
  <c r="L72" i="20"/>
  <c r="I76" i="19"/>
  <c r="N23" i="19"/>
  <c r="Y19" i="24" s="1"/>
  <c r="M23" i="19"/>
  <c r="X19" i="24" s="1"/>
  <c r="L23" i="19"/>
  <c r="W19" i="24" s="1"/>
  <c r="K23" i="19"/>
  <c r="V19" i="24" s="1"/>
  <c r="I73" i="18"/>
  <c r="N23" i="18"/>
  <c r="Y18" i="24" s="1"/>
  <c r="M23" i="18"/>
  <c r="X18" i="24" s="1"/>
  <c r="L23" i="18"/>
  <c r="W18" i="24" s="1"/>
  <c r="K23" i="18"/>
  <c r="V18" i="24" s="1"/>
  <c r="I72" i="17"/>
  <c r="N23" i="17"/>
  <c r="Y17" i="24" s="1"/>
  <c r="M23" i="17"/>
  <c r="X17" i="24" s="1"/>
  <c r="L23" i="17"/>
  <c r="W17" i="24" s="1"/>
  <c r="K23" i="17"/>
  <c r="V17" i="24" s="1"/>
  <c r="M23" i="16"/>
  <c r="X16" i="24" s="1"/>
  <c r="L23" i="16"/>
  <c r="W16" i="24" s="1"/>
  <c r="K23" i="16"/>
  <c r="V16" i="24" s="1"/>
  <c r="N23" i="16"/>
  <c r="Y16" i="24" s="1"/>
  <c r="I73" i="14"/>
  <c r="M23" i="14"/>
  <c r="X14" i="24" s="1"/>
  <c r="L23" i="14"/>
  <c r="W14" i="24" s="1"/>
  <c r="K23" i="14"/>
  <c r="V14" i="24" s="1"/>
  <c r="N23" i="14"/>
  <c r="Y14" i="24" s="1"/>
  <c r="I77" i="13"/>
  <c r="K23" i="13"/>
  <c r="V13" i="24" s="1"/>
  <c r="N23" i="13"/>
  <c r="Y13" i="24" s="1"/>
  <c r="M23" i="13"/>
  <c r="X13" i="24" s="1"/>
  <c r="L23" i="13"/>
  <c r="W13" i="24" s="1"/>
  <c r="I76" i="12"/>
  <c r="N23" i="12"/>
  <c r="Y12" i="24" s="1"/>
  <c r="M23" i="12"/>
  <c r="X12" i="24" s="1"/>
  <c r="L23" i="12"/>
  <c r="W12" i="24" s="1"/>
  <c r="K23" i="12"/>
  <c r="V12" i="24" s="1"/>
  <c r="I73" i="11"/>
  <c r="N23" i="11"/>
  <c r="Y11" i="24" s="1"/>
  <c r="M23" i="11"/>
  <c r="X11" i="24" s="1"/>
  <c r="L23" i="11"/>
  <c r="W11" i="24" s="1"/>
  <c r="K23" i="11"/>
  <c r="V11" i="24" s="1"/>
  <c r="I77" i="10"/>
  <c r="L23" i="10"/>
  <c r="W10" i="24" s="1"/>
  <c r="K23" i="10"/>
  <c r="V10" i="24" s="1"/>
  <c r="M23" i="10"/>
  <c r="X10" i="24" s="1"/>
  <c r="N23" i="10"/>
  <c r="Y10" i="24" s="1"/>
  <c r="I77" i="9"/>
  <c r="N23" i="9"/>
  <c r="Y9" i="24" s="1"/>
  <c r="M23" i="9"/>
  <c r="X9" i="24" s="1"/>
  <c r="L23" i="9"/>
  <c r="W9" i="24" s="1"/>
  <c r="K23" i="9"/>
  <c r="V9" i="24" s="1"/>
  <c r="I77" i="8"/>
  <c r="N23" i="8"/>
  <c r="Y8" i="24" s="1"/>
  <c r="M23" i="8"/>
  <c r="X8" i="24" s="1"/>
  <c r="L23" i="8"/>
  <c r="W8" i="24" s="1"/>
  <c r="K23" i="8"/>
  <c r="V8" i="24" s="1"/>
  <c r="I77" i="7"/>
  <c r="N23" i="7"/>
  <c r="Y7" i="24" s="1"/>
  <c r="M23" i="7"/>
  <c r="X7" i="24" s="1"/>
  <c r="L23" i="7"/>
  <c r="W7" i="24" s="1"/>
  <c r="K23" i="7"/>
  <c r="V7" i="24" s="1"/>
  <c r="L23" i="6"/>
  <c r="W6" i="24" s="1"/>
  <c r="K23" i="6"/>
  <c r="V6" i="24" s="1"/>
  <c r="N23" i="6"/>
  <c r="Y6" i="24" s="1"/>
  <c r="M23" i="6"/>
  <c r="X6" i="24" s="1"/>
  <c r="I73" i="4"/>
  <c r="N23" i="4"/>
  <c r="Y4" i="24" s="1"/>
  <c r="M23" i="4"/>
  <c r="X4" i="24" s="1"/>
  <c r="L23" i="4"/>
  <c r="W4" i="24" s="1"/>
  <c r="K23" i="4"/>
  <c r="V4" i="24" s="1"/>
  <c r="I73" i="3"/>
  <c r="L23" i="3"/>
  <c r="W3" i="24" s="1"/>
  <c r="K23" i="3"/>
  <c r="V3" i="24" s="1"/>
  <c r="M23" i="3"/>
  <c r="X3" i="24" s="1"/>
  <c r="N23" i="3"/>
  <c r="Y3" i="24" s="1"/>
  <c r="I73" i="5"/>
  <c r="N23" i="5"/>
  <c r="Y5" i="24" s="1"/>
  <c r="M23" i="5"/>
  <c r="X5" i="24" s="1"/>
  <c r="L23" i="5"/>
  <c r="W5" i="24" s="1"/>
  <c r="K23" i="5"/>
  <c r="V5" i="24" s="1"/>
  <c r="P7" i="10"/>
  <c r="P7" i="14"/>
  <c r="P7" i="21"/>
  <c r="I76" i="16"/>
  <c r="O3" i="16"/>
  <c r="G81" i="22"/>
  <c r="G43" i="15"/>
  <c r="H10" i="20"/>
  <c r="G73" i="18"/>
  <c r="G77" i="17"/>
  <c r="H9" i="1"/>
  <c r="H11" i="1"/>
  <c r="G73" i="20"/>
  <c r="G74" i="18"/>
  <c r="G78" i="13"/>
  <c r="H7" i="15"/>
  <c r="H37" i="15"/>
  <c r="H24" i="15"/>
  <c r="H26" i="15"/>
  <c r="H28" i="15"/>
  <c r="G81" i="9"/>
  <c r="G88" i="22"/>
  <c r="G91" i="18"/>
  <c r="G75" i="18"/>
  <c r="H30" i="15"/>
  <c r="H32" i="15"/>
  <c r="H34" i="15"/>
  <c r="H36" i="15"/>
  <c r="H38" i="15"/>
  <c r="G45" i="15"/>
  <c r="G82" i="13"/>
  <c r="G81" i="10"/>
  <c r="G75" i="22"/>
  <c r="G91" i="22"/>
  <c r="G82" i="14"/>
  <c r="G74" i="14"/>
  <c r="H18" i="14"/>
  <c r="H20" i="14"/>
  <c r="H22" i="14"/>
  <c r="H24" i="14"/>
  <c r="H36" i="14"/>
  <c r="H38" i="14"/>
  <c r="G77" i="20"/>
  <c r="G79" i="18"/>
  <c r="G77" i="18"/>
  <c r="G92" i="17"/>
  <c r="G79" i="17"/>
  <c r="G97" i="13"/>
  <c r="G78" i="10"/>
  <c r="G82" i="6"/>
  <c r="G94" i="22"/>
  <c r="G85" i="20"/>
  <c r="G89" i="18"/>
  <c r="G81" i="18"/>
  <c r="H6" i="18"/>
  <c r="H20" i="18"/>
  <c r="H24" i="18"/>
  <c r="H26" i="18"/>
  <c r="H28" i="18"/>
  <c r="H60" i="18"/>
  <c r="H68" i="18"/>
  <c r="H70" i="18"/>
  <c r="G51" i="15"/>
  <c r="H40" i="14"/>
  <c r="H44" i="14"/>
  <c r="H21" i="14"/>
  <c r="H23" i="14"/>
  <c r="H25" i="14"/>
  <c r="H27" i="14"/>
  <c r="H29" i="14"/>
  <c r="G74" i="11"/>
  <c r="G77" i="11"/>
  <c r="G83" i="10"/>
  <c r="G95" i="4"/>
  <c r="G77" i="23"/>
  <c r="H3" i="22"/>
  <c r="H43" i="22"/>
  <c r="H55" i="22"/>
  <c r="H57" i="22"/>
  <c r="H59" i="22"/>
  <c r="H61" i="22"/>
  <c r="H63" i="22"/>
  <c r="H65" i="22"/>
  <c r="H67" i="22"/>
  <c r="G80" i="22"/>
  <c r="H44" i="22"/>
  <c r="H11" i="20"/>
  <c r="H15" i="20"/>
  <c r="H17" i="20"/>
  <c r="H19" i="20"/>
  <c r="H35" i="20"/>
  <c r="H37" i="20"/>
  <c r="H39" i="20"/>
  <c r="H43" i="20"/>
  <c r="H47" i="20"/>
  <c r="H49" i="20"/>
  <c r="H53" i="20"/>
  <c r="H55" i="20"/>
  <c r="H59" i="20"/>
  <c r="H61" i="20"/>
  <c r="G79" i="20"/>
  <c r="H12" i="20"/>
  <c r="H14" i="20"/>
  <c r="H18" i="20"/>
  <c r="H36" i="20"/>
  <c r="H40" i="20"/>
  <c r="H42" i="20"/>
  <c r="H44" i="20"/>
  <c r="H46" i="20"/>
  <c r="H50" i="20"/>
  <c r="G80" i="20"/>
  <c r="G87" i="18"/>
  <c r="G82" i="18"/>
  <c r="G47" i="15"/>
  <c r="H68" i="14"/>
  <c r="G87" i="14"/>
  <c r="H53" i="14"/>
  <c r="H59" i="14"/>
  <c r="H69" i="14"/>
  <c r="G86" i="14"/>
  <c r="G83" i="13"/>
  <c r="G83" i="12"/>
  <c r="G90" i="12"/>
  <c r="G77" i="12"/>
  <c r="G91" i="9"/>
  <c r="G81" i="8"/>
  <c r="G89" i="8"/>
  <c r="G81" i="7"/>
  <c r="G92" i="4"/>
  <c r="G84" i="4"/>
  <c r="G76" i="4"/>
  <c r="G94" i="4"/>
  <c r="G85" i="4"/>
  <c r="G77" i="4"/>
  <c r="G87" i="4"/>
  <c r="G79" i="4"/>
  <c r="G78" i="3"/>
  <c r="H68" i="22"/>
  <c r="G83" i="22"/>
  <c r="G79" i="22"/>
  <c r="G79" i="21"/>
  <c r="G82" i="21"/>
  <c r="G92" i="21"/>
  <c r="G91" i="21"/>
  <c r="G83" i="21"/>
  <c r="G88" i="20"/>
  <c r="G78" i="20"/>
  <c r="G86" i="20"/>
  <c r="G88" i="19"/>
  <c r="G77" i="19"/>
  <c r="G80" i="18"/>
  <c r="H51" i="18"/>
  <c r="H63" i="18"/>
  <c r="H65" i="18"/>
  <c r="H67" i="18"/>
  <c r="H69" i="18"/>
  <c r="G86" i="16"/>
  <c r="G93" i="16"/>
  <c r="G77" i="16"/>
  <c r="H36" i="17"/>
  <c r="H13" i="17"/>
  <c r="H17" i="17"/>
  <c r="H27" i="17"/>
  <c r="G88" i="14"/>
  <c r="G80" i="14"/>
  <c r="H3" i="14"/>
  <c r="G87" i="13"/>
  <c r="G92" i="13"/>
  <c r="G84" i="13"/>
  <c r="G78" i="12"/>
  <c r="G89" i="12"/>
  <c r="G89" i="10"/>
  <c r="G84" i="10"/>
  <c r="G98" i="9"/>
  <c r="G78" i="8"/>
  <c r="G93" i="6"/>
  <c r="G77" i="6"/>
  <c r="G96" i="6"/>
  <c r="G88" i="6"/>
  <c r="G80" i="6"/>
  <c r="G85" i="6"/>
  <c r="G95" i="6"/>
  <c r="G92" i="6"/>
  <c r="G87" i="6"/>
  <c r="G84" i="6"/>
  <c r="G79" i="6"/>
  <c r="G83" i="5"/>
  <c r="H4" i="5"/>
  <c r="H26" i="5"/>
  <c r="H28" i="5"/>
  <c r="H34" i="5"/>
  <c r="H36" i="5"/>
  <c r="H42" i="5"/>
  <c r="H44" i="5"/>
  <c r="H56" i="5"/>
  <c r="H68" i="5"/>
  <c r="H70" i="5"/>
  <c r="G87" i="5"/>
  <c r="G79" i="5"/>
  <c r="G74" i="5"/>
  <c r="G88" i="5"/>
  <c r="G93" i="5"/>
  <c r="G85" i="5"/>
  <c r="G77" i="5"/>
  <c r="G92" i="3"/>
  <c r="G79" i="23"/>
  <c r="G93" i="22"/>
  <c r="G85" i="22"/>
  <c r="G77" i="22"/>
  <c r="G95" i="22"/>
  <c r="G89" i="22"/>
  <c r="G86" i="22"/>
  <c r="G84" i="21"/>
  <c r="G94" i="21"/>
  <c r="G86" i="21"/>
  <c r="G78" i="21"/>
  <c r="G90" i="20"/>
  <c r="G82" i="20"/>
  <c r="G74" i="20"/>
  <c r="G98" i="19"/>
  <c r="G90" i="19"/>
  <c r="G85" i="19"/>
  <c r="G82" i="19"/>
  <c r="G97" i="19"/>
  <c r="G94" i="19"/>
  <c r="G89" i="19"/>
  <c r="G86" i="19"/>
  <c r="G78" i="19"/>
  <c r="G81" i="19"/>
  <c r="G91" i="19"/>
  <c r="G83" i="19"/>
  <c r="G88" i="18"/>
  <c r="G91" i="16"/>
  <c r="G76" i="16"/>
  <c r="G89" i="16"/>
  <c r="G81" i="16"/>
  <c r="G78" i="16"/>
  <c r="G83" i="16"/>
  <c r="G85" i="16"/>
  <c r="G98" i="16"/>
  <c r="G85" i="17"/>
  <c r="G82" i="17"/>
  <c r="G74" i="17"/>
  <c r="G89" i="17"/>
  <c r="G81" i="17"/>
  <c r="G73" i="17"/>
  <c r="G89" i="14"/>
  <c r="G81" i="14"/>
  <c r="G73" i="14"/>
  <c r="G91" i="14"/>
  <c r="G83" i="14"/>
  <c r="G75" i="14"/>
  <c r="G85" i="14"/>
  <c r="G81" i="13"/>
  <c r="G77" i="13"/>
  <c r="G93" i="12"/>
  <c r="G94" i="12"/>
  <c r="G97" i="12"/>
  <c r="G81" i="12"/>
  <c r="G94" i="8"/>
  <c r="G86" i="8"/>
  <c r="G95" i="11"/>
  <c r="G87" i="11"/>
  <c r="G79" i="11"/>
  <c r="G97" i="10"/>
  <c r="G92" i="10"/>
  <c r="G94" i="10"/>
  <c r="G85" i="10"/>
  <c r="G89" i="9"/>
  <c r="G94" i="9"/>
  <c r="G86" i="9"/>
  <c r="G78" i="9"/>
  <c r="G96" i="9"/>
  <c r="G90" i="9"/>
  <c r="G91" i="8"/>
  <c r="G83" i="8"/>
  <c r="G96" i="8"/>
  <c r="G95" i="8"/>
  <c r="G92" i="8"/>
  <c r="G87" i="8"/>
  <c r="G84" i="8"/>
  <c r="G79" i="8"/>
  <c r="G98" i="8"/>
  <c r="G90" i="8"/>
  <c r="G82" i="8"/>
  <c r="G97" i="7"/>
  <c r="G89" i="7"/>
  <c r="G99" i="7"/>
  <c r="G87" i="7"/>
  <c r="G79" i="7"/>
  <c r="G90" i="5"/>
  <c r="G82" i="5"/>
  <c r="H15" i="5"/>
  <c r="H17" i="5"/>
  <c r="H49" i="5"/>
  <c r="G81" i="3"/>
  <c r="G75" i="3"/>
  <c r="G89" i="3"/>
  <c r="G88" i="3"/>
  <c r="G80" i="3"/>
  <c r="G77" i="3"/>
  <c r="G97" i="23"/>
  <c r="G89" i="23"/>
  <c r="G81" i="23"/>
  <c r="G78" i="23"/>
  <c r="G94" i="23"/>
  <c r="G91" i="23"/>
  <c r="G86" i="23"/>
  <c r="G83" i="23"/>
  <c r="G93" i="23"/>
  <c r="G85" i="23"/>
  <c r="G98" i="23"/>
  <c r="G90" i="23"/>
  <c r="G82" i="23"/>
  <c r="G92" i="23"/>
  <c r="G84" i="23"/>
  <c r="G74" i="22"/>
  <c r="H11" i="22"/>
  <c r="H13" i="22"/>
  <c r="H29" i="22"/>
  <c r="G87" i="22"/>
  <c r="G92" i="22"/>
  <c r="G84" i="22"/>
  <c r="G76" i="22"/>
  <c r="G90" i="22"/>
  <c r="G78" i="22"/>
  <c r="I76" i="22"/>
  <c r="G82" i="22"/>
  <c r="H6" i="22"/>
  <c r="H10" i="22"/>
  <c r="H18" i="22"/>
  <c r="G99" i="21"/>
  <c r="G96" i="21"/>
  <c r="G93" i="21"/>
  <c r="G88" i="21"/>
  <c r="G85" i="21"/>
  <c r="G98" i="21"/>
  <c r="G87" i="21"/>
  <c r="G90" i="21"/>
  <c r="H52" i="20"/>
  <c r="G92" i="20"/>
  <c r="G84" i="20"/>
  <c r="G76" i="20"/>
  <c r="G87" i="20"/>
  <c r="H27" i="20"/>
  <c r="G80" i="19"/>
  <c r="G95" i="19"/>
  <c r="G92" i="19"/>
  <c r="G84" i="19"/>
  <c r="G76" i="19"/>
  <c r="G93" i="19"/>
  <c r="G87" i="19"/>
  <c r="G79" i="19"/>
  <c r="G83" i="18"/>
  <c r="H19" i="18"/>
  <c r="H31" i="18"/>
  <c r="G90" i="18"/>
  <c r="G85" i="18"/>
  <c r="G76" i="18"/>
  <c r="G86" i="18"/>
  <c r="G78" i="18"/>
  <c r="G86" i="17"/>
  <c r="H10" i="17"/>
  <c r="H18" i="17"/>
  <c r="H30" i="17"/>
  <c r="G88" i="17"/>
  <c r="G80" i="17"/>
  <c r="G72" i="17"/>
  <c r="G87" i="17"/>
  <c r="H45" i="17"/>
  <c r="H59" i="17"/>
  <c r="H61" i="17"/>
  <c r="H63" i="17"/>
  <c r="H67" i="17"/>
  <c r="G84" i="17"/>
  <c r="G76" i="17"/>
  <c r="G78" i="17"/>
  <c r="G97" i="16"/>
  <c r="G95" i="16"/>
  <c r="G92" i="16"/>
  <c r="G87" i="16"/>
  <c r="G84" i="16"/>
  <c r="G79" i="16"/>
  <c r="G94" i="16"/>
  <c r="G90" i="16"/>
  <c r="G82" i="16"/>
  <c r="G50" i="15"/>
  <c r="G42" i="15"/>
  <c r="H20" i="15"/>
  <c r="G48" i="15"/>
  <c r="O3" i="15"/>
  <c r="G41" i="15"/>
  <c r="G93" i="14"/>
  <c r="G77" i="14"/>
  <c r="G79" i="14"/>
  <c r="G94" i="14"/>
  <c r="G78" i="14"/>
  <c r="G94" i="13"/>
  <c r="G89" i="13"/>
  <c r="G99" i="13"/>
  <c r="G91" i="13"/>
  <c r="G79" i="13"/>
  <c r="G86" i="13"/>
  <c r="G96" i="13"/>
  <c r="G88" i="13"/>
  <c r="G80" i="13"/>
  <c r="G95" i="13"/>
  <c r="G90" i="13"/>
  <c r="G88" i="12"/>
  <c r="G80" i="12"/>
  <c r="G85" i="12"/>
  <c r="G76" i="12"/>
  <c r="G95" i="12"/>
  <c r="G79" i="12"/>
  <c r="G86" i="12"/>
  <c r="G98" i="12"/>
  <c r="G82" i="12"/>
  <c r="G92" i="12"/>
  <c r="G87" i="12"/>
  <c r="G84" i="12"/>
  <c r="O3" i="12"/>
  <c r="G91" i="12"/>
  <c r="G73" i="11"/>
  <c r="G96" i="10"/>
  <c r="G93" i="10"/>
  <c r="G88" i="10"/>
  <c r="G80" i="10"/>
  <c r="G98" i="10"/>
  <c r="G95" i="10"/>
  <c r="G87" i="10"/>
  <c r="G79" i="10"/>
  <c r="G77" i="10"/>
  <c r="G90" i="10"/>
  <c r="L3" i="10"/>
  <c r="M4" i="10"/>
  <c r="G82" i="9"/>
  <c r="G95" i="9"/>
  <c r="G87" i="9"/>
  <c r="G84" i="9"/>
  <c r="M3" i="9"/>
  <c r="G79" i="9"/>
  <c r="G97" i="9"/>
  <c r="G99" i="9"/>
  <c r="G83" i="9"/>
  <c r="G93" i="9"/>
  <c r="G88" i="9"/>
  <c r="G85" i="9"/>
  <c r="G88" i="8"/>
  <c r="G99" i="8"/>
  <c r="G93" i="8"/>
  <c r="G85" i="8"/>
  <c r="P4" i="8"/>
  <c r="G94" i="7"/>
  <c r="G91" i="7"/>
  <c r="G83" i="7"/>
  <c r="G86" i="7"/>
  <c r="G78" i="7"/>
  <c r="G95" i="7"/>
  <c r="G97" i="6"/>
  <c r="G94" i="6"/>
  <c r="G89" i="6"/>
  <c r="G86" i="6"/>
  <c r="G81" i="6"/>
  <c r="G78" i="6"/>
  <c r="G83" i="6"/>
  <c r="G90" i="6"/>
  <c r="L4" i="6"/>
  <c r="I76" i="6"/>
  <c r="O3" i="5"/>
  <c r="G80" i="5"/>
  <c r="H3" i="5"/>
  <c r="H69" i="5"/>
  <c r="G92" i="5"/>
  <c r="G89" i="5"/>
  <c r="G84" i="5"/>
  <c r="G81" i="5"/>
  <c r="G76" i="5"/>
  <c r="H10" i="5"/>
  <c r="H20" i="5"/>
  <c r="G91" i="5"/>
  <c r="G86" i="5"/>
  <c r="G78" i="5"/>
  <c r="G75" i="5"/>
  <c r="P4" i="5"/>
  <c r="G91" i="4"/>
  <c r="G83" i="4"/>
  <c r="G75" i="4"/>
  <c r="G82" i="4"/>
  <c r="G88" i="4"/>
  <c r="G80" i="4"/>
  <c r="O4" i="4"/>
  <c r="M4" i="4"/>
  <c r="L4" i="4"/>
  <c r="P3" i="4"/>
  <c r="O3" i="4"/>
  <c r="M3" i="4"/>
  <c r="L3" i="4"/>
  <c r="P4" i="4"/>
  <c r="G90" i="4"/>
  <c r="G74" i="4"/>
  <c r="G84" i="3"/>
  <c r="G86" i="3"/>
  <c r="G93" i="3"/>
  <c r="G82" i="3"/>
  <c r="M4" i="3"/>
  <c r="H27" i="11"/>
  <c r="G94" i="11"/>
  <c r="G86" i="11"/>
  <c r="G75" i="11"/>
  <c r="G90" i="11"/>
  <c r="G78" i="11"/>
  <c r="G92" i="11"/>
  <c r="G89" i="11"/>
  <c r="G84" i="11"/>
  <c r="G81" i="11"/>
  <c r="O3" i="1"/>
  <c r="L4" i="1"/>
  <c r="L3" i="1"/>
  <c r="O4" i="1"/>
  <c r="P4" i="1"/>
  <c r="P3" i="1"/>
  <c r="M4" i="1"/>
  <c r="M3" i="1"/>
  <c r="L3" i="3"/>
  <c r="P4" i="23"/>
  <c r="G96" i="23"/>
  <c r="G88" i="23"/>
  <c r="L4" i="23"/>
  <c r="G80" i="23"/>
  <c r="G95" i="23"/>
  <c r="G87" i="23"/>
  <c r="G97" i="21"/>
  <c r="G89" i="21"/>
  <c r="G81" i="21"/>
  <c r="O3" i="21"/>
  <c r="L4" i="21"/>
  <c r="L3" i="21"/>
  <c r="G95" i="21"/>
  <c r="G89" i="20"/>
  <c r="G81" i="20"/>
  <c r="G91" i="20"/>
  <c r="G83" i="20"/>
  <c r="G75" i="20"/>
  <c r="P3" i="19"/>
  <c r="G96" i="19"/>
  <c r="G92" i="18"/>
  <c r="G84" i="18"/>
  <c r="G91" i="17"/>
  <c r="G83" i="17"/>
  <c r="G75" i="17"/>
  <c r="G90" i="17"/>
  <c r="G96" i="16"/>
  <c r="G88" i="16"/>
  <c r="G80" i="16"/>
  <c r="O4" i="15"/>
  <c r="P3" i="15"/>
  <c r="P4" i="15"/>
  <c r="G52" i="15"/>
  <c r="G44" i="15"/>
  <c r="G49" i="15"/>
  <c r="G46" i="15"/>
  <c r="G92" i="14"/>
  <c r="G84" i="14"/>
  <c r="G76" i="14"/>
  <c r="G90" i="14"/>
  <c r="G98" i="13"/>
  <c r="G93" i="13"/>
  <c r="G85" i="13"/>
  <c r="G96" i="12"/>
  <c r="M4" i="12"/>
  <c r="G88" i="11"/>
  <c r="G80" i="11"/>
  <c r="G91" i="11"/>
  <c r="H36" i="11"/>
  <c r="G82" i="11"/>
  <c r="G83" i="11"/>
  <c r="G93" i="11"/>
  <c r="G85" i="11"/>
  <c r="G76" i="11"/>
  <c r="G86" i="10"/>
  <c r="G91" i="10"/>
  <c r="G92" i="9"/>
  <c r="L4" i="9"/>
  <c r="L3" i="9"/>
  <c r="G97" i="8"/>
  <c r="G80" i="8"/>
  <c r="O4" i="8"/>
  <c r="G98" i="7"/>
  <c r="G90" i="7"/>
  <c r="G82" i="7"/>
  <c r="G92" i="7"/>
  <c r="G84" i="7"/>
  <c r="G96" i="7"/>
  <c r="G93" i="7"/>
  <c r="G88" i="7"/>
  <c r="G85" i="7"/>
  <c r="G80" i="7"/>
  <c r="P4" i="6"/>
  <c r="O4" i="6"/>
  <c r="M4" i="6"/>
  <c r="G91" i="6"/>
  <c r="P3" i="5"/>
  <c r="O4" i="5"/>
  <c r="G86" i="4"/>
  <c r="G78" i="4"/>
  <c r="G93" i="4"/>
  <c r="G85" i="3"/>
  <c r="G74" i="3"/>
  <c r="L4" i="3"/>
  <c r="M3" i="3"/>
  <c r="O3" i="3"/>
  <c r="O4" i="3"/>
  <c r="P3" i="3"/>
  <c r="P4" i="3"/>
  <c r="G73" i="3"/>
  <c r="P7" i="22"/>
  <c r="P7" i="5"/>
  <c r="P7" i="7"/>
  <c r="P7" i="8"/>
  <c r="P7" i="9"/>
  <c r="P7" i="17"/>
  <c r="P7" i="19"/>
  <c r="P7" i="6"/>
  <c r="P7" i="13"/>
  <c r="P7" i="20"/>
  <c r="P7" i="3"/>
  <c r="P7" i="18"/>
  <c r="P7" i="4"/>
  <c r="P7" i="12"/>
  <c r="P7" i="15"/>
  <c r="P7" i="23"/>
  <c r="P7" i="16"/>
  <c r="P3" i="23"/>
  <c r="O4" i="23"/>
  <c r="M3" i="23"/>
  <c r="M4" i="23"/>
  <c r="O3" i="23"/>
  <c r="G73" i="22"/>
  <c r="H21" i="22"/>
  <c r="H35" i="22"/>
  <c r="H8" i="22"/>
  <c r="H20" i="22"/>
  <c r="H36" i="22"/>
  <c r="H38" i="22"/>
  <c r="H52" i="22"/>
  <c r="H60" i="22"/>
  <c r="P3" i="21"/>
  <c r="M3" i="21"/>
  <c r="G80" i="21"/>
  <c r="P4" i="21"/>
  <c r="G77" i="21"/>
  <c r="H6" i="20"/>
  <c r="H21" i="20"/>
  <c r="H23" i="20"/>
  <c r="H63" i="20"/>
  <c r="H51" i="20"/>
  <c r="H20" i="20"/>
  <c r="H24" i="20"/>
  <c r="H26" i="20"/>
  <c r="G72" i="20"/>
  <c r="H9" i="20"/>
  <c r="H28" i="20"/>
  <c r="H34" i="20"/>
  <c r="H56" i="20"/>
  <c r="H58" i="20"/>
  <c r="H62" i="20"/>
  <c r="H64" i="20"/>
  <c r="H66" i="20"/>
  <c r="L3" i="19"/>
  <c r="M3" i="19"/>
  <c r="L4" i="19"/>
  <c r="M4" i="19"/>
  <c r="H32" i="18"/>
  <c r="H34" i="18"/>
  <c r="H36" i="18"/>
  <c r="H21" i="18"/>
  <c r="H23" i="18"/>
  <c r="H25" i="18"/>
  <c r="H27" i="18"/>
  <c r="H39" i="18"/>
  <c r="H8" i="18"/>
  <c r="H19" i="17"/>
  <c r="H50" i="17"/>
  <c r="H37" i="17"/>
  <c r="H12" i="17"/>
  <c r="H51" i="17"/>
  <c r="H69" i="17"/>
  <c r="H48" i="17"/>
  <c r="H60" i="17"/>
  <c r="H38" i="17"/>
  <c r="H44" i="17"/>
  <c r="P4" i="16"/>
  <c r="P3" i="16"/>
  <c r="L4" i="16"/>
  <c r="O4" i="16"/>
  <c r="M3" i="16"/>
  <c r="L3" i="16"/>
  <c r="M4" i="15"/>
  <c r="H17" i="15"/>
  <c r="H4" i="15"/>
  <c r="H6" i="15"/>
  <c r="L3" i="15"/>
  <c r="M3" i="15"/>
  <c r="H52" i="14"/>
  <c r="H54" i="14"/>
  <c r="H28" i="14"/>
  <c r="H13" i="14"/>
  <c r="H15" i="14"/>
  <c r="H17" i="14"/>
  <c r="H55" i="14"/>
  <c r="H37" i="14"/>
  <c r="H45" i="14"/>
  <c r="H8" i="14"/>
  <c r="P3" i="13"/>
  <c r="L3" i="13"/>
  <c r="M3" i="13"/>
  <c r="O3" i="13"/>
  <c r="M4" i="13"/>
  <c r="L3" i="12"/>
  <c r="M3" i="12"/>
  <c r="O4" i="12"/>
  <c r="P4" i="12"/>
  <c r="P3" i="12"/>
  <c r="H21" i="11"/>
  <c r="H55" i="11"/>
  <c r="H28" i="11"/>
  <c r="H34" i="11"/>
  <c r="H3" i="11"/>
  <c r="H7" i="11"/>
  <c r="H11" i="11"/>
  <c r="H35" i="11"/>
  <c r="H37" i="11"/>
  <c r="H39" i="11"/>
  <c r="H4" i="11"/>
  <c r="H6" i="11"/>
  <c r="H43" i="11"/>
  <c r="H47" i="11"/>
  <c r="H49" i="11"/>
  <c r="P3" i="10"/>
  <c r="O3" i="10"/>
  <c r="G82" i="10"/>
  <c r="P4" i="10"/>
  <c r="M3" i="10"/>
  <c r="O4" i="10"/>
  <c r="O3" i="9"/>
  <c r="P3" i="9"/>
  <c r="G80" i="9"/>
  <c r="M4" i="9"/>
  <c r="P4" i="9"/>
  <c r="O4" i="9"/>
  <c r="G77" i="9"/>
  <c r="M3" i="8"/>
  <c r="L3" i="8"/>
  <c r="O3" i="8"/>
  <c r="P3" i="8"/>
  <c r="L4" i="8"/>
  <c r="M4" i="8"/>
  <c r="P4" i="7"/>
  <c r="L3" i="7"/>
  <c r="O4" i="7"/>
  <c r="M3" i="7"/>
  <c r="O3" i="7"/>
  <c r="P3" i="7"/>
  <c r="M4" i="7"/>
  <c r="G77" i="7"/>
  <c r="M3" i="6"/>
  <c r="O3" i="6"/>
  <c r="L3" i="6"/>
  <c r="G76" i="6"/>
  <c r="P3" i="6"/>
  <c r="L4" i="5"/>
  <c r="G73" i="5"/>
  <c r="H60" i="5"/>
  <c r="H23" i="5"/>
  <c r="H29" i="5"/>
  <c r="H31" i="5"/>
  <c r="H35" i="5"/>
  <c r="H39" i="5"/>
  <c r="H43" i="5"/>
  <c r="H45" i="5"/>
  <c r="H47" i="5"/>
  <c r="L3" i="5"/>
  <c r="M3" i="5"/>
  <c r="H63" i="5"/>
  <c r="M4" i="5"/>
  <c r="G89" i="4"/>
  <c r="G81" i="4"/>
  <c r="G73" i="4"/>
  <c r="H9" i="4"/>
  <c r="H11" i="4"/>
  <c r="H21" i="4"/>
  <c r="H23" i="4"/>
  <c r="H27" i="4"/>
  <c r="H29" i="4"/>
  <c r="H45" i="4"/>
  <c r="H47" i="4"/>
  <c r="H51" i="4"/>
  <c r="H34" i="4"/>
  <c r="H36" i="4"/>
  <c r="H38" i="4"/>
  <c r="H40" i="4"/>
  <c r="H44" i="4"/>
  <c r="H46" i="4"/>
  <c r="H7" i="4"/>
  <c r="H54" i="4"/>
  <c r="H56" i="4"/>
  <c r="H58" i="4"/>
  <c r="L3" i="23"/>
  <c r="M4" i="21"/>
  <c r="O4" i="21"/>
  <c r="O4" i="19"/>
  <c r="P4" i="19"/>
  <c r="O3" i="19"/>
  <c r="M4" i="16"/>
  <c r="L4" i="15"/>
  <c r="L4" i="13"/>
  <c r="O4" i="13"/>
  <c r="P4" i="13"/>
  <c r="L4" i="12"/>
  <c r="L4" i="10"/>
  <c r="G77" i="8"/>
  <c r="L4" i="7"/>
  <c r="H27" i="22"/>
  <c r="H56" i="22"/>
  <c r="H58" i="22"/>
  <c r="H64" i="22"/>
  <c r="H66" i="22"/>
  <c r="H5" i="22"/>
  <c r="H37" i="22"/>
  <c r="H39" i="22"/>
  <c r="H41" i="22"/>
  <c r="H45" i="22"/>
  <c r="H47" i="22"/>
  <c r="H49" i="22"/>
  <c r="H51" i="22"/>
  <c r="H7" i="22"/>
  <c r="H12" i="22"/>
  <c r="H14" i="22"/>
  <c r="H22" i="22"/>
  <c r="H28" i="22"/>
  <c r="H53" i="22"/>
  <c r="H69" i="22"/>
  <c r="H17" i="22"/>
  <c r="H19" i="22"/>
  <c r="H32" i="22"/>
  <c r="H34" i="22"/>
  <c r="H46" i="22"/>
  <c r="H60" i="20"/>
  <c r="H68" i="20"/>
  <c r="H30" i="20"/>
  <c r="H4" i="20"/>
  <c r="H8" i="20"/>
  <c r="H67" i="20"/>
  <c r="H69" i="20"/>
  <c r="H5" i="20"/>
  <c r="H31" i="20"/>
  <c r="H33" i="20"/>
  <c r="H44" i="18"/>
  <c r="H46" i="18"/>
  <c r="H10" i="18"/>
  <c r="H12" i="18"/>
  <c r="H16" i="18"/>
  <c r="H52" i="18"/>
  <c r="H54" i="18"/>
  <c r="H56" i="18"/>
  <c r="H58" i="18"/>
  <c r="H5" i="18"/>
  <c r="H7" i="18"/>
  <c r="H35" i="18"/>
  <c r="H43" i="18"/>
  <c r="H45" i="18"/>
  <c r="H47" i="18"/>
  <c r="H11" i="18"/>
  <c r="H13" i="18"/>
  <c r="H15" i="18"/>
  <c r="H17" i="18"/>
  <c r="H55" i="18"/>
  <c r="H57" i="18"/>
  <c r="H59" i="18"/>
  <c r="H16" i="17"/>
  <c r="H43" i="17"/>
  <c r="H20" i="17"/>
  <c r="H22" i="17"/>
  <c r="H53" i="17"/>
  <c r="H55" i="17"/>
  <c r="H7" i="17"/>
  <c r="H9" i="17"/>
  <c r="H28" i="17"/>
  <c r="H4" i="17"/>
  <c r="H6" i="17"/>
  <c r="H21" i="17"/>
  <c r="H23" i="17"/>
  <c r="H25" i="17"/>
  <c r="H52" i="17"/>
  <c r="H54" i="17"/>
  <c r="H8" i="17"/>
  <c r="H29" i="17"/>
  <c r="H31" i="17"/>
  <c r="H33" i="17"/>
  <c r="H35" i="17"/>
  <c r="H62" i="17"/>
  <c r="H68" i="17"/>
  <c r="H3" i="15"/>
  <c r="H21" i="15"/>
  <c r="H23" i="15"/>
  <c r="H8" i="15"/>
  <c r="H10" i="15"/>
  <c r="H12" i="15"/>
  <c r="H14" i="15"/>
  <c r="H16" i="15"/>
  <c r="H18" i="15"/>
  <c r="H50" i="14"/>
  <c r="H10" i="14"/>
  <c r="H12" i="14"/>
  <c r="H16" i="14"/>
  <c r="H35" i="14"/>
  <c r="H60" i="14"/>
  <c r="H64" i="14"/>
  <c r="H66" i="14"/>
  <c r="H5" i="14"/>
  <c r="H7" i="14"/>
  <c r="H39" i="14"/>
  <c r="H41" i="14"/>
  <c r="H43" i="14"/>
  <c r="H57" i="14"/>
  <c r="H51" i="14"/>
  <c r="H61" i="14"/>
  <c r="H63" i="14"/>
  <c r="H67" i="14"/>
  <c r="H30" i="14"/>
  <c r="H32" i="14"/>
  <c r="H11" i="14"/>
  <c r="H6" i="14"/>
  <c r="H19" i="14"/>
  <c r="H56" i="14"/>
  <c r="H10" i="11"/>
  <c r="H26" i="11"/>
  <c r="H9" i="11"/>
  <c r="H19" i="11"/>
  <c r="H53" i="11"/>
  <c r="H40" i="11"/>
  <c r="H61" i="11"/>
  <c r="H63" i="11"/>
  <c r="H65" i="11"/>
  <c r="H67" i="11"/>
  <c r="H69" i="11"/>
  <c r="H8" i="11"/>
  <c r="H29" i="11"/>
  <c r="H31" i="11"/>
  <c r="H33" i="11"/>
  <c r="H44" i="11"/>
  <c r="H46" i="11"/>
  <c r="H50" i="11"/>
  <c r="H25" i="5"/>
  <c r="H37" i="5"/>
  <c r="H53" i="5"/>
  <c r="H55" i="5"/>
  <c r="H14" i="5"/>
  <c r="H16" i="5"/>
  <c r="H18" i="5"/>
  <c r="H59" i="5"/>
  <c r="H61" i="5"/>
  <c r="H64" i="5"/>
  <c r="H65" i="5"/>
  <c r="H50" i="5"/>
  <c r="H52" i="5"/>
  <c r="H54" i="5"/>
  <c r="H9" i="5"/>
  <c r="H19" i="5"/>
  <c r="H62" i="5"/>
  <c r="H48" i="4"/>
  <c r="H50" i="4"/>
  <c r="H63" i="4"/>
  <c r="H15" i="4"/>
  <c r="H17" i="4"/>
  <c r="H19" i="4"/>
  <c r="H37" i="4"/>
  <c r="H39" i="4"/>
  <c r="H60" i="4"/>
  <c r="H10" i="4"/>
  <c r="H33" i="4"/>
  <c r="H62" i="4"/>
  <c r="H66" i="4"/>
  <c r="H68" i="4"/>
  <c r="H70" i="4"/>
  <c r="G91" i="3"/>
  <c r="G83" i="3"/>
  <c r="G90" i="3"/>
  <c r="G76" i="3"/>
  <c r="G87" i="3"/>
  <c r="G79" i="3"/>
  <c r="H19" i="3"/>
  <c r="H27" i="3"/>
  <c r="H11" i="3"/>
  <c r="H13" i="3"/>
  <c r="H29" i="3"/>
  <c r="H31" i="3"/>
  <c r="H41" i="3"/>
  <c r="H43" i="3"/>
  <c r="H47" i="3"/>
  <c r="H51" i="3"/>
  <c r="H8" i="3"/>
  <c r="H10" i="3"/>
  <c r="H28" i="3"/>
  <c r="H36" i="3"/>
  <c r="H40" i="23"/>
  <c r="H42" i="23"/>
  <c r="H11" i="23"/>
  <c r="H17" i="23"/>
  <c r="H22" i="23"/>
  <c r="H55" i="23"/>
  <c r="H57" i="23"/>
  <c r="H64" i="23"/>
  <c r="H66" i="23"/>
  <c r="H46" i="23"/>
  <c r="H50" i="23"/>
  <c r="H72" i="23"/>
  <c r="H30" i="23"/>
  <c r="H63" i="23"/>
  <c r="H65" i="23"/>
  <c r="H16" i="23"/>
  <c r="H23" i="23"/>
  <c r="H25" i="23"/>
  <c r="H54" i="23"/>
  <c r="H70" i="22"/>
  <c r="H4" i="22"/>
  <c r="H9" i="22"/>
  <c r="H31" i="22"/>
  <c r="H33" i="22"/>
  <c r="H40" i="22"/>
  <c r="H42" i="22"/>
  <c r="H62" i="22"/>
  <c r="H15" i="22"/>
  <c r="H24" i="22"/>
  <c r="H26" i="22"/>
  <c r="H48" i="22"/>
  <c r="H50" i="22"/>
  <c r="H30" i="22"/>
  <c r="H16" i="22"/>
  <c r="H23" i="22"/>
  <c r="H25" i="22"/>
  <c r="H54" i="22"/>
  <c r="H22" i="21"/>
  <c r="H40" i="21"/>
  <c r="H53" i="21"/>
  <c r="H64" i="21"/>
  <c r="H66" i="21"/>
  <c r="H11" i="21"/>
  <c r="H13" i="21"/>
  <c r="H15" i="21"/>
  <c r="H26" i="21"/>
  <c r="H50" i="21"/>
  <c r="H41" i="21"/>
  <c r="H48" i="21"/>
  <c r="H54" i="21"/>
  <c r="H65" i="21"/>
  <c r="H7" i="21"/>
  <c r="H12" i="21"/>
  <c r="H14" i="21"/>
  <c r="H16" i="21"/>
  <c r="H25" i="21"/>
  <c r="H32" i="21"/>
  <c r="H45" i="21"/>
  <c r="H58" i="21"/>
  <c r="H7" i="20"/>
  <c r="H16" i="20"/>
  <c r="H25" i="20"/>
  <c r="H32" i="20"/>
  <c r="H41" i="20"/>
  <c r="H48" i="20"/>
  <c r="H57" i="20"/>
  <c r="H13" i="20"/>
  <c r="H22" i="20"/>
  <c r="H29" i="20"/>
  <c r="H38" i="20"/>
  <c r="H45" i="20"/>
  <c r="H54" i="20"/>
  <c r="H65" i="20"/>
  <c r="H3" i="19"/>
  <c r="H21" i="19"/>
  <c r="H27" i="19"/>
  <c r="H53" i="19"/>
  <c r="H5" i="19"/>
  <c r="H25" i="19"/>
  <c r="H31" i="19"/>
  <c r="H46" i="19"/>
  <c r="H57" i="19"/>
  <c r="H63" i="19"/>
  <c r="H16" i="19"/>
  <c r="H29" i="19"/>
  <c r="H35" i="19"/>
  <c r="H50" i="19"/>
  <c r="H65" i="19"/>
  <c r="H4" i="19"/>
  <c r="H6" i="19"/>
  <c r="H11" i="19"/>
  <c r="H26" i="19"/>
  <c r="H37" i="19"/>
  <c r="H43" i="19"/>
  <c r="H58" i="19"/>
  <c r="H69" i="19"/>
  <c r="H8" i="19"/>
  <c r="H13" i="19"/>
  <c r="H17" i="19"/>
  <c r="H19" i="19"/>
  <c r="H34" i="19"/>
  <c r="H45" i="19"/>
  <c r="H51" i="19"/>
  <c r="H66" i="19"/>
  <c r="H37" i="18"/>
  <c r="H48" i="18"/>
  <c r="H50" i="18"/>
  <c r="H3" i="18"/>
  <c r="H30" i="18"/>
  <c r="H41" i="18"/>
  <c r="H61" i="18"/>
  <c r="H14" i="18"/>
  <c r="H18" i="18"/>
  <c r="H38" i="18"/>
  <c r="H49" i="18"/>
  <c r="H29" i="18"/>
  <c r="H40" i="18"/>
  <c r="H42" i="18"/>
  <c r="H62" i="18"/>
  <c r="H4" i="18"/>
  <c r="H9" i="18"/>
  <c r="H22" i="18"/>
  <c r="H33" i="18"/>
  <c r="H53" i="18"/>
  <c r="H64" i="18"/>
  <c r="H66" i="18"/>
  <c r="H11" i="17"/>
  <c r="H57" i="17"/>
  <c r="H64" i="17"/>
  <c r="H66" i="17"/>
  <c r="H40" i="17"/>
  <c r="H15" i="17"/>
  <c r="H24" i="17"/>
  <c r="H26" i="17"/>
  <c r="H46" i="17"/>
  <c r="H3" i="17"/>
  <c r="H5" i="17"/>
  <c r="H39" i="17"/>
  <c r="H41" i="17"/>
  <c r="H65" i="17"/>
  <c r="H32" i="17"/>
  <c r="H34" i="17"/>
  <c r="H42" i="17"/>
  <c r="H14" i="17"/>
  <c r="H47" i="17"/>
  <c r="H49" i="17"/>
  <c r="H56" i="17"/>
  <c r="H58" i="17"/>
  <c r="H30" i="16"/>
  <c r="H46" i="16"/>
  <c r="H64" i="16"/>
  <c r="H16" i="16"/>
  <c r="H25" i="16"/>
  <c r="H41" i="16"/>
  <c r="H55" i="16"/>
  <c r="H13" i="16"/>
  <c r="H22" i="16"/>
  <c r="H63" i="16"/>
  <c r="H15" i="16"/>
  <c r="H24" i="16"/>
  <c r="H33" i="16"/>
  <c r="H49" i="16"/>
  <c r="H56" i="16"/>
  <c r="H5" i="16"/>
  <c r="H69" i="16"/>
  <c r="H65" i="14"/>
  <c r="H34" i="14"/>
  <c r="H14" i="14"/>
  <c r="H47" i="14"/>
  <c r="H49" i="14"/>
  <c r="H58" i="14"/>
  <c r="H4" i="14"/>
  <c r="H9" i="14"/>
  <c r="H31" i="14"/>
  <c r="H33" i="14"/>
  <c r="H42" i="14"/>
  <c r="H62" i="14"/>
  <c r="H26" i="14"/>
  <c r="H46" i="14"/>
  <c r="H48" i="14"/>
  <c r="H70" i="14"/>
  <c r="H9" i="13"/>
  <c r="H22" i="13"/>
  <c r="H33" i="13"/>
  <c r="H37" i="13"/>
  <c r="H39" i="13"/>
  <c r="H50" i="13"/>
  <c r="H57" i="13"/>
  <c r="H61" i="13"/>
  <c r="H4" i="13"/>
  <c r="H6" i="13"/>
  <c r="H11" i="13"/>
  <c r="H43" i="13"/>
  <c r="H67" i="13"/>
  <c r="H41" i="13"/>
  <c r="H65" i="13"/>
  <c r="H3" i="13"/>
  <c r="H21" i="13"/>
  <c r="H23" i="13"/>
  <c r="H38" i="13"/>
  <c r="H51" i="13"/>
  <c r="H62" i="13"/>
  <c r="H53" i="13"/>
  <c r="H66" i="13"/>
  <c r="H5" i="13"/>
  <c r="H14" i="13"/>
  <c r="H25" i="13"/>
  <c r="H29" i="13"/>
  <c r="H31" i="13"/>
  <c r="H46" i="13"/>
  <c r="H64" i="13"/>
  <c r="H70" i="13"/>
  <c r="H5" i="12"/>
  <c r="H67" i="12"/>
  <c r="H9" i="12"/>
  <c r="H33" i="12"/>
  <c r="H65" i="12"/>
  <c r="H41" i="12"/>
  <c r="H58" i="12"/>
  <c r="H6" i="12"/>
  <c r="H51" i="12"/>
  <c r="H64" i="12"/>
  <c r="H12" i="12"/>
  <c r="H23" i="12"/>
  <c r="H27" i="12"/>
  <c r="H38" i="12"/>
  <c r="H40" i="12"/>
  <c r="H42" i="12"/>
  <c r="H55" i="12"/>
  <c r="H59" i="12"/>
  <c r="H70" i="12"/>
  <c r="H72" i="12"/>
  <c r="H23" i="11"/>
  <c r="H25" i="11"/>
  <c r="H5" i="11"/>
  <c r="H38" i="11"/>
  <c r="H45" i="11"/>
  <c r="H54" i="11"/>
  <c r="H14" i="11"/>
  <c r="H56" i="11"/>
  <c r="H22" i="11"/>
  <c r="H24" i="11"/>
  <c r="H62" i="11"/>
  <c r="H13" i="11"/>
  <c r="H15" i="11"/>
  <c r="H17" i="11"/>
  <c r="H30" i="11"/>
  <c r="H32" i="11"/>
  <c r="H41" i="11"/>
  <c r="H48" i="11"/>
  <c r="H57" i="11"/>
  <c r="H64" i="11"/>
  <c r="H19" i="10"/>
  <c r="H39" i="10"/>
  <c r="H43" i="10"/>
  <c r="H54" i="10"/>
  <c r="H56" i="10"/>
  <c r="H58" i="10"/>
  <c r="H5" i="10"/>
  <c r="H30" i="10"/>
  <c r="H9" i="10"/>
  <c r="H16" i="10"/>
  <c r="H27" i="10"/>
  <c r="H4" i="10"/>
  <c r="H6" i="10"/>
  <c r="H11" i="10"/>
  <c r="H38" i="10"/>
  <c r="H40" i="10"/>
  <c r="H42" i="10"/>
  <c r="H55" i="10"/>
  <c r="H57" i="10"/>
  <c r="H59" i="10"/>
  <c r="H8" i="10"/>
  <c r="H22" i="10"/>
  <c r="H35" i="10"/>
  <c r="H46" i="10"/>
  <c r="H48" i="10"/>
  <c r="H50" i="10"/>
  <c r="H69" i="10"/>
  <c r="H71" i="10"/>
  <c r="H73" i="10"/>
  <c r="H55" i="9"/>
  <c r="H57" i="9"/>
  <c r="H5" i="9"/>
  <c r="H7" i="9"/>
  <c r="H16" i="9"/>
  <c r="H27" i="9"/>
  <c r="H42" i="9"/>
  <c r="H9" i="9"/>
  <c r="H35" i="9"/>
  <c r="H50" i="9"/>
  <c r="H67" i="9"/>
  <c r="H39" i="9"/>
  <c r="H41" i="9"/>
  <c r="H54" i="9"/>
  <c r="H56" i="9"/>
  <c r="H4" i="9"/>
  <c r="H15" i="9"/>
  <c r="H17" i="9"/>
  <c r="H26" i="9"/>
  <c r="H30" i="9"/>
  <c r="H32" i="9"/>
  <c r="H47" i="9"/>
  <c r="H49" i="9"/>
  <c r="H62" i="9"/>
  <c r="H64" i="9"/>
  <c r="H66" i="9"/>
  <c r="H33" i="8"/>
  <c r="H46" i="8"/>
  <c r="H19" i="8"/>
  <c r="H39" i="8"/>
  <c r="H50" i="8"/>
  <c r="H57" i="8"/>
  <c r="H70" i="8"/>
  <c r="H72" i="8"/>
  <c r="H74" i="8"/>
  <c r="H14" i="8"/>
  <c r="H23" i="8"/>
  <c r="H34" i="8"/>
  <c r="H41" i="8"/>
  <c r="H67" i="8"/>
  <c r="H65" i="8"/>
  <c r="H4" i="8"/>
  <c r="H6" i="8"/>
  <c r="H25" i="8"/>
  <c r="H31" i="8"/>
  <c r="H42" i="8"/>
  <c r="H49" i="8"/>
  <c r="H62" i="8"/>
  <c r="H10" i="7"/>
  <c r="H15" i="7"/>
  <c r="H28" i="7"/>
  <c r="H48" i="7"/>
  <c r="H30" i="7"/>
  <c r="H72" i="7"/>
  <c r="H16" i="7"/>
  <c r="H36" i="7"/>
  <c r="H47" i="7"/>
  <c r="H49" i="7"/>
  <c r="H54" i="7"/>
  <c r="H4" i="7"/>
  <c r="H9" i="7"/>
  <c r="H38" i="7"/>
  <c r="H22" i="7"/>
  <c r="H44" i="7"/>
  <c r="H62" i="7"/>
  <c r="H50" i="6"/>
  <c r="H48" i="6"/>
  <c r="H4" i="6"/>
  <c r="H9" i="6"/>
  <c r="H29" i="6"/>
  <c r="H31" i="6"/>
  <c r="H33" i="6"/>
  <c r="H40" i="6"/>
  <c r="H42" i="6"/>
  <c r="H37" i="6"/>
  <c r="H41" i="6"/>
  <c r="H15" i="6"/>
  <c r="H30" i="6"/>
  <c r="H56" i="6"/>
  <c r="H24" i="6"/>
  <c r="H21" i="6"/>
  <c r="H23" i="6"/>
  <c r="H25" i="6"/>
  <c r="H45" i="6"/>
  <c r="H47" i="6"/>
  <c r="H49" i="6"/>
  <c r="H71" i="6"/>
  <c r="H73" i="6"/>
  <c r="H62" i="6"/>
  <c r="H12" i="5"/>
  <c r="H40" i="5"/>
  <c r="H5" i="5"/>
  <c r="H7" i="5"/>
  <c r="H22" i="5"/>
  <c r="H33" i="5"/>
  <c r="H46" i="5"/>
  <c r="H66" i="5"/>
  <c r="H11" i="5"/>
  <c r="H13" i="5"/>
  <c r="H24" i="5"/>
  <c r="H30" i="5"/>
  <c r="H48" i="5"/>
  <c r="H57" i="5"/>
  <c r="H41" i="5"/>
  <c r="H6" i="5"/>
  <c r="H8" i="5"/>
  <c r="H21" i="5"/>
  <c r="H32" i="5"/>
  <c r="H27" i="5"/>
  <c r="H38" i="5"/>
  <c r="H51" i="5"/>
  <c r="H58" i="5"/>
  <c r="H67" i="5"/>
  <c r="H3" i="4"/>
  <c r="H57" i="4"/>
  <c r="H5" i="4"/>
  <c r="H30" i="4"/>
  <c r="H43" i="4"/>
  <c r="H4" i="4"/>
  <c r="H6" i="4"/>
  <c r="H25" i="4"/>
  <c r="H65" i="4"/>
  <c r="H31" i="4"/>
  <c r="H42" i="4"/>
  <c r="H49" i="4"/>
  <c r="H8" i="4"/>
  <c r="H22" i="4"/>
  <c r="H35" i="4"/>
  <c r="H55" i="4"/>
  <c r="H44" i="3"/>
  <c r="H21" i="3"/>
  <c r="H23" i="3"/>
  <c r="H48" i="3"/>
  <c r="H64" i="3"/>
  <c r="H66" i="3"/>
  <c r="H68" i="3"/>
  <c r="H70" i="3"/>
  <c r="H35" i="3"/>
  <c r="H39" i="3"/>
  <c r="H12" i="3"/>
  <c r="H20" i="3"/>
  <c r="H26" i="3"/>
  <c r="H3" i="3"/>
  <c r="H5" i="3"/>
  <c r="H30" i="3"/>
  <c r="H34" i="3"/>
  <c r="H9" i="15"/>
  <c r="H11" i="15"/>
  <c r="H13" i="15"/>
  <c r="H15" i="15"/>
  <c r="H19" i="15"/>
  <c r="H5" i="15"/>
  <c r="H27" i="15"/>
  <c r="H25" i="15"/>
  <c r="H29" i="15"/>
  <c r="H31" i="15"/>
  <c r="H35" i="15"/>
  <c r="H33" i="15"/>
  <c r="H22" i="15"/>
  <c r="H3" i="21"/>
  <c r="H3" i="20"/>
  <c r="H3" i="16"/>
  <c r="H3" i="6"/>
  <c r="H14" i="3"/>
  <c r="H16" i="3"/>
  <c r="H25" i="3"/>
  <c r="H32" i="3"/>
  <c r="H45" i="3"/>
  <c r="H58" i="3"/>
  <c r="H7" i="3"/>
  <c r="H18" i="3"/>
  <c r="H38" i="3"/>
  <c r="H49" i="3"/>
  <c r="H62" i="3"/>
  <c r="H4" i="3"/>
  <c r="H9" i="3"/>
  <c r="H22" i="3"/>
  <c r="H33" i="3"/>
  <c r="H40" i="3"/>
  <c r="H53" i="3"/>
  <c r="H55" i="3"/>
  <c r="H57" i="3"/>
  <c r="H59" i="3"/>
  <c r="H15" i="3"/>
  <c r="H24" i="3"/>
  <c r="H37" i="3"/>
  <c r="H50" i="3"/>
  <c r="H61" i="3"/>
  <c r="H63" i="3"/>
  <c r="H21" i="1"/>
  <c r="H52" i="1"/>
  <c r="H20" i="1"/>
  <c r="H12" i="1"/>
  <c r="H4" i="1"/>
  <c r="H27" i="1"/>
  <c r="H48" i="1"/>
  <c r="H16" i="1"/>
  <c r="H22" i="1"/>
  <c r="H14" i="1"/>
  <c r="H3" i="1"/>
  <c r="H74" i="1"/>
  <c r="H66" i="1"/>
  <c r="H58" i="1"/>
  <c r="H50" i="1"/>
  <c r="H42" i="1"/>
  <c r="H34" i="1"/>
  <c r="H26" i="1"/>
  <c r="H18" i="1"/>
  <c r="H10" i="1"/>
  <c r="H70" i="1"/>
  <c r="V24" i="24" l="1"/>
  <c r="W24" i="24"/>
  <c r="N3" i="10"/>
  <c r="AD10" i="24" s="1"/>
  <c r="N4" i="15"/>
  <c r="AE15" i="24" s="1"/>
  <c r="N4" i="3"/>
  <c r="AE3" i="24" s="1"/>
  <c r="N4" i="9"/>
  <c r="AE9" i="24" s="1"/>
  <c r="N4" i="19"/>
  <c r="AE19" i="24" s="1"/>
  <c r="L7" i="12"/>
  <c r="N4" i="10"/>
  <c r="AE10" i="24" s="1"/>
  <c r="N3" i="8"/>
  <c r="AD8" i="24" s="1"/>
  <c r="N4" i="6"/>
  <c r="AE6" i="24" s="1"/>
  <c r="N3" i="21"/>
  <c r="AD21" i="24" s="1"/>
  <c r="L7" i="21"/>
  <c r="N4" i="18"/>
  <c r="AE18" i="24" s="1"/>
  <c r="N3" i="17"/>
  <c r="AD17" i="24" s="1"/>
  <c r="N3" i="9"/>
  <c r="AD9" i="24" s="1"/>
  <c r="N3" i="6"/>
  <c r="AD6" i="24" s="1"/>
  <c r="N4" i="5"/>
  <c r="AE5" i="24" s="1"/>
  <c r="N3" i="4"/>
  <c r="AD4" i="24" s="1"/>
  <c r="N4" i="4"/>
  <c r="AE4" i="24" s="1"/>
  <c r="N3" i="3"/>
  <c r="AD3" i="24" s="1"/>
  <c r="N3" i="1"/>
  <c r="AD2" i="24" s="1"/>
  <c r="N4" i="1"/>
  <c r="AE2" i="24" s="1"/>
  <c r="L7" i="1"/>
  <c r="N3" i="23"/>
  <c r="AD23" i="24" s="1"/>
  <c r="N4" i="23"/>
  <c r="AE23" i="24" s="1"/>
  <c r="N4" i="21"/>
  <c r="AE21" i="24" s="1"/>
  <c r="L7" i="17"/>
  <c r="N4" i="17"/>
  <c r="AE17" i="24" s="1"/>
  <c r="N3" i="16"/>
  <c r="AD16" i="24" s="1"/>
  <c r="N4" i="12"/>
  <c r="AE12" i="24" s="1"/>
  <c r="N3" i="12"/>
  <c r="AD12" i="24" s="1"/>
  <c r="L7" i="7"/>
  <c r="N3" i="7"/>
  <c r="AD7" i="24" s="1"/>
  <c r="N4" i="22"/>
  <c r="AE22" i="24" s="1"/>
  <c r="N3" i="22"/>
  <c r="AD22" i="24" s="1"/>
  <c r="N4" i="20"/>
  <c r="AE20" i="24" s="1"/>
  <c r="N3" i="20"/>
  <c r="AD20" i="24" s="1"/>
  <c r="N3" i="19"/>
  <c r="AD19" i="24" s="1"/>
  <c r="N3" i="18"/>
  <c r="AD18" i="24" s="1"/>
  <c r="N4" i="16"/>
  <c r="AE16" i="24" s="1"/>
  <c r="N3" i="15"/>
  <c r="N4" i="14"/>
  <c r="AE14" i="24" s="1"/>
  <c r="N3" i="14"/>
  <c r="AD14" i="24" s="1"/>
  <c r="L7" i="13"/>
  <c r="N4" i="13"/>
  <c r="AE13" i="24" s="1"/>
  <c r="N3" i="13"/>
  <c r="AD13" i="24" s="1"/>
  <c r="N4" i="11"/>
  <c r="AE11" i="24" s="1"/>
  <c r="N3" i="11"/>
  <c r="AD11" i="24" s="1"/>
  <c r="L7" i="9"/>
  <c r="N4" i="8"/>
  <c r="AE8" i="24" s="1"/>
  <c r="N4" i="7"/>
  <c r="AE7" i="24" s="1"/>
  <c r="L7" i="6"/>
  <c r="N3" i="5"/>
  <c r="AD5" i="24" s="1"/>
  <c r="L7" i="5"/>
  <c r="L7" i="14"/>
  <c r="L7" i="23"/>
  <c r="L7" i="22"/>
  <c r="L7" i="20"/>
  <c r="L7" i="19"/>
  <c r="L7" i="18"/>
  <c r="L7" i="16"/>
  <c r="L7" i="8"/>
  <c r="L7" i="4"/>
  <c r="L7" i="15"/>
  <c r="L7" i="11"/>
  <c r="L7" i="10"/>
  <c r="L7" i="3"/>
  <c r="V26" i="24" l="1"/>
  <c r="L6" i="3"/>
  <c r="L8" i="3" s="1"/>
  <c r="L9" i="3" s="1"/>
  <c r="L10" i="3" s="1"/>
  <c r="L6" i="19"/>
  <c r="L8" i="19" s="1"/>
  <c r="L9" i="19" s="1"/>
  <c r="L10" i="19" s="1"/>
  <c r="L6" i="10"/>
  <c r="L8" i="10" s="1"/>
  <c r="L9" i="10" s="1"/>
  <c r="L10" i="10" s="1"/>
  <c r="L6" i="15"/>
  <c r="L8" i="15" s="1"/>
  <c r="L9" i="15" s="1"/>
  <c r="L10" i="15" s="1"/>
  <c r="L11" i="15" s="1"/>
  <c r="L6" i="8"/>
  <c r="L8" i="8" s="1"/>
  <c r="L9" i="8" s="1"/>
  <c r="L10" i="8" s="1"/>
  <c r="L6" i="16"/>
  <c r="L8" i="16" s="1"/>
  <c r="L6" i="9"/>
  <c r="L8" i="9" s="1"/>
  <c r="L9" i="9" s="1"/>
  <c r="L10" i="9" s="1"/>
  <c r="L6" i="23"/>
  <c r="L8" i="23" s="1"/>
  <c r="L9" i="23" s="1"/>
  <c r="L10" i="23" s="1"/>
  <c r="L6" i="18"/>
  <c r="L8" i="18" s="1"/>
  <c r="L9" i="18" s="1"/>
  <c r="L10" i="18" s="1"/>
  <c r="L6" i="12"/>
  <c r="L8" i="12" s="1"/>
  <c r="L9" i="12" s="1"/>
  <c r="L10" i="12" s="1"/>
  <c r="L6" i="21"/>
  <c r="L8" i="21" s="1"/>
  <c r="L9" i="21" s="1"/>
  <c r="L10" i="21" s="1"/>
  <c r="L6" i="20"/>
  <c r="L8" i="20" s="1"/>
  <c r="L9" i="20" s="1"/>
  <c r="L10" i="20" s="1"/>
  <c r="L6" i="13"/>
  <c r="L8" i="13" s="1"/>
  <c r="L9" i="13" s="1"/>
  <c r="L10" i="13" s="1"/>
  <c r="L6" i="5"/>
  <c r="L8" i="5" s="1"/>
  <c r="L9" i="5" s="1"/>
  <c r="L10" i="5" s="1"/>
  <c r="L6" i="1"/>
  <c r="L8" i="1" s="1"/>
  <c r="L9" i="1" s="1"/>
  <c r="L10" i="1" s="1"/>
  <c r="L11" i="1" s="1"/>
  <c r="L6" i="11"/>
  <c r="L8" i="11" s="1"/>
  <c r="L9" i="11" s="1"/>
  <c r="L10" i="11" s="1"/>
  <c r="L6" i="7"/>
  <c r="L8" i="7" s="1"/>
  <c r="L9" i="7" s="1"/>
  <c r="L10" i="7" s="1"/>
  <c r="L6" i="4"/>
  <c r="L8" i="4" s="1"/>
  <c r="L9" i="4" s="1"/>
  <c r="L10" i="4" s="1"/>
  <c r="L6" i="17"/>
  <c r="L8" i="17" s="1"/>
  <c r="L9" i="17" s="1"/>
  <c r="L10" i="17" s="1"/>
  <c r="L6" i="14"/>
  <c r="L8" i="14" s="1"/>
  <c r="L9" i="14" s="1"/>
  <c r="L10" i="14" s="1"/>
  <c r="L6" i="22"/>
  <c r="L8" i="22" s="1"/>
  <c r="L9" i="22" s="1"/>
  <c r="L10" i="22" s="1"/>
  <c r="L6" i="6"/>
  <c r="L8" i="6" s="1"/>
  <c r="L9" i="6" s="1"/>
  <c r="L10" i="6" s="1"/>
  <c r="L9" i="16" l="1"/>
  <c r="L10" i="16" s="1"/>
  <c r="L11" i="16" s="1"/>
  <c r="L11" i="23"/>
  <c r="L11" i="22"/>
  <c r="L11" i="21"/>
  <c r="L11" i="20"/>
  <c r="L11" i="19"/>
  <c r="L11" i="18"/>
  <c r="L11" i="17"/>
  <c r="L11" i="14"/>
  <c r="L11" i="13"/>
  <c r="L11" i="12"/>
  <c r="L11" i="11"/>
  <c r="L11" i="10"/>
  <c r="L11" i="9"/>
  <c r="L11" i="8"/>
  <c r="L11" i="7"/>
  <c r="L11" i="6"/>
  <c r="L11" i="5"/>
  <c r="L11" i="4"/>
  <c r="L11" i="3"/>
  <c r="O23" i="24" l="1"/>
  <c r="P2" i="24"/>
  <c r="E2" i="2" s="1"/>
  <c r="P3" i="24"/>
  <c r="E3" i="2" s="1"/>
  <c r="P4" i="24"/>
  <c r="E4" i="2" s="1"/>
  <c r="P5" i="24"/>
  <c r="E5" i="2" s="1"/>
  <c r="P6" i="24"/>
  <c r="E6" i="2" s="1"/>
  <c r="P7" i="24"/>
  <c r="E7" i="2" s="1"/>
  <c r="P8" i="24"/>
  <c r="E8" i="2" s="1"/>
  <c r="P9" i="24"/>
  <c r="E9" i="2" s="1"/>
  <c r="P10" i="24"/>
  <c r="E10" i="2" s="1"/>
  <c r="P11" i="24"/>
  <c r="E11" i="2" s="1"/>
  <c r="P12" i="24"/>
  <c r="E12" i="2" s="1"/>
  <c r="P13" i="24"/>
  <c r="E13" i="2" s="1"/>
  <c r="P14" i="24"/>
  <c r="E14" i="2" s="1"/>
  <c r="P15" i="24"/>
  <c r="E15" i="2" s="1"/>
  <c r="P16" i="24"/>
  <c r="E16" i="2" s="1"/>
  <c r="P17" i="24"/>
  <c r="E17" i="2" s="1"/>
  <c r="P18" i="24"/>
  <c r="E18" i="2" s="1"/>
  <c r="P19" i="24"/>
  <c r="E19" i="2" s="1"/>
  <c r="P20" i="24"/>
  <c r="E20" i="2" s="1"/>
  <c r="P21" i="24"/>
  <c r="E21" i="2" s="1"/>
  <c r="P22" i="24"/>
  <c r="E22" i="2" s="1"/>
  <c r="P23" i="24"/>
  <c r="E23" i="2" s="1"/>
  <c r="O2" i="24"/>
  <c r="O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D16" i="2" l="1"/>
  <c r="F16" i="2" s="1"/>
  <c r="Q16" i="24"/>
  <c r="Q8" i="24"/>
  <c r="D8" i="2"/>
  <c r="F8" i="2" s="1"/>
  <c r="Q15" i="24"/>
  <c r="D15" i="2"/>
  <c r="F15" i="2" s="1"/>
  <c r="D7" i="2"/>
  <c r="F7" i="2" s="1"/>
  <c r="Q7" i="24"/>
  <c r="Q22" i="24"/>
  <c r="D22" i="2"/>
  <c r="F22" i="2" s="1"/>
  <c r="Q14" i="24"/>
  <c r="D14" i="2"/>
  <c r="F14" i="2" s="1"/>
  <c r="Q6" i="24"/>
  <c r="D6" i="2"/>
  <c r="F6" i="2" s="1"/>
  <c r="Q21" i="24"/>
  <c r="D21" i="2"/>
  <c r="F21" i="2" s="1"/>
  <c r="D13" i="2"/>
  <c r="F13" i="2" s="1"/>
  <c r="Q13" i="24"/>
  <c r="Q5" i="24"/>
  <c r="D5" i="2"/>
  <c r="F5" i="2" s="1"/>
  <c r="Q20" i="24"/>
  <c r="D20" i="2"/>
  <c r="F20" i="2" s="1"/>
  <c r="D12" i="2"/>
  <c r="F12" i="2" s="1"/>
  <c r="Q12" i="24"/>
  <c r="Q4" i="24"/>
  <c r="D4" i="2"/>
  <c r="F4" i="2" s="1"/>
  <c r="Q19" i="24"/>
  <c r="D19" i="2"/>
  <c r="F19" i="2" s="1"/>
  <c r="D11" i="2"/>
  <c r="F11" i="2" s="1"/>
  <c r="Q11" i="24"/>
  <c r="Q3" i="24"/>
  <c r="D3" i="2"/>
  <c r="F3" i="2" s="1"/>
  <c r="D18" i="2"/>
  <c r="F18" i="2" s="1"/>
  <c r="Q18" i="24"/>
  <c r="Q10" i="24"/>
  <c r="D10" i="2"/>
  <c r="F10" i="2" s="1"/>
  <c r="Q2" i="24"/>
  <c r="D2" i="2"/>
  <c r="F2" i="2" s="1"/>
  <c r="Q17" i="24"/>
  <c r="D17" i="2"/>
  <c r="F17" i="2" s="1"/>
  <c r="D9" i="2"/>
  <c r="F9" i="2" s="1"/>
  <c r="Q9" i="24"/>
  <c r="D23" i="2"/>
  <c r="F23" i="2" s="1"/>
  <c r="Q23" i="24"/>
  <c r="N4" i="24"/>
  <c r="R4" i="24" s="1"/>
  <c r="N3" i="24"/>
  <c r="R3" i="24" s="1"/>
  <c r="N15" i="24"/>
  <c r="N7" i="24"/>
  <c r="N13" i="24"/>
  <c r="R13" i="24" s="1"/>
  <c r="N12" i="24"/>
  <c r="N17" i="24"/>
  <c r="N9" i="24"/>
  <c r="R9" i="24" s="1"/>
  <c r="N6" i="24"/>
  <c r="R6" i="24" s="1"/>
  <c r="N10" i="24"/>
  <c r="N2" i="24"/>
  <c r="R2" i="24" s="1"/>
  <c r="N18" i="24"/>
  <c r="C18" i="2" l="1"/>
  <c r="G18" i="2" s="1"/>
  <c r="C7" i="2"/>
  <c r="S15" i="24"/>
  <c r="N8" i="24"/>
  <c r="S8" i="24" s="1"/>
  <c r="C17" i="2"/>
  <c r="G17" i="2" s="1"/>
  <c r="C12" i="2"/>
  <c r="G12" i="2" s="1"/>
  <c r="C15" i="2"/>
  <c r="G15" i="2" s="1"/>
  <c r="S9" i="24"/>
  <c r="S2" i="24"/>
  <c r="C10" i="2"/>
  <c r="G10" i="2" s="1"/>
  <c r="N11" i="24"/>
  <c r="S11" i="24" s="1"/>
  <c r="R10" i="24"/>
  <c r="S3" i="24"/>
  <c r="S4" i="24"/>
  <c r="C6" i="2"/>
  <c r="G6" i="2" s="1"/>
  <c r="N16" i="24"/>
  <c r="S16" i="24" s="1"/>
  <c r="N14" i="24"/>
  <c r="N5" i="24"/>
  <c r="C3" i="2"/>
  <c r="G3" i="2" s="1"/>
  <c r="R17" i="24"/>
  <c r="R12" i="24"/>
  <c r="R7" i="24"/>
  <c r="C4" i="2"/>
  <c r="S10" i="24"/>
  <c r="S12" i="24"/>
  <c r="S6" i="24"/>
  <c r="S7" i="24"/>
  <c r="C9" i="2"/>
  <c r="G9" i="2" s="1"/>
  <c r="C13" i="2"/>
  <c r="G13" i="2" s="1"/>
  <c r="S17" i="24"/>
  <c r="R18" i="24"/>
  <c r="S13" i="24"/>
  <c r="G7" i="2"/>
  <c r="C2" i="2"/>
  <c r="G2" i="2" s="1"/>
  <c r="S18" i="24"/>
  <c r="R15" i="24"/>
  <c r="R11" i="24" l="1"/>
  <c r="C11" i="2"/>
  <c r="G11" i="2" s="1"/>
  <c r="C8" i="2"/>
  <c r="G8" i="2" s="1"/>
  <c r="R8" i="24"/>
  <c r="C5" i="2"/>
  <c r="G5" i="2" s="1"/>
  <c r="R5" i="24"/>
  <c r="S5" i="24"/>
  <c r="C14" i="2"/>
  <c r="G14" i="2" s="1"/>
  <c r="R14" i="24"/>
  <c r="S14" i="24"/>
  <c r="C16" i="2"/>
  <c r="G16" i="2" s="1"/>
  <c r="R16" i="24"/>
  <c r="G4" i="2"/>
  <c r="N21" i="24"/>
  <c r="N22" i="24"/>
  <c r="N20" i="24"/>
  <c r="C22" i="2" l="1"/>
  <c r="G22" i="2" s="1"/>
  <c r="R22" i="24"/>
  <c r="S22" i="24"/>
  <c r="C21" i="2"/>
  <c r="G21" i="2" s="1"/>
  <c r="R21" i="24"/>
  <c r="S21" i="24"/>
  <c r="C20" i="2"/>
  <c r="G20" i="2" s="1"/>
  <c r="R20" i="24"/>
  <c r="S20" i="24"/>
  <c r="N19" i="24"/>
  <c r="N23" i="24"/>
  <c r="N5" i="2"/>
  <c r="C19" i="2" l="1"/>
  <c r="R19" i="24"/>
  <c r="S19" i="24"/>
  <c r="U2" i="24"/>
  <c r="J140" i="4" s="1"/>
  <c r="C23" i="2"/>
  <c r="G23" i="2" s="1"/>
  <c r="R23" i="24"/>
  <c r="S23" i="24"/>
  <c r="P8" i="22"/>
  <c r="L12" i="22" s="1"/>
  <c r="M13" i="22" s="1"/>
  <c r="M12" i="22" s="1"/>
  <c r="N13" i="22" s="1"/>
  <c r="N12" i="22" s="1"/>
  <c r="O13" i="22" s="1"/>
  <c r="O12" i="22" s="1"/>
  <c r="P8" i="4"/>
  <c r="L12" i="4" s="1"/>
  <c r="M13" i="4" s="1"/>
  <c r="M12" i="4" s="1"/>
  <c r="N13" i="4" s="1"/>
  <c r="N12" i="4" s="1"/>
  <c r="O13" i="4" s="1"/>
  <c r="O12" i="4" s="1"/>
  <c r="P8" i="20"/>
  <c r="L12" i="20" s="1"/>
  <c r="M13" i="20" s="1"/>
  <c r="M12" i="20" s="1"/>
  <c r="N13" i="20" s="1"/>
  <c r="N12" i="20" s="1"/>
  <c r="O13" i="20" s="1"/>
  <c r="O12" i="20" s="1"/>
  <c r="P8" i="5"/>
  <c r="L12" i="5" s="1"/>
  <c r="M13" i="5" s="1"/>
  <c r="M12" i="5" s="1"/>
  <c r="N13" i="5" s="1"/>
  <c r="N12" i="5" s="1"/>
  <c r="O13" i="5" s="1"/>
  <c r="O12" i="5" s="1"/>
  <c r="P8" i="14"/>
  <c r="L12" i="14" s="1"/>
  <c r="M13" i="14" s="1"/>
  <c r="M12" i="14" s="1"/>
  <c r="N13" i="14" s="1"/>
  <c r="N12" i="14" s="1"/>
  <c r="O13" i="14" s="1"/>
  <c r="O12" i="14" s="1"/>
  <c r="P8" i="17"/>
  <c r="L12" i="17" s="1"/>
  <c r="M13" i="17" s="1"/>
  <c r="M12" i="17" s="1"/>
  <c r="N13" i="17" s="1"/>
  <c r="N12" i="17" s="1"/>
  <c r="O13" i="17" s="1"/>
  <c r="O12" i="17" s="1"/>
  <c r="P8" i="18"/>
  <c r="L12" i="18" s="1"/>
  <c r="M13" i="18" s="1"/>
  <c r="M12" i="18" s="1"/>
  <c r="N13" i="18" s="1"/>
  <c r="N12" i="18" s="1"/>
  <c r="O13" i="18" s="1"/>
  <c r="O12" i="18" s="1"/>
  <c r="P8" i="11"/>
  <c r="L12" i="11" s="1"/>
  <c r="M13" i="11" s="1"/>
  <c r="M12" i="11" s="1"/>
  <c r="N13" i="11" s="1"/>
  <c r="N12" i="11" s="1"/>
  <c r="O13" i="11" s="1"/>
  <c r="O12" i="11" s="1"/>
  <c r="P8" i="15"/>
  <c r="L12" i="15" s="1"/>
  <c r="M13" i="15" s="1"/>
  <c r="M12" i="15" s="1"/>
  <c r="N13" i="15" s="1"/>
  <c r="N12" i="15" s="1"/>
  <c r="O13" i="15" s="1"/>
  <c r="O12" i="15" s="1"/>
  <c r="P8" i="3"/>
  <c r="L12" i="3" s="1"/>
  <c r="M13" i="3" s="1"/>
  <c r="M12" i="3" s="1"/>
  <c r="N13" i="3" s="1"/>
  <c r="N12" i="3" s="1"/>
  <c r="O13" i="3" s="1"/>
  <c r="O12" i="3" s="1"/>
  <c r="J75" i="15" l="1"/>
  <c r="J76" i="15"/>
  <c r="J147" i="13"/>
  <c r="J147" i="9"/>
  <c r="J148" i="9"/>
  <c r="J146" i="6"/>
  <c r="J147" i="6"/>
  <c r="J139" i="4"/>
  <c r="J139" i="22"/>
  <c r="J148" i="23"/>
  <c r="J139" i="18"/>
  <c r="J140" i="22"/>
  <c r="J146" i="19"/>
  <c r="J147" i="21"/>
  <c r="J147" i="23"/>
  <c r="J147" i="19"/>
  <c r="J148" i="21"/>
  <c r="J140" i="18"/>
  <c r="J147" i="16"/>
  <c r="J146" i="16"/>
  <c r="J138" i="20"/>
  <c r="J139" i="3"/>
  <c r="J139" i="20"/>
  <c r="J146" i="7"/>
  <c r="J146" i="12"/>
  <c r="J147" i="12"/>
  <c r="J147" i="7"/>
  <c r="J148" i="7"/>
  <c r="J140" i="3"/>
  <c r="J145" i="12"/>
  <c r="J139" i="5"/>
  <c r="J140" i="5"/>
  <c r="J147" i="8"/>
  <c r="J148" i="1"/>
  <c r="J140" i="14"/>
  <c r="J147" i="1"/>
  <c r="J140" i="11"/>
  <c r="J139" i="14"/>
  <c r="J139" i="11"/>
  <c r="J139" i="17"/>
  <c r="J138" i="17"/>
  <c r="J147" i="10"/>
  <c r="J148" i="13"/>
  <c r="L15" i="15"/>
  <c r="P13" i="15"/>
  <c r="L14" i="15" s="1"/>
  <c r="L15" i="22"/>
  <c r="L18" i="22" s="1"/>
  <c r="I22" i="2" s="1"/>
  <c r="P13" i="22"/>
  <c r="L14" i="22" s="1"/>
  <c r="L17" i="22" s="1"/>
  <c r="H22" i="2" s="1"/>
  <c r="P13" i="11"/>
  <c r="L14" i="11" s="1"/>
  <c r="L17" i="11" s="1"/>
  <c r="H11" i="2" s="1"/>
  <c r="L15" i="11"/>
  <c r="L18" i="11" s="1"/>
  <c r="I11" i="2" s="1"/>
  <c r="P13" i="18"/>
  <c r="L14" i="18" s="1"/>
  <c r="L17" i="18" s="1"/>
  <c r="H18" i="2" s="1"/>
  <c r="L15" i="18"/>
  <c r="L18" i="18" s="1"/>
  <c r="I18" i="2" s="1"/>
  <c r="J143" i="1"/>
  <c r="J85" i="10"/>
  <c r="J96" i="21"/>
  <c r="J129" i="9"/>
  <c r="J107" i="8"/>
  <c r="J94" i="8"/>
  <c r="J97" i="7"/>
  <c r="J125" i="12"/>
  <c r="J116" i="9"/>
  <c r="J142" i="6"/>
  <c r="J97" i="6"/>
  <c r="J100" i="12"/>
  <c r="J115" i="6"/>
  <c r="J88" i="7"/>
  <c r="J132" i="12"/>
  <c r="J111" i="7"/>
  <c r="J124" i="13"/>
  <c r="J127" i="13"/>
  <c r="J137" i="3"/>
  <c r="J102" i="5"/>
  <c r="J90" i="14"/>
  <c r="J132" i="14"/>
  <c r="J90" i="18"/>
  <c r="J72" i="17"/>
  <c r="J99" i="5"/>
  <c r="J63" i="15"/>
  <c r="J136" i="17"/>
  <c r="J106" i="4"/>
  <c r="J93" i="17"/>
  <c r="J129" i="5"/>
  <c r="J127" i="18"/>
  <c r="J97" i="4"/>
  <c r="J127" i="14"/>
  <c r="J130" i="5"/>
  <c r="J88" i="3"/>
  <c r="J135" i="22"/>
  <c r="J100" i="18"/>
  <c r="J81" i="3"/>
  <c r="J119" i="5"/>
  <c r="J110" i="5"/>
  <c r="J129" i="18"/>
  <c r="J113" i="14"/>
  <c r="J134" i="14"/>
  <c r="J75" i="18"/>
  <c r="J80" i="18"/>
  <c r="J113" i="18"/>
  <c r="J100" i="4"/>
  <c r="J110" i="4"/>
  <c r="J84" i="20"/>
  <c r="J77" i="17"/>
  <c r="J112" i="18"/>
  <c r="J121" i="7"/>
  <c r="J110" i="6"/>
  <c r="J107" i="21"/>
  <c r="J99" i="8"/>
  <c r="J95" i="1"/>
  <c r="J73" i="20"/>
  <c r="J113" i="1"/>
  <c r="J58" i="15"/>
  <c r="J109" i="14"/>
  <c r="J140" i="1"/>
  <c r="J125" i="9"/>
  <c r="J145" i="8"/>
  <c r="J127" i="1"/>
  <c r="J120" i="1"/>
  <c r="J88" i="16"/>
  <c r="J103" i="16"/>
  <c r="J86" i="10"/>
  <c r="J115" i="9"/>
  <c r="J92" i="8"/>
  <c r="J87" i="9"/>
  <c r="J143" i="6"/>
  <c r="J136" i="9"/>
  <c r="J85" i="21"/>
  <c r="J114" i="21"/>
  <c r="J132" i="21"/>
  <c r="J86" i="21"/>
  <c r="J113" i="21"/>
  <c r="J134" i="7"/>
  <c r="J101" i="12"/>
  <c r="J138" i="3"/>
  <c r="J82" i="11"/>
  <c r="J126" i="5"/>
  <c r="J125" i="11"/>
  <c r="J129" i="11"/>
  <c r="J104" i="3"/>
  <c r="J73" i="17"/>
  <c r="J112" i="14"/>
  <c r="J137" i="17"/>
  <c r="J124" i="3"/>
  <c r="J118" i="5"/>
  <c r="J90" i="3"/>
  <c r="J117" i="5"/>
  <c r="J104" i="14"/>
  <c r="J119" i="22"/>
  <c r="J126" i="18"/>
  <c r="J103" i="14"/>
  <c r="J115" i="3"/>
  <c r="J112" i="5"/>
  <c r="J79" i="17"/>
  <c r="J93" i="14"/>
  <c r="J91" i="20"/>
  <c r="J106" i="20"/>
  <c r="J122" i="20"/>
  <c r="J99" i="18"/>
  <c r="J105" i="22"/>
  <c r="J109" i="4"/>
  <c r="J105" i="17"/>
  <c r="J123" i="20"/>
  <c r="J98" i="18"/>
  <c r="J107" i="20"/>
  <c r="J99" i="4"/>
  <c r="J97" i="5"/>
  <c r="J139" i="23"/>
  <c r="J144" i="13"/>
  <c r="J84" i="6"/>
  <c r="J136" i="13"/>
  <c r="J140" i="8"/>
  <c r="J87" i="17"/>
  <c r="J107" i="1"/>
  <c r="J76" i="3"/>
  <c r="J124" i="16"/>
  <c r="J143" i="8"/>
  <c r="J122" i="8"/>
  <c r="J118" i="6"/>
  <c r="J122" i="13"/>
  <c r="J143" i="19"/>
  <c r="J105" i="9"/>
  <c r="J132" i="20"/>
  <c r="J144" i="21"/>
  <c r="J89" i="7"/>
  <c r="J132" i="4"/>
  <c r="J82" i="16"/>
  <c r="J99" i="9"/>
  <c r="J137" i="21"/>
  <c r="J127" i="23"/>
  <c r="J94" i="16"/>
  <c r="J121" i="9"/>
  <c r="J130" i="9"/>
  <c r="J97" i="22"/>
  <c r="J141" i="13"/>
  <c r="J122" i="5"/>
  <c r="J137" i="18"/>
  <c r="J128" i="8"/>
  <c r="J136" i="10"/>
  <c r="J113" i="7"/>
  <c r="J92" i="21"/>
  <c r="J144" i="1"/>
  <c r="J140" i="10"/>
  <c r="J78" i="1"/>
  <c r="J81" i="1"/>
  <c r="J89" i="16"/>
  <c r="J106" i="1"/>
  <c r="J82" i="1"/>
  <c r="J88" i="9"/>
  <c r="J124" i="12"/>
  <c r="J127" i="12"/>
  <c r="J140" i="13"/>
  <c r="J140" i="7"/>
  <c r="J128" i="12"/>
  <c r="J139" i="13"/>
  <c r="J84" i="21"/>
  <c r="J125" i="6"/>
  <c r="J95" i="13"/>
  <c r="J89" i="8"/>
  <c r="J133" i="4"/>
  <c r="J116" i="17"/>
  <c r="J125" i="5"/>
  <c r="J101" i="5"/>
  <c r="J111" i="20"/>
  <c r="J91" i="18"/>
  <c r="J121" i="17"/>
  <c r="J126" i="11"/>
  <c r="J135" i="18"/>
  <c r="J120" i="4"/>
  <c r="J102" i="14"/>
  <c r="J105" i="4"/>
  <c r="J108" i="11"/>
  <c r="J74" i="18"/>
  <c r="J79" i="5"/>
  <c r="J112" i="17"/>
  <c r="J111" i="17"/>
  <c r="J87" i="5"/>
  <c r="J78" i="14"/>
  <c r="J129" i="17"/>
  <c r="J128" i="22"/>
  <c r="J136" i="22"/>
  <c r="J128" i="4"/>
  <c r="J116" i="3"/>
  <c r="J121" i="20"/>
  <c r="J79" i="4"/>
  <c r="J124" i="22"/>
  <c r="J99" i="17"/>
  <c r="J98" i="5"/>
  <c r="J133" i="17"/>
  <c r="J119" i="18"/>
  <c r="J97" i="14"/>
  <c r="J90" i="9"/>
  <c r="J108" i="21"/>
  <c r="J119" i="19"/>
  <c r="J118" i="8"/>
  <c r="J87" i="16"/>
  <c r="J80" i="3"/>
  <c r="J134" i="19"/>
  <c r="J134" i="11"/>
  <c r="J96" i="8"/>
  <c r="J115" i="23"/>
  <c r="J134" i="9"/>
  <c r="J129" i="21"/>
  <c r="J116" i="10"/>
  <c r="J137" i="6"/>
  <c r="J141" i="19"/>
  <c r="J121" i="4"/>
  <c r="J97" i="21"/>
  <c r="J92" i="20"/>
  <c r="J79" i="22"/>
  <c r="J77" i="16"/>
  <c r="J108" i="13"/>
  <c r="J119" i="10"/>
  <c r="J80" i="23"/>
  <c r="J78" i="23"/>
  <c r="J107" i="12"/>
  <c r="J146" i="8"/>
  <c r="J123" i="16"/>
  <c r="J101" i="9"/>
  <c r="J77" i="1"/>
  <c r="J108" i="8"/>
  <c r="J78" i="16"/>
  <c r="J99" i="10"/>
  <c r="J132" i="8"/>
  <c r="J111" i="16"/>
  <c r="J141" i="7"/>
  <c r="J108" i="12"/>
  <c r="J83" i="21"/>
  <c r="J109" i="12"/>
  <c r="J118" i="12"/>
  <c r="J105" i="8"/>
  <c r="J122" i="21"/>
  <c r="J94" i="21"/>
  <c r="J117" i="6"/>
  <c r="J85" i="17"/>
  <c r="J103" i="3"/>
  <c r="J92" i="4"/>
  <c r="J89" i="14"/>
  <c r="J82" i="20"/>
  <c r="J45" i="15"/>
  <c r="J117" i="17"/>
  <c r="J109" i="20"/>
  <c r="J136" i="18"/>
  <c r="J134" i="18"/>
  <c r="J87" i="11"/>
  <c r="J92" i="17"/>
  <c r="J89" i="3"/>
  <c r="J113" i="17"/>
  <c r="J113" i="22"/>
  <c r="J88" i="11"/>
  <c r="J74" i="5"/>
  <c r="J127" i="4"/>
  <c r="J81" i="22"/>
  <c r="J53" i="15"/>
  <c r="J85" i="11"/>
  <c r="J117" i="3"/>
  <c r="J86" i="20"/>
  <c r="J82" i="22"/>
  <c r="J103" i="22"/>
  <c r="J131" i="5"/>
  <c r="J130" i="20"/>
  <c r="J52" i="15"/>
  <c r="J96" i="4"/>
  <c r="J92" i="5"/>
  <c r="J111" i="5"/>
  <c r="J128" i="18"/>
  <c r="J116" i="12"/>
  <c r="J133" i="6"/>
  <c r="J115" i="8"/>
  <c r="J109" i="8"/>
  <c r="J129" i="14"/>
  <c r="J102" i="11"/>
  <c r="J114" i="1"/>
  <c r="J85" i="4"/>
  <c r="J138" i="23"/>
  <c r="J78" i="19"/>
  <c r="J113" i="16"/>
  <c r="J104" i="9"/>
  <c r="J109" i="13"/>
  <c r="J105" i="19"/>
  <c r="J93" i="9"/>
  <c r="J103" i="5"/>
  <c r="J142" i="13"/>
  <c r="J111" i="11"/>
  <c r="J130" i="4"/>
  <c r="J130" i="10"/>
  <c r="J119" i="1"/>
  <c r="J79" i="16"/>
  <c r="J141" i="10"/>
  <c r="J133" i="8"/>
  <c r="J98" i="7"/>
  <c r="J126" i="1"/>
  <c r="J118" i="9"/>
  <c r="J139" i="16"/>
  <c r="J91" i="8"/>
  <c r="J107" i="9"/>
  <c r="J97" i="16"/>
  <c r="J96" i="13"/>
  <c r="J93" i="21"/>
  <c r="J104" i="7"/>
  <c r="J106" i="8"/>
  <c r="J78" i="7"/>
  <c r="J131" i="12"/>
  <c r="J62" i="15"/>
  <c r="J78" i="4"/>
  <c r="J106" i="3"/>
  <c r="J85" i="18"/>
  <c r="J81" i="11"/>
  <c r="J83" i="20"/>
  <c r="J111" i="14"/>
  <c r="J86" i="17"/>
  <c r="J83" i="22"/>
  <c r="J133" i="18"/>
  <c r="J80" i="5"/>
  <c r="J125" i="3"/>
  <c r="J126" i="3"/>
  <c r="J57" i="15"/>
  <c r="J123" i="3"/>
  <c r="J128" i="14"/>
  <c r="J137" i="4"/>
  <c r="J85" i="20"/>
  <c r="J128" i="17"/>
  <c r="J129" i="22"/>
  <c r="J89" i="20"/>
  <c r="J138" i="22"/>
  <c r="J98" i="14"/>
  <c r="J118" i="18"/>
  <c r="J131" i="20"/>
  <c r="J76" i="17"/>
  <c r="J80" i="4"/>
  <c r="J66" i="15"/>
  <c r="J137" i="22"/>
  <c r="J127" i="22"/>
  <c r="J90" i="20"/>
  <c r="J121" i="14"/>
  <c r="J73" i="5"/>
  <c r="J139" i="12"/>
  <c r="J121" i="13"/>
  <c r="J130" i="16"/>
  <c r="J80" i="16"/>
  <c r="J92" i="14"/>
  <c r="J105" i="1"/>
  <c r="J128" i="9"/>
  <c r="J109" i="21"/>
  <c r="J102" i="9"/>
  <c r="J134" i="12"/>
  <c r="J136" i="7"/>
  <c r="J84" i="10"/>
  <c r="J142" i="10"/>
  <c r="J110" i="21"/>
  <c r="J90" i="8"/>
  <c r="J98" i="6"/>
  <c r="J80" i="12"/>
  <c r="J80" i="13"/>
  <c r="J87" i="7"/>
  <c r="J112" i="7"/>
  <c r="J81" i="12"/>
  <c r="J137" i="9"/>
  <c r="J129" i="3"/>
  <c r="J119" i="20"/>
  <c r="J84" i="18"/>
  <c r="J106" i="18"/>
  <c r="J44" i="15"/>
  <c r="J95" i="18"/>
  <c r="J75" i="5"/>
  <c r="J120" i="17"/>
  <c r="J110" i="22"/>
  <c r="J96" i="17"/>
  <c r="J131" i="11"/>
  <c r="J120" i="22"/>
  <c r="J132" i="11"/>
  <c r="J56" i="15"/>
  <c r="J84" i="22"/>
  <c r="J81" i="4"/>
  <c r="J78" i="17"/>
  <c r="J88" i="20"/>
  <c r="J118" i="3"/>
  <c r="J91" i="5"/>
  <c r="J98" i="17"/>
  <c r="J84" i="3"/>
  <c r="J106" i="22"/>
  <c r="J81" i="18"/>
  <c r="J82" i="3"/>
  <c r="J101" i="18"/>
  <c r="J55" i="15"/>
  <c r="J83" i="3"/>
  <c r="J116" i="11"/>
  <c r="J107" i="4"/>
  <c r="J49" i="15"/>
  <c r="J120" i="20"/>
  <c r="J103" i="4"/>
  <c r="J96" i="6"/>
  <c r="J101" i="21"/>
  <c r="J88" i="8"/>
  <c r="J105" i="6"/>
  <c r="J74" i="15"/>
  <c r="J133" i="19"/>
  <c r="J87" i="18"/>
  <c r="J132" i="18"/>
  <c r="J136" i="8"/>
  <c r="J121" i="8"/>
  <c r="J127" i="9"/>
  <c r="J95" i="6"/>
  <c r="J104" i="6"/>
  <c r="J145" i="10"/>
  <c r="J86" i="16"/>
  <c r="J98" i="22"/>
  <c r="J108" i="1"/>
  <c r="J124" i="18"/>
  <c r="J96" i="3"/>
  <c r="J116" i="19"/>
  <c r="J100" i="9"/>
  <c r="J106" i="16"/>
  <c r="J110" i="23"/>
  <c r="J102" i="10"/>
  <c r="J84" i="19"/>
  <c r="J99" i="6"/>
  <c r="J84" i="4"/>
  <c r="J92" i="13"/>
  <c r="J59" i="15"/>
  <c r="J108" i="6"/>
  <c r="J110" i="1"/>
  <c r="J100" i="1"/>
  <c r="J139" i="6"/>
  <c r="J112" i="9"/>
  <c r="J98" i="10"/>
  <c r="J137" i="7"/>
  <c r="J145" i="13"/>
  <c r="J114" i="16"/>
  <c r="J115" i="16"/>
  <c r="J107" i="18"/>
  <c r="J130" i="3"/>
  <c r="J94" i="11"/>
  <c r="J77" i="5"/>
  <c r="J94" i="14"/>
  <c r="J74" i="17"/>
  <c r="J124" i="14"/>
  <c r="J114" i="14"/>
  <c r="J116" i="16"/>
  <c r="J145" i="6"/>
  <c r="J116" i="22"/>
  <c r="J107" i="16"/>
  <c r="J91" i="21"/>
  <c r="J140" i="19"/>
  <c r="J83" i="6"/>
  <c r="J110" i="14"/>
  <c r="J105" i="13"/>
  <c r="J130" i="6"/>
  <c r="J108" i="16"/>
  <c r="J131" i="9"/>
  <c r="J85" i="22"/>
  <c r="J101" i="4"/>
  <c r="J77" i="18"/>
  <c r="J87" i="10"/>
  <c r="J100" i="21"/>
  <c r="J113" i="13"/>
  <c r="J139" i="9"/>
  <c r="J91" i="9"/>
  <c r="J120" i="3"/>
  <c r="J117" i="13"/>
  <c r="J126" i="14"/>
  <c r="J95" i="8"/>
  <c r="J138" i="19"/>
  <c r="J131" i="6"/>
  <c r="J97" i="19"/>
  <c r="J77" i="19"/>
  <c r="J85" i="19"/>
  <c r="J136" i="16"/>
  <c r="J102" i="3"/>
  <c r="J143" i="7"/>
  <c r="J143" i="13"/>
  <c r="J135" i="23"/>
  <c r="J86" i="9"/>
  <c r="J123" i="7"/>
  <c r="J88" i="17"/>
  <c r="J79" i="21"/>
  <c r="J121" i="22"/>
  <c r="J91" i="10"/>
  <c r="J90" i="10"/>
  <c r="J140" i="23"/>
  <c r="J138" i="6"/>
  <c r="J106" i="12"/>
  <c r="J123" i="6"/>
  <c r="J128" i="16"/>
  <c r="J101" i="11"/>
  <c r="J113" i="6"/>
  <c r="J131" i="4"/>
  <c r="J137" i="23"/>
  <c r="J101" i="8"/>
  <c r="J83" i="13"/>
  <c r="J124" i="8"/>
  <c r="J131" i="8"/>
  <c r="J114" i="10"/>
  <c r="J146" i="13"/>
  <c r="J96" i="16"/>
  <c r="J103" i="7"/>
  <c r="J110" i="20"/>
  <c r="J108" i="20"/>
  <c r="J82" i="4"/>
  <c r="J76" i="14"/>
  <c r="J118" i="11"/>
  <c r="J117" i="11"/>
  <c r="J67" i="15"/>
  <c r="J75" i="17"/>
  <c r="J82" i="21"/>
  <c r="J123" i="21"/>
  <c r="J107" i="6"/>
  <c r="J110" i="7"/>
  <c r="J81" i="21"/>
  <c r="J133" i="9"/>
  <c r="J100" i="23"/>
  <c r="J92" i="10"/>
  <c r="J92" i="1"/>
  <c r="J76" i="12"/>
  <c r="J116" i="8"/>
  <c r="J111" i="21"/>
  <c r="J144" i="6"/>
  <c r="J93" i="20"/>
  <c r="J144" i="16"/>
  <c r="J137" i="19"/>
  <c r="J84" i="12"/>
  <c r="J146" i="10"/>
  <c r="J80" i="1"/>
  <c r="J102" i="1"/>
  <c r="J112" i="4"/>
  <c r="J134" i="23"/>
  <c r="J133" i="11"/>
  <c r="J80" i="8"/>
  <c r="J77" i="9"/>
  <c r="J79" i="23"/>
  <c r="J93" i="12"/>
  <c r="J104" i="10"/>
  <c r="J99" i="19"/>
  <c r="J114" i="11"/>
  <c r="J82" i="23"/>
  <c r="J90" i="12"/>
  <c r="J120" i="21"/>
  <c r="J142" i="9"/>
  <c r="J76" i="19"/>
  <c r="J94" i="1"/>
  <c r="J43" i="15"/>
  <c r="J129" i="23"/>
  <c r="J106" i="11"/>
  <c r="J90" i="13"/>
  <c r="J142" i="8"/>
  <c r="J119" i="6"/>
  <c r="J132" i="6"/>
  <c r="J112" i="12"/>
  <c r="J143" i="9"/>
  <c r="J125" i="20"/>
  <c r="J76" i="11"/>
  <c r="J94" i="6"/>
  <c r="J125" i="14"/>
  <c r="J76" i="16"/>
  <c r="J88" i="19"/>
  <c r="J93" i="16"/>
  <c r="J141" i="1"/>
  <c r="J126" i="21"/>
  <c r="J60" i="15"/>
  <c r="J117" i="23"/>
  <c r="J73" i="11"/>
  <c r="J136" i="5"/>
  <c r="J92" i="11"/>
  <c r="J115" i="5"/>
  <c r="J134" i="10"/>
  <c r="J128" i="1"/>
  <c r="J113" i="3"/>
  <c r="J133" i="7"/>
  <c r="J126" i="22"/>
  <c r="J123" i="5"/>
  <c r="J84" i="14"/>
  <c r="J123" i="19"/>
  <c r="J106" i="13"/>
  <c r="J97" i="10"/>
  <c r="J78" i="11"/>
  <c r="J91" i="23"/>
  <c r="J126" i="4"/>
  <c r="J95" i="21"/>
  <c r="J117" i="9"/>
  <c r="J135" i="7"/>
  <c r="J77" i="7"/>
  <c r="J135" i="11"/>
  <c r="J130" i="11"/>
  <c r="J105" i="3"/>
  <c r="J101" i="14"/>
  <c r="J107" i="11"/>
  <c r="J123" i="14"/>
  <c r="J122" i="14"/>
  <c r="J86" i="11"/>
  <c r="J138" i="4"/>
  <c r="J136" i="6"/>
  <c r="J106" i="21"/>
  <c r="J86" i="1"/>
  <c r="J133" i="21"/>
  <c r="J142" i="19"/>
  <c r="J132" i="9"/>
  <c r="J93" i="7"/>
  <c r="J101" i="19"/>
  <c r="J110" i="19"/>
  <c r="J130" i="12"/>
  <c r="J117" i="8"/>
  <c r="J118" i="21"/>
  <c r="J124" i="19"/>
  <c r="J118" i="22"/>
  <c r="J127" i="8"/>
  <c r="J146" i="9"/>
  <c r="J91" i="12"/>
  <c r="J90" i="16"/>
  <c r="J135" i="16"/>
  <c r="J101" i="3"/>
  <c r="J86" i="13"/>
  <c r="J90" i="7"/>
  <c r="J106" i="14"/>
  <c r="J138" i="1"/>
  <c r="J145" i="9"/>
  <c r="J125" i="7"/>
  <c r="J126" i="12"/>
  <c r="J84" i="8"/>
  <c r="J129" i="16"/>
  <c r="J115" i="17"/>
  <c r="J112" i="8"/>
  <c r="J92" i="6"/>
  <c r="J117" i="16"/>
  <c r="J126" i="19"/>
  <c r="J83" i="19"/>
  <c r="J98" i="8"/>
  <c r="J70" i="15"/>
  <c r="J82" i="6"/>
  <c r="J86" i="18"/>
  <c r="J89" i="13"/>
  <c r="J95" i="7"/>
  <c r="J89" i="9"/>
  <c r="J96" i="19"/>
  <c r="J138" i="9"/>
  <c r="J125" i="1"/>
  <c r="J100" i="14"/>
  <c r="J119" i="23"/>
  <c r="J122" i="22"/>
  <c r="J105" i="11"/>
  <c r="J85" i="1"/>
  <c r="J137" i="10"/>
  <c r="J82" i="19"/>
  <c r="J132" i="1"/>
  <c r="J90" i="23"/>
  <c r="J121" i="10"/>
  <c r="J122" i="16"/>
  <c r="J79" i="13"/>
  <c r="J116" i="6"/>
  <c r="J136" i="11"/>
  <c r="J91" i="4"/>
  <c r="J76" i="5"/>
  <c r="J114" i="22"/>
  <c r="J75" i="14"/>
  <c r="J50" i="15"/>
  <c r="J108" i="4"/>
  <c r="J54" i="15"/>
  <c r="J76" i="18"/>
  <c r="J92" i="16"/>
  <c r="J105" i="14"/>
  <c r="J83" i="16"/>
  <c r="J84" i="7"/>
  <c r="J109" i="16"/>
  <c r="J124" i="20"/>
  <c r="J135" i="14"/>
  <c r="J118" i="16"/>
  <c r="J117" i="1"/>
  <c r="J125" i="13"/>
  <c r="J91" i="16"/>
  <c r="J106" i="5"/>
  <c r="J101" i="23"/>
  <c r="J132" i="3"/>
  <c r="J104" i="13"/>
  <c r="J144" i="8"/>
  <c r="J88" i="23"/>
  <c r="J79" i="10"/>
  <c r="J134" i="16"/>
  <c r="J91" i="14"/>
  <c r="J108" i="23"/>
  <c r="J97" i="20"/>
  <c r="J81" i="5"/>
  <c r="J106" i="23"/>
  <c r="J129" i="10"/>
  <c r="J135" i="12"/>
  <c r="J129" i="12"/>
  <c r="J85" i="9"/>
  <c r="J120" i="8"/>
  <c r="J109" i="17"/>
  <c r="J121" i="6"/>
  <c r="J83" i="7"/>
  <c r="J136" i="23"/>
  <c r="J98" i="9"/>
  <c r="J144" i="9"/>
  <c r="J105" i="5"/>
  <c r="J100" i="7"/>
  <c r="J137" i="20"/>
  <c r="J96" i="20"/>
  <c r="J121" i="1"/>
  <c r="J109" i="1"/>
  <c r="J85" i="12"/>
  <c r="J110" i="13"/>
  <c r="J95" i="10"/>
  <c r="J100" i="6"/>
  <c r="J124" i="4"/>
  <c r="J137" i="13"/>
  <c r="J82" i="14"/>
  <c r="J80" i="22"/>
  <c r="J128" i="19"/>
  <c r="J118" i="7"/>
  <c r="J128" i="11"/>
  <c r="J89" i="19"/>
  <c r="J104" i="23"/>
  <c r="J64" i="15"/>
  <c r="J106" i="7"/>
  <c r="J136" i="4"/>
  <c r="J82" i="18"/>
  <c r="J130" i="17"/>
  <c r="J87" i="22"/>
  <c r="J90" i="1"/>
  <c r="J122" i="9"/>
  <c r="J85" i="5"/>
  <c r="J138" i="16"/>
  <c r="J113" i="10"/>
  <c r="J119" i="12"/>
  <c r="J124" i="6"/>
  <c r="J134" i="4"/>
  <c r="J94" i="18"/>
  <c r="J93" i="11"/>
  <c r="J98" i="4"/>
  <c r="J104" i="4"/>
  <c r="J133" i="14"/>
  <c r="J77" i="14"/>
  <c r="J87" i="20"/>
  <c r="J132" i="5"/>
  <c r="J106" i="6"/>
  <c r="J117" i="22"/>
  <c r="J82" i="10"/>
  <c r="J128" i="23"/>
  <c r="J101" i="13"/>
  <c r="J116" i="5"/>
  <c r="J73" i="3"/>
  <c r="J106" i="10"/>
  <c r="J122" i="7"/>
  <c r="J89" i="12"/>
  <c r="J89" i="10"/>
  <c r="J73" i="15"/>
  <c r="J91" i="13"/>
  <c r="J74" i="3"/>
  <c r="J142" i="1"/>
  <c r="J145" i="23"/>
  <c r="J119" i="21"/>
  <c r="J83" i="8"/>
  <c r="J124" i="7"/>
  <c r="J127" i="11"/>
  <c r="J109" i="23"/>
  <c r="J112" i="11"/>
  <c r="J122" i="11"/>
  <c r="J107" i="23"/>
  <c r="J107" i="13"/>
  <c r="J124" i="23"/>
  <c r="J92" i="12"/>
  <c r="J129" i="8"/>
  <c r="J112" i="19"/>
  <c r="J134" i="20"/>
  <c r="J142" i="21"/>
  <c r="J91" i="6"/>
  <c r="J129" i="6"/>
  <c r="J125" i="10"/>
  <c r="J119" i="8"/>
  <c r="J86" i="22"/>
  <c r="J105" i="21"/>
  <c r="J51" i="15"/>
  <c r="J120" i="14"/>
  <c r="J132" i="10"/>
  <c r="J96" i="23"/>
  <c r="J114" i="7"/>
  <c r="J84" i="13"/>
  <c r="J135" i="13"/>
  <c r="J106" i="9"/>
  <c r="J94" i="5"/>
  <c r="J77" i="13"/>
  <c r="J127" i="5"/>
  <c r="J115" i="22"/>
  <c r="J127" i="19"/>
  <c r="J114" i="8"/>
  <c r="J103" i="8"/>
  <c r="J111" i="19"/>
  <c r="J116" i="1"/>
  <c r="J92" i="3"/>
  <c r="J86" i="12"/>
  <c r="J113" i="4"/>
  <c r="J118" i="14"/>
  <c r="J134" i="1"/>
  <c r="J79" i="11"/>
  <c r="J98" i="1"/>
  <c r="J81" i="17"/>
  <c r="J144" i="12"/>
  <c r="J132" i="7"/>
  <c r="J108" i="14"/>
  <c r="J97" i="3"/>
  <c r="J103" i="23"/>
  <c r="J121" i="11"/>
  <c r="J120" i="16"/>
  <c r="J103" i="17"/>
  <c r="J108" i="10"/>
  <c r="J99" i="11"/>
  <c r="J102" i="16"/>
  <c r="J134" i="8"/>
  <c r="J131" i="21"/>
  <c r="J118" i="20"/>
  <c r="J84" i="11"/>
  <c r="J104" i="17"/>
  <c r="J72" i="20"/>
  <c r="J111" i="23"/>
  <c r="J96" i="5"/>
  <c r="J134" i="21"/>
  <c r="J93" i="5"/>
  <c r="J114" i="19"/>
  <c r="J88" i="12"/>
  <c r="J135" i="20"/>
  <c r="J107" i="17"/>
  <c r="J80" i="6"/>
  <c r="J141" i="9"/>
  <c r="J99" i="7"/>
  <c r="J102" i="21"/>
  <c r="J79" i="3"/>
  <c r="J129" i="4"/>
  <c r="J94" i="23"/>
  <c r="J104" i="19"/>
  <c r="J118" i="13"/>
  <c r="J99" i="16"/>
  <c r="J93" i="4"/>
  <c r="J125" i="17"/>
  <c r="J77" i="21"/>
  <c r="J135" i="5"/>
  <c r="J132" i="16"/>
  <c r="J119" i="9"/>
  <c r="J124" i="11"/>
  <c r="J131" i="13"/>
  <c r="J98" i="3"/>
  <c r="J78" i="21"/>
  <c r="J88" i="22"/>
  <c r="J93" i="19"/>
  <c r="J131" i="22"/>
  <c r="J95" i="12"/>
  <c r="J133" i="22"/>
  <c r="J99" i="3"/>
  <c r="J124" i="5"/>
  <c r="J136" i="14"/>
  <c r="J91" i="1"/>
  <c r="J86" i="5"/>
  <c r="J89" i="18"/>
  <c r="J128" i="21"/>
  <c r="J86" i="3"/>
  <c r="J89" i="5"/>
  <c r="J98" i="20"/>
  <c r="J94" i="9"/>
  <c r="J105" i="10"/>
  <c r="J96" i="10"/>
  <c r="J123" i="11"/>
  <c r="J138" i="7"/>
  <c r="J83" i="14"/>
  <c r="J127" i="3"/>
  <c r="J123" i="17"/>
  <c r="J104" i="21"/>
  <c r="J85" i="13"/>
  <c r="J102" i="19"/>
  <c r="J131" i="19"/>
  <c r="J88" i="18"/>
  <c r="J123" i="1"/>
  <c r="J111" i="3"/>
  <c r="J87" i="14"/>
  <c r="J91" i="17"/>
  <c r="J131" i="3"/>
  <c r="J143" i="16"/>
  <c r="J127" i="20"/>
  <c r="J144" i="23"/>
  <c r="J120" i="12"/>
  <c r="J112" i="3"/>
  <c r="J117" i="20"/>
  <c r="J140" i="12"/>
  <c r="J126" i="6"/>
  <c r="J76" i="6"/>
  <c r="J101" i="6"/>
  <c r="J91" i="7"/>
  <c r="J102" i="6"/>
  <c r="J102" i="7"/>
  <c r="J81" i="7"/>
  <c r="J95" i="19"/>
  <c r="J92" i="23"/>
  <c r="J108" i="9"/>
  <c r="J114" i="6"/>
  <c r="J133" i="12"/>
  <c r="J90" i="6"/>
  <c r="J97" i="17"/>
  <c r="J109" i="5"/>
  <c r="J120" i="5"/>
  <c r="J81" i="14"/>
  <c r="J99" i="12"/>
  <c r="J48" i="15"/>
  <c r="J87" i="23"/>
  <c r="J130" i="14"/>
  <c r="J117" i="19"/>
  <c r="J131" i="16"/>
  <c r="J113" i="11"/>
  <c r="J89" i="11"/>
  <c r="J77" i="12"/>
  <c r="J125" i="19"/>
  <c r="J124" i="21"/>
  <c r="J103" i="10"/>
  <c r="J94" i="22"/>
  <c r="J133" i="5"/>
  <c r="J104" i="16"/>
  <c r="J113" i="12"/>
  <c r="J86" i="6"/>
  <c r="J123" i="8"/>
  <c r="J82" i="5"/>
  <c r="J75" i="20"/>
  <c r="J100" i="10"/>
  <c r="J117" i="14"/>
  <c r="J111" i="9"/>
  <c r="J100" i="16"/>
  <c r="J112" i="22"/>
  <c r="J93" i="18"/>
  <c r="J123" i="18"/>
  <c r="J115" i="14"/>
  <c r="J135" i="8"/>
  <c r="J105" i="23"/>
  <c r="J61" i="15"/>
  <c r="J133" i="3"/>
  <c r="J110" i="11"/>
  <c r="J81" i="8"/>
  <c r="J81" i="6"/>
  <c r="J94" i="4"/>
  <c r="J82" i="9"/>
  <c r="J89" i="22"/>
  <c r="J139" i="7"/>
  <c r="J120" i="13"/>
  <c r="J129" i="20"/>
  <c r="J83" i="17"/>
  <c r="J81" i="13"/>
  <c r="J107" i="22"/>
  <c r="J113" i="8"/>
  <c r="J112" i="16"/>
  <c r="J124" i="17"/>
  <c r="J103" i="21"/>
  <c r="J78" i="20"/>
  <c r="J131" i="17"/>
  <c r="J98" i="21"/>
  <c r="J91" i="11"/>
  <c r="J102" i="4"/>
  <c r="J81" i="10"/>
  <c r="J139" i="10"/>
  <c r="J115" i="4"/>
  <c r="J94" i="12"/>
  <c r="J104" i="18"/>
  <c r="J107" i="3"/>
  <c r="J109" i="6"/>
  <c r="J102" i="20"/>
  <c r="J135" i="9"/>
  <c r="J136" i="3"/>
  <c r="J90" i="21"/>
  <c r="J101" i="22"/>
  <c r="J100" i="17"/>
  <c r="J95" i="11"/>
  <c r="J142" i="12"/>
  <c r="J107" i="7"/>
  <c r="J101" i="7"/>
  <c r="J108" i="7"/>
  <c r="J112" i="23"/>
  <c r="J138" i="8"/>
  <c r="J83" i="23"/>
  <c r="J108" i="19"/>
  <c r="J134" i="6"/>
  <c r="J137" i="8"/>
  <c r="J110" i="16"/>
  <c r="J121" i="21"/>
  <c r="J73" i="18"/>
  <c r="J104" i="22"/>
  <c r="J123" i="22"/>
  <c r="J138" i="18"/>
  <c r="J130" i="8"/>
  <c r="J94" i="3"/>
  <c r="J114" i="13"/>
  <c r="J139" i="21"/>
  <c r="J119" i="16"/>
  <c r="J133" i="16"/>
  <c r="J131" i="7"/>
  <c r="J145" i="16"/>
  <c r="J103" i="9"/>
  <c r="J110" i="8"/>
  <c r="J130" i="7"/>
  <c r="J140" i="9"/>
  <c r="J78" i="13"/>
  <c r="J90" i="11"/>
  <c r="J101" i="1"/>
  <c r="J98" i="19"/>
  <c r="J104" i="8"/>
  <c r="J96" i="1"/>
  <c r="J96" i="7"/>
  <c r="J135" i="17"/>
  <c r="J102" i="22"/>
  <c r="J73" i="14"/>
  <c r="J126" i="16"/>
  <c r="J96" i="9"/>
  <c r="J84" i="5"/>
  <c r="J115" i="20"/>
  <c r="J95" i="20"/>
  <c r="J116" i="21"/>
  <c r="J97" i="1"/>
  <c r="J102" i="12"/>
  <c r="J109" i="9"/>
  <c r="J115" i="18"/>
  <c r="J108" i="3"/>
  <c r="J111" i="12"/>
  <c r="J78" i="6"/>
  <c r="J75" i="4"/>
  <c r="J90" i="19"/>
  <c r="J83" i="5"/>
  <c r="J107" i="10"/>
  <c r="J75" i="22"/>
  <c r="J92" i="22"/>
  <c r="J102" i="13"/>
  <c r="J99" i="22"/>
  <c r="J94" i="7"/>
  <c r="J88" i="10"/>
  <c r="J123" i="9"/>
  <c r="J95" i="22"/>
  <c r="J115" i="12"/>
  <c r="J120" i="11"/>
  <c r="J83" i="18"/>
  <c r="J93" i="3"/>
  <c r="J113" i="5"/>
  <c r="J117" i="18"/>
  <c r="J92" i="19"/>
  <c r="J108" i="5"/>
  <c r="J143" i="23"/>
  <c r="J94" i="13"/>
  <c r="J89" i="4"/>
  <c r="J78" i="22"/>
  <c r="J122" i="10"/>
  <c r="J144" i="10"/>
  <c r="J101" i="16"/>
  <c r="J137" i="5"/>
  <c r="J80" i="7"/>
  <c r="J102" i="18"/>
  <c r="J120" i="18"/>
  <c r="J122" i="19"/>
  <c r="J144" i="7"/>
  <c r="J121" i="23"/>
  <c r="J85" i="23"/>
  <c r="J135" i="6"/>
  <c r="J82" i="7"/>
  <c r="J99" i="13"/>
  <c r="J137" i="12"/>
  <c r="J96" i="12"/>
  <c r="J127" i="6"/>
  <c r="J130" i="13"/>
  <c r="J88" i="13"/>
  <c r="J93" i="8"/>
  <c r="J95" i="14"/>
  <c r="J119" i="4"/>
  <c r="J95" i="4"/>
  <c r="J88" i="5"/>
  <c r="J119" i="14"/>
  <c r="J146" i="1"/>
  <c r="J84" i="9"/>
  <c r="J79" i="6"/>
  <c r="J93" i="6"/>
  <c r="J115" i="21"/>
  <c r="J81" i="19"/>
  <c r="J127" i="7"/>
  <c r="J82" i="8"/>
  <c r="J136" i="19"/>
  <c r="J113" i="19"/>
  <c r="J117" i="12"/>
  <c r="J118" i="19"/>
  <c r="J80" i="21"/>
  <c r="J86" i="19"/>
  <c r="J145" i="21"/>
  <c r="J145" i="1"/>
  <c r="J125" i="18"/>
  <c r="J112" i="6"/>
  <c r="J85" i="16"/>
  <c r="J102" i="17"/>
  <c r="J90" i="4"/>
  <c r="J77" i="22"/>
  <c r="J138" i="13"/>
  <c r="J89" i="23"/>
  <c r="J105" i="7"/>
  <c r="J94" i="17"/>
  <c r="J96" i="11"/>
  <c r="J124" i="10"/>
  <c r="J126" i="10"/>
  <c r="J79" i="9"/>
  <c r="J122" i="1"/>
  <c r="J79" i="20"/>
  <c r="J104" i="20"/>
  <c r="J78" i="10"/>
  <c r="J100" i="8"/>
  <c r="J79" i="8"/>
  <c r="J142" i="16"/>
  <c r="J111" i="22"/>
  <c r="J112" i="13"/>
  <c r="J125" i="22"/>
  <c r="J68" i="15"/>
  <c r="J73" i="22"/>
  <c r="J128" i="3"/>
  <c r="J133" i="23"/>
  <c r="J79" i="19"/>
  <c r="J120" i="10"/>
  <c r="J74" i="20"/>
  <c r="J114" i="9"/>
  <c r="J46" i="15"/>
  <c r="J114" i="5"/>
  <c r="J135" i="10"/>
  <c r="J87" i="21"/>
  <c r="J103" i="20"/>
  <c r="J80" i="9"/>
  <c r="J100" i="20"/>
  <c r="J129" i="7"/>
  <c r="J110" i="3"/>
  <c r="J91" i="22"/>
  <c r="J110" i="18"/>
  <c r="J80" i="10"/>
  <c r="J111" i="6"/>
  <c r="J107" i="19"/>
  <c r="J88" i="4"/>
  <c r="J83" i="12"/>
  <c r="J85" i="14"/>
  <c r="J137" i="11"/>
  <c r="J138" i="5"/>
  <c r="J145" i="7"/>
  <c r="J111" i="10"/>
  <c r="J86" i="23"/>
  <c r="J84" i="23"/>
  <c r="J105" i="12"/>
  <c r="J122" i="12"/>
  <c r="J120" i="7"/>
  <c r="J89" i="6"/>
  <c r="J129" i="13"/>
  <c r="J125" i="8"/>
  <c r="J146" i="21"/>
  <c r="J83" i="10"/>
  <c r="J96" i="14"/>
  <c r="J87" i="3"/>
  <c r="J110" i="17"/>
  <c r="J105" i="16"/>
  <c r="J128" i="10"/>
  <c r="J115" i="7"/>
  <c r="J103" i="19"/>
  <c r="J92" i="9"/>
  <c r="J130" i="23"/>
  <c r="J123" i="23"/>
  <c r="J103" i="1"/>
  <c r="J120" i="23"/>
  <c r="J133" i="10"/>
  <c r="J142" i="23"/>
  <c r="J104" i="1"/>
  <c r="J138" i="12"/>
  <c r="J116" i="7"/>
  <c r="J111" i="8"/>
  <c r="J111" i="1"/>
  <c r="J102" i="23"/>
  <c r="J79" i="1"/>
  <c r="J112" i="20"/>
  <c r="J117" i="7"/>
  <c r="J115" i="1"/>
  <c r="J143" i="12"/>
  <c r="J137" i="14"/>
  <c r="J106" i="19"/>
  <c r="J76" i="4"/>
  <c r="J77" i="10"/>
  <c r="J101" i="10"/>
  <c r="J135" i="4"/>
  <c r="J41" i="15"/>
  <c r="J77" i="8"/>
  <c r="J86" i="8"/>
  <c r="J135" i="3"/>
  <c r="J87" i="12"/>
  <c r="J100" i="22"/>
  <c r="J69" i="15"/>
  <c r="J101" i="20"/>
  <c r="J139" i="19"/>
  <c r="J93" i="10"/>
  <c r="J84" i="1"/>
  <c r="J132" i="22"/>
  <c r="J98" i="13"/>
  <c r="J114" i="18"/>
  <c r="J42" i="15"/>
  <c r="J124" i="9"/>
  <c r="J134" i="22"/>
  <c r="J128" i="5"/>
  <c r="J130" i="19"/>
  <c r="J98" i="11"/>
  <c r="J97" i="11"/>
  <c r="J126" i="23"/>
  <c r="J100" i="11"/>
  <c r="J111" i="18"/>
  <c r="J95" i="9"/>
  <c r="J115" i="10"/>
  <c r="J143" i="10"/>
  <c r="J145" i="19"/>
  <c r="J73" i="4"/>
  <c r="J135" i="21"/>
  <c r="J86" i="14"/>
  <c r="J109" i="11"/>
  <c r="J100" i="19"/>
  <c r="J78" i="8"/>
  <c r="J112" i="1"/>
  <c r="J129" i="1"/>
  <c r="J80" i="17"/>
  <c r="J116" i="23"/>
  <c r="J128" i="20"/>
  <c r="J138" i="11"/>
  <c r="J114" i="12"/>
  <c r="J141" i="12"/>
  <c r="J131" i="23"/>
  <c r="J104" i="12"/>
  <c r="J141" i="6"/>
  <c r="J79" i="12"/>
  <c r="J115" i="13"/>
  <c r="J92" i="7"/>
  <c r="J94" i="19"/>
  <c r="J93" i="23"/>
  <c r="J87" i="13"/>
  <c r="J116" i="13"/>
  <c r="J133" i="20"/>
  <c r="J123" i="13"/>
  <c r="J77" i="4"/>
  <c r="J109" i="22"/>
  <c r="J132" i="17"/>
  <c r="J95" i="23"/>
  <c r="J83" i="9"/>
  <c r="J104" i="5"/>
  <c r="J131" i="1"/>
  <c r="J139" i="8"/>
  <c r="J74" i="22"/>
  <c r="J126" i="7"/>
  <c r="J81" i="16"/>
  <c r="J109" i="18"/>
  <c r="J139" i="1"/>
  <c r="J126" i="13"/>
  <c r="J122" i="17"/>
  <c r="J99" i="21"/>
  <c r="J120" i="19"/>
  <c r="J121" i="5"/>
  <c r="J131" i="10"/>
  <c r="J77" i="23"/>
  <c r="J111" i="4"/>
  <c r="J86" i="4"/>
  <c r="J146" i="23"/>
  <c r="J121" i="16"/>
  <c r="J110" i="9"/>
  <c r="J109" i="3"/>
  <c r="J136" i="21"/>
  <c r="J115" i="19"/>
  <c r="J110" i="12"/>
  <c r="J82" i="12"/>
  <c r="J76" i="22"/>
  <c r="J143" i="21"/>
  <c r="J127" i="16"/>
  <c r="J133" i="1"/>
  <c r="J121" i="3"/>
  <c r="J136" i="1"/>
  <c r="J72" i="15"/>
  <c r="J88" i="14"/>
  <c r="J116" i="4"/>
  <c r="J83" i="4"/>
  <c r="J120" i="9"/>
  <c r="J110" i="10"/>
  <c r="J91" i="3"/>
  <c r="J128" i="7"/>
  <c r="J95" i="17"/>
  <c r="J90" i="17"/>
  <c r="J118" i="1"/>
  <c r="J109" i="7"/>
  <c r="J75" i="3"/>
  <c r="J141" i="16"/>
  <c r="J126" i="20"/>
  <c r="J121" i="12"/>
  <c r="J92" i="18"/>
  <c r="J118" i="17"/>
  <c r="J78" i="3"/>
  <c r="J140" i="16"/>
  <c r="J87" i="8"/>
  <c r="J125" i="16"/>
  <c r="J83" i="1"/>
  <c r="J131" i="18"/>
  <c r="J127" i="21"/>
  <c r="J114" i="20"/>
  <c r="J80" i="20"/>
  <c r="J117" i="4"/>
  <c r="J108" i="17"/>
  <c r="J114" i="23"/>
  <c r="J81" i="9"/>
  <c r="J96" i="18"/>
  <c r="J82" i="13"/>
  <c r="J138" i="14"/>
  <c r="J116" i="20"/>
  <c r="J118" i="23"/>
  <c r="J123" i="12"/>
  <c r="J88" i="6"/>
  <c r="J132" i="23"/>
  <c r="J100" i="13"/>
  <c r="J140" i="6"/>
  <c r="J134" i="13"/>
  <c r="J119" i="7"/>
  <c r="J126" i="8"/>
  <c r="J118" i="10"/>
  <c r="J113" i="23"/>
  <c r="J115" i="11"/>
  <c r="J128" i="13"/>
  <c r="J100" i="5"/>
  <c r="J78" i="5"/>
  <c r="J83" i="11"/>
  <c r="J112" i="21"/>
  <c r="J144" i="19"/>
  <c r="J114" i="17"/>
  <c r="J88" i="21"/>
  <c r="J124" i="1"/>
  <c r="J89" i="17"/>
  <c r="J95" i="16"/>
  <c r="J117" i="21"/>
  <c r="J116" i="18"/>
  <c r="J78" i="9"/>
  <c r="J97" i="9"/>
  <c r="J108" i="22"/>
  <c r="J98" i="12"/>
  <c r="J97" i="8"/>
  <c r="J100" i="3"/>
  <c r="J121" i="19"/>
  <c r="J85" i="6"/>
  <c r="J80" i="14"/>
  <c r="J95" i="3"/>
  <c r="J136" i="12"/>
  <c r="J99" i="1"/>
  <c r="J111" i="13"/>
  <c r="J103" i="18"/>
  <c r="J119" i="11"/>
  <c r="J87" i="19"/>
  <c r="J87" i="4"/>
  <c r="J97" i="13"/>
  <c r="J85" i="3"/>
  <c r="J109" i="10"/>
  <c r="J122" i="4"/>
  <c r="J125" i="21"/>
  <c r="J134" i="17"/>
  <c r="J93" i="13"/>
  <c r="J47" i="15"/>
  <c r="J84" i="17"/>
  <c r="J140" i="21"/>
  <c r="J81" i="23"/>
  <c r="J141" i="8"/>
  <c r="J138" i="21"/>
  <c r="J78" i="18"/>
  <c r="J86" i="7"/>
  <c r="J107" i="14"/>
  <c r="J121" i="18"/>
  <c r="J103" i="12"/>
  <c r="J123" i="10"/>
  <c r="J82" i="17"/>
  <c r="J138" i="10"/>
  <c r="J130" i="18"/>
  <c r="J85" i="7"/>
  <c r="J125" i="4"/>
  <c r="J101" i="17"/>
  <c r="J130" i="21"/>
  <c r="J65" i="15"/>
  <c r="J137" i="16"/>
  <c r="J98" i="16"/>
  <c r="J88" i="1"/>
  <c r="J74" i="4"/>
  <c r="J132" i="13"/>
  <c r="J119" i="17"/>
  <c r="J105" i="20"/>
  <c r="J77" i="20"/>
  <c r="J87" i="6"/>
  <c r="J85" i="8"/>
  <c r="J91" i="19"/>
  <c r="J97" i="18"/>
  <c r="J79" i="7"/>
  <c r="J105" i="18"/>
  <c r="J90" i="5"/>
  <c r="J126" i="17"/>
  <c r="J131" i="14"/>
  <c r="J142" i="7"/>
  <c r="J75" i="11"/>
  <c r="J118" i="4"/>
  <c r="J77" i="3"/>
  <c r="J74" i="11"/>
  <c r="J127" i="17"/>
  <c r="J137" i="1"/>
  <c r="J141" i="21"/>
  <c r="J77" i="6"/>
  <c r="J130" i="22"/>
  <c r="J80" i="19"/>
  <c r="J113" i="9"/>
  <c r="J128" i="6"/>
  <c r="J81" i="20"/>
  <c r="J104" i="11"/>
  <c r="J76" i="20"/>
  <c r="J71" i="15"/>
  <c r="J133" i="13"/>
  <c r="J109" i="19"/>
  <c r="J108" i="18"/>
  <c r="J134" i="5"/>
  <c r="J97" i="12"/>
  <c r="J96" i="22"/>
  <c r="J135" i="1"/>
  <c r="J123" i="4"/>
  <c r="J113" i="20"/>
  <c r="J116" i="14"/>
  <c r="J134" i="3"/>
  <c r="J79" i="18"/>
  <c r="J89" i="1"/>
  <c r="J94" i="20"/>
  <c r="J103" i="11"/>
  <c r="J122" i="18"/>
  <c r="J119" i="13"/>
  <c r="J79" i="14"/>
  <c r="J141" i="23"/>
  <c r="J122" i="3"/>
  <c r="J99" i="20"/>
  <c r="J120" i="6"/>
  <c r="J122" i="6"/>
  <c r="J99" i="23"/>
  <c r="J114" i="4"/>
  <c r="J122" i="23"/>
  <c r="J89" i="21"/>
  <c r="J78" i="12"/>
  <c r="J106" i="17"/>
  <c r="J99" i="14"/>
  <c r="J125" i="23"/>
  <c r="J80" i="11"/>
  <c r="J130" i="1"/>
  <c r="J103" i="13"/>
  <c r="J119" i="3"/>
  <c r="J95" i="5"/>
  <c r="J112" i="10"/>
  <c r="J135" i="19"/>
  <c r="J136" i="20"/>
  <c r="J74" i="14"/>
  <c r="J132" i="19"/>
  <c r="J87" i="1"/>
  <c r="J93" i="1"/>
  <c r="J127" i="10"/>
  <c r="J117" i="10"/>
  <c r="J102" i="8"/>
  <c r="J107" i="5"/>
  <c r="J129" i="19"/>
  <c r="J94" i="10"/>
  <c r="J77" i="11"/>
  <c r="J126" i="9"/>
  <c r="J90" i="22"/>
  <c r="J84" i="16"/>
  <c r="J97" i="23"/>
  <c r="J93" i="22"/>
  <c r="J103" i="6"/>
  <c r="J114" i="3"/>
  <c r="J98" i="23"/>
  <c r="P13" i="17"/>
  <c r="L14" i="17" s="1"/>
  <c r="L17" i="17" s="1"/>
  <c r="H17" i="2" s="1"/>
  <c r="L15" i="17"/>
  <c r="L18" i="17" s="1"/>
  <c r="I17" i="2" s="1"/>
  <c r="P13" i="14"/>
  <c r="L14" i="14" s="1"/>
  <c r="L17" i="14" s="1"/>
  <c r="H14" i="2" s="1"/>
  <c r="L15" i="14"/>
  <c r="L18" i="14" s="1"/>
  <c r="I14" i="2" s="1"/>
  <c r="L15" i="5"/>
  <c r="L18" i="5" s="1"/>
  <c r="I5" i="2" s="1"/>
  <c r="P13" i="5"/>
  <c r="L14" i="5" s="1"/>
  <c r="L17" i="5" s="1"/>
  <c r="H5" i="2" s="1"/>
  <c r="L15" i="20"/>
  <c r="L18" i="20" s="1"/>
  <c r="I20" i="2" s="1"/>
  <c r="P13" i="20"/>
  <c r="L14" i="20" s="1"/>
  <c r="L17" i="20" s="1"/>
  <c r="H20" i="2" s="1"/>
  <c r="G19" i="2"/>
  <c r="N4" i="2"/>
  <c r="L15" i="3"/>
  <c r="L18" i="3" s="1"/>
  <c r="I3" i="2" s="1"/>
  <c r="P13" i="3"/>
  <c r="L14" i="3" s="1"/>
  <c r="L17" i="3" s="1"/>
  <c r="H3" i="2" s="1"/>
  <c r="P13" i="4"/>
  <c r="L14" i="4" s="1"/>
  <c r="L17" i="4" s="1"/>
  <c r="H4" i="2" s="1"/>
  <c r="L15" i="4"/>
  <c r="L18" i="4" s="1"/>
  <c r="I4" i="2" s="1"/>
  <c r="N76" i="22" l="1"/>
  <c r="N26" i="22"/>
  <c r="AC22" i="24" s="1"/>
  <c r="M76" i="22"/>
  <c r="M26" i="22"/>
  <c r="AB22" i="24" s="1"/>
  <c r="L76" i="22"/>
  <c r="K26" i="22"/>
  <c r="Z22" i="24" s="1"/>
  <c r="L26" i="22"/>
  <c r="AA22" i="24" s="1"/>
  <c r="O76" i="22"/>
  <c r="T22" i="24"/>
  <c r="M26" i="14"/>
  <c r="AB14" i="24" s="1"/>
  <c r="L26" i="14"/>
  <c r="AA14" i="24" s="1"/>
  <c r="K26" i="14"/>
  <c r="Z14" i="24" s="1"/>
  <c r="N26" i="14"/>
  <c r="AC14" i="24" s="1"/>
  <c r="T14" i="24"/>
  <c r="L26" i="6"/>
  <c r="AA6" i="24" s="1"/>
  <c r="K26" i="6"/>
  <c r="Z6" i="24" s="1"/>
  <c r="N26" i="6"/>
  <c r="AC6" i="24" s="1"/>
  <c r="M26" i="6"/>
  <c r="AB6" i="24" s="1"/>
  <c r="T6" i="24"/>
  <c r="L26" i="16"/>
  <c r="AA16" i="24" s="1"/>
  <c r="M26" i="16"/>
  <c r="AB16" i="24" s="1"/>
  <c r="N26" i="16"/>
  <c r="AC16" i="24" s="1"/>
  <c r="K26" i="16"/>
  <c r="Z16" i="24" s="1"/>
  <c r="T16" i="24"/>
  <c r="K26" i="12"/>
  <c r="Z12" i="24" s="1"/>
  <c r="L26" i="12"/>
  <c r="AA12" i="24" s="1"/>
  <c r="M26" i="12"/>
  <c r="AB12" i="24" s="1"/>
  <c r="N26" i="12"/>
  <c r="AC12" i="24" s="1"/>
  <c r="T12" i="24"/>
  <c r="N26" i="17"/>
  <c r="AC17" i="24" s="1"/>
  <c r="K26" i="17"/>
  <c r="Z17" i="24" s="1"/>
  <c r="M26" i="17"/>
  <c r="AB17" i="24" s="1"/>
  <c r="L26" i="17"/>
  <c r="AA17" i="24" s="1"/>
  <c r="T17" i="24"/>
  <c r="K26" i="18"/>
  <c r="Z18" i="24" s="1"/>
  <c r="L26" i="18"/>
  <c r="AA18" i="24" s="1"/>
  <c r="N26" i="18"/>
  <c r="AC18" i="24" s="1"/>
  <c r="M26" i="18"/>
  <c r="AB18" i="24" s="1"/>
  <c r="T18" i="24"/>
  <c r="K26" i="21"/>
  <c r="Z21" i="24" s="1"/>
  <c r="M26" i="21"/>
  <c r="AB21" i="24" s="1"/>
  <c r="N26" i="21"/>
  <c r="AC21" i="24" s="1"/>
  <c r="L26" i="21"/>
  <c r="AA21" i="24" s="1"/>
  <c r="T21" i="24"/>
  <c r="K26" i="11"/>
  <c r="Z11" i="24" s="1"/>
  <c r="N26" i="11"/>
  <c r="AC11" i="24" s="1"/>
  <c r="M26" i="11"/>
  <c r="AB11" i="24" s="1"/>
  <c r="L26" i="11"/>
  <c r="AA11" i="24" s="1"/>
  <c r="T11" i="24"/>
  <c r="N26" i="9"/>
  <c r="AC9" i="24" s="1"/>
  <c r="K26" i="9"/>
  <c r="Z9" i="24" s="1"/>
  <c r="M26" i="9"/>
  <c r="AB9" i="24" s="1"/>
  <c r="L26" i="9"/>
  <c r="AA9" i="24" s="1"/>
  <c r="T9" i="24"/>
  <c r="M26" i="23"/>
  <c r="AB23" i="24" s="1"/>
  <c r="L26" i="23"/>
  <c r="AA23" i="24" s="1"/>
  <c r="K26" i="23"/>
  <c r="Z23" i="24" s="1"/>
  <c r="N26" i="23"/>
  <c r="AC23" i="24" s="1"/>
  <c r="T23" i="24"/>
  <c r="N26" i="8"/>
  <c r="AC8" i="24" s="1"/>
  <c r="L26" i="8"/>
  <c r="AA8" i="24" s="1"/>
  <c r="K26" i="8"/>
  <c r="Z8" i="24" s="1"/>
  <c r="M26" i="8"/>
  <c r="AB8" i="24" s="1"/>
  <c r="T8" i="24"/>
  <c r="K26" i="5"/>
  <c r="Z5" i="24" s="1"/>
  <c r="N26" i="5"/>
  <c r="AC5" i="24" s="1"/>
  <c r="M26" i="5"/>
  <c r="AB5" i="24" s="1"/>
  <c r="L26" i="5"/>
  <c r="AA5" i="24" s="1"/>
  <c r="T5" i="24"/>
  <c r="N26" i="15"/>
  <c r="AC15" i="24" s="1"/>
  <c r="L26" i="15"/>
  <c r="AA15" i="24" s="1"/>
  <c r="M26" i="15"/>
  <c r="AB15" i="24" s="1"/>
  <c r="K26" i="15"/>
  <c r="Z15" i="24" s="1"/>
  <c r="T15" i="24"/>
  <c r="P8" i="8"/>
  <c r="L12" i="8" s="1"/>
  <c r="M13" i="8" s="1"/>
  <c r="M12" i="8" s="1"/>
  <c r="N13" i="8" s="1"/>
  <c r="N12" i="8" s="1"/>
  <c r="O13" i="8" s="1"/>
  <c r="O12" i="8" s="1"/>
  <c r="P8" i="16"/>
  <c r="L12" i="16" s="1"/>
  <c r="M13" i="16" s="1"/>
  <c r="M12" i="16" s="1"/>
  <c r="N13" i="16" s="1"/>
  <c r="N12" i="16" s="1"/>
  <c r="O13" i="16" s="1"/>
  <c r="O12" i="16" s="1"/>
  <c r="P8" i="1"/>
  <c r="L12" i="1" s="1"/>
  <c r="M13" i="1" s="1"/>
  <c r="M12" i="1" s="1"/>
  <c r="N13" i="1" s="1"/>
  <c r="N12" i="1" s="1"/>
  <c r="O13" i="1" s="1"/>
  <c r="O12" i="1" s="1"/>
  <c r="P8" i="7"/>
  <c r="L12" i="7" s="1"/>
  <c r="M13" i="7" s="1"/>
  <c r="M12" i="7" s="1"/>
  <c r="N13" i="7" s="1"/>
  <c r="N12" i="7" s="1"/>
  <c r="O13" i="7" s="1"/>
  <c r="O12" i="7" s="1"/>
  <c r="P8" i="23"/>
  <c r="L12" i="23" s="1"/>
  <c r="M13" i="23" s="1"/>
  <c r="M12" i="23" s="1"/>
  <c r="N13" i="23" s="1"/>
  <c r="N12" i="23" s="1"/>
  <c r="O13" i="23" s="1"/>
  <c r="O12" i="23" s="1"/>
  <c r="P8" i="21"/>
  <c r="L12" i="21" s="1"/>
  <c r="M13" i="21" s="1"/>
  <c r="M12" i="21" s="1"/>
  <c r="N13" i="21" s="1"/>
  <c r="N12" i="21" s="1"/>
  <c r="O13" i="21" s="1"/>
  <c r="O12" i="21" s="1"/>
  <c r="P8" i="10"/>
  <c r="L12" i="10" s="1"/>
  <c r="M13" i="10" s="1"/>
  <c r="M12" i="10" s="1"/>
  <c r="N13" i="10" s="1"/>
  <c r="N12" i="10" s="1"/>
  <c r="O13" i="10" s="1"/>
  <c r="O12" i="10" s="1"/>
  <c r="P8" i="9"/>
  <c r="L12" i="9" s="1"/>
  <c r="M13" i="9" s="1"/>
  <c r="M12" i="9" s="1"/>
  <c r="N13" i="9" s="1"/>
  <c r="N12" i="9" s="1"/>
  <c r="O13" i="9" s="1"/>
  <c r="O12" i="9" s="1"/>
  <c r="P8" i="12"/>
  <c r="L12" i="12" s="1"/>
  <c r="M13" i="12" s="1"/>
  <c r="M12" i="12" s="1"/>
  <c r="N13" i="12" s="1"/>
  <c r="N12" i="12" s="1"/>
  <c r="O13" i="12" s="1"/>
  <c r="O12" i="12" s="1"/>
  <c r="P8" i="6"/>
  <c r="L12" i="6" s="1"/>
  <c r="M13" i="6" s="1"/>
  <c r="M12" i="6" s="1"/>
  <c r="N13" i="6" s="1"/>
  <c r="N12" i="6" s="1"/>
  <c r="O13" i="6" s="1"/>
  <c r="O12" i="6" s="1"/>
  <c r="P8" i="13"/>
  <c r="L12" i="13" s="1"/>
  <c r="M13" i="13" s="1"/>
  <c r="M12" i="13" s="1"/>
  <c r="N13" i="13" s="1"/>
  <c r="N12" i="13" s="1"/>
  <c r="O13" i="13" s="1"/>
  <c r="O12" i="13" s="1"/>
  <c r="P8" i="19"/>
  <c r="L12" i="19" s="1"/>
  <c r="M13" i="19" s="1"/>
  <c r="M12" i="19" s="1"/>
  <c r="N13" i="19" s="1"/>
  <c r="N12" i="19" s="1"/>
  <c r="O13" i="19" s="1"/>
  <c r="O12" i="19" s="1"/>
  <c r="K26" i="7"/>
  <c r="Z7" i="24" s="1"/>
  <c r="M26" i="7"/>
  <c r="AB7" i="24" s="1"/>
  <c r="N26" i="7"/>
  <c r="AC7" i="24" s="1"/>
  <c r="L26" i="7"/>
  <c r="AA7" i="24" s="1"/>
  <c r="T7" i="24"/>
  <c r="L26" i="10"/>
  <c r="AA10" i="24" s="1"/>
  <c r="N26" i="10"/>
  <c r="AC10" i="24" s="1"/>
  <c r="K26" i="10"/>
  <c r="Z10" i="24" s="1"/>
  <c r="M26" i="10"/>
  <c r="AB10" i="24" s="1"/>
  <c r="T10" i="24"/>
  <c r="N75" i="20"/>
  <c r="L26" i="20"/>
  <c r="AA20" i="24" s="1"/>
  <c r="L75" i="20"/>
  <c r="M75" i="20"/>
  <c r="K26" i="20"/>
  <c r="Z20" i="24" s="1"/>
  <c r="O75" i="20"/>
  <c r="N26" i="20"/>
  <c r="AC20" i="24" s="1"/>
  <c r="M26" i="20"/>
  <c r="AB20" i="24" s="1"/>
  <c r="T20" i="24"/>
  <c r="L26" i="13"/>
  <c r="AA13" i="24" s="1"/>
  <c r="K26" i="13"/>
  <c r="Z13" i="24" s="1"/>
  <c r="N26" i="13"/>
  <c r="AC13" i="24" s="1"/>
  <c r="M26" i="13"/>
  <c r="AB13" i="24" s="1"/>
  <c r="T13" i="24"/>
  <c r="N26" i="3"/>
  <c r="AC3" i="24" s="1"/>
  <c r="L26" i="3"/>
  <c r="AA3" i="24" s="1"/>
  <c r="M26" i="3"/>
  <c r="AB3" i="24" s="1"/>
  <c r="K26" i="3"/>
  <c r="Z3" i="24" s="1"/>
  <c r="T3" i="24"/>
  <c r="L26" i="1"/>
  <c r="AA2" i="24" s="1"/>
  <c r="K26" i="1"/>
  <c r="Z2" i="24" s="1"/>
  <c r="M26" i="1"/>
  <c r="AB2" i="24" s="1"/>
  <c r="N26" i="1"/>
  <c r="AC2" i="24" s="1"/>
  <c r="T2" i="24"/>
  <c r="M26" i="4"/>
  <c r="AB4" i="24" s="1"/>
  <c r="N26" i="4"/>
  <c r="AC4" i="24" s="1"/>
  <c r="L26" i="4"/>
  <c r="AA4" i="24" s="1"/>
  <c r="K26" i="4"/>
  <c r="Z4" i="24" s="1"/>
  <c r="T4" i="24"/>
  <c r="M26" i="19"/>
  <c r="AB19" i="24" s="1"/>
  <c r="N26" i="19"/>
  <c r="AC19" i="24" s="1"/>
  <c r="K26" i="19"/>
  <c r="Z19" i="24" s="1"/>
  <c r="L26" i="19"/>
  <c r="AA19" i="24" s="1"/>
  <c r="T19" i="24"/>
  <c r="P13" i="21" l="1"/>
  <c r="L14" i="21" s="1"/>
  <c r="L17" i="21" s="1"/>
  <c r="H21" i="2" s="1"/>
  <c r="L15" i="21"/>
  <c r="L18" i="21" s="1"/>
  <c r="I21" i="2" s="1"/>
  <c r="L15" i="23"/>
  <c r="L18" i="23" s="1"/>
  <c r="I23" i="2" s="1"/>
  <c r="P13" i="23"/>
  <c r="L14" i="23" s="1"/>
  <c r="L17" i="23" s="1"/>
  <c r="H23" i="2" s="1"/>
  <c r="L15" i="19"/>
  <c r="L18" i="19" s="1"/>
  <c r="I19" i="2" s="1"/>
  <c r="P13" i="19"/>
  <c r="L14" i="19" s="1"/>
  <c r="L17" i="19" s="1"/>
  <c r="H19" i="2" s="1"/>
  <c r="P13" i="7"/>
  <c r="L14" i="7" s="1"/>
  <c r="L17" i="7" s="1"/>
  <c r="H7" i="2" s="1"/>
  <c r="L15" i="7"/>
  <c r="L18" i="7" s="1"/>
  <c r="I7" i="2" s="1"/>
  <c r="P13" i="13"/>
  <c r="L14" i="13" s="1"/>
  <c r="L17" i="13" s="1"/>
  <c r="H13" i="2" s="1"/>
  <c r="L15" i="13"/>
  <c r="L18" i="13" s="1"/>
  <c r="I13" i="2" s="1"/>
  <c r="P13" i="1"/>
  <c r="L14" i="1" s="1"/>
  <c r="L17" i="1" s="1"/>
  <c r="H2" i="2" s="1"/>
  <c r="L15" i="1"/>
  <c r="L18" i="1" s="1"/>
  <c r="I2" i="2" s="1"/>
  <c r="L15" i="6"/>
  <c r="L18" i="6" s="1"/>
  <c r="I6" i="2" s="1"/>
  <c r="P13" i="6"/>
  <c r="L14" i="6" s="1"/>
  <c r="L17" i="6" s="1"/>
  <c r="H6" i="2" s="1"/>
  <c r="L15" i="16"/>
  <c r="L18" i="16" s="1"/>
  <c r="I16" i="2" s="1"/>
  <c r="P13" i="16"/>
  <c r="L14" i="16" s="1"/>
  <c r="L17" i="16" s="1"/>
  <c r="H16" i="2" s="1"/>
  <c r="P13" i="12"/>
  <c r="L14" i="12" s="1"/>
  <c r="L17" i="12" s="1"/>
  <c r="H12" i="2" s="1"/>
  <c r="L15" i="12"/>
  <c r="L18" i="12" s="1"/>
  <c r="I12" i="2" s="1"/>
  <c r="L15" i="8"/>
  <c r="L18" i="8" s="1"/>
  <c r="I8" i="2" s="1"/>
  <c r="P13" i="8"/>
  <c r="L14" i="8" s="1"/>
  <c r="L17" i="8" s="1"/>
  <c r="H8" i="2" s="1"/>
  <c r="L15" i="9"/>
  <c r="L18" i="9" s="1"/>
  <c r="I9" i="2" s="1"/>
  <c r="P13" i="9"/>
  <c r="L14" i="9" s="1"/>
  <c r="L17" i="9" s="1"/>
  <c r="H9" i="2" s="1"/>
  <c r="P13" i="10"/>
  <c r="L14" i="10" s="1"/>
  <c r="L17" i="10" s="1"/>
  <c r="H10" i="2" s="1"/>
  <c r="L15" i="10"/>
  <c r="L18" i="10" s="1"/>
  <c r="I10" i="2" s="1"/>
  <c r="M8" i="2" l="1"/>
  <c r="M7" i="2"/>
</calcChain>
</file>

<file path=xl/sharedStrings.xml><?xml version="1.0" encoding="utf-8"?>
<sst xmlns="http://schemas.openxmlformats.org/spreadsheetml/2006/main" count="10340" uniqueCount="610">
  <si>
    <t>Battle Creek Battle Jacks (27-45)</t>
  </si>
  <si>
    <t>Date</t>
  </si>
  <si>
    <t>Opponent</t>
  </si>
  <si>
    <t>Result</t>
  </si>
  <si>
    <t>Monday May 31st, 2021</t>
  </si>
  <si>
    <t>Kalamazoo Growlers</t>
  </si>
  <si>
    <t>L 2-6</t>
  </si>
  <si>
    <t>Tuesday June 1st, 2021</t>
  </si>
  <si>
    <t>L 1-13</t>
  </si>
  <si>
    <t>Wednesday June 2nd, 2021</t>
  </si>
  <si>
    <t>@Kokomo Jackrabbits</t>
  </si>
  <si>
    <t>L 3-12</t>
  </si>
  <si>
    <t>Thursday June 3rd, 2021</t>
  </si>
  <si>
    <t>L 3-17</t>
  </si>
  <si>
    <t>Friday June 4th, 2021</t>
  </si>
  <si>
    <t>W 3-1</t>
  </si>
  <si>
    <t>Saturday June 5th, 2021</t>
  </si>
  <si>
    <t>@Kalamazoo Growlers</t>
  </si>
  <si>
    <t>L 8-9</t>
  </si>
  <si>
    <t>Sunday June 6th, 2021</t>
  </si>
  <si>
    <t>Rockford Rivets</t>
  </si>
  <si>
    <t>W 6-1</t>
  </si>
  <si>
    <t>Tuesday June 8th, 2021</t>
  </si>
  <si>
    <t>Traverse City Pit Spitters</t>
  </si>
  <si>
    <t>W 10-5</t>
  </si>
  <si>
    <t>Thursday June 10th, 2021</t>
  </si>
  <si>
    <t>W 10-6</t>
  </si>
  <si>
    <t>Friday June 11th, 2021</t>
  </si>
  <si>
    <t>W 4-2</t>
  </si>
  <si>
    <t>Saturday June 12th, 2021</t>
  </si>
  <si>
    <t>@Kenosha Kingfish</t>
  </si>
  <si>
    <t>L 5-9</t>
  </si>
  <si>
    <t>Sunday June 13th, 2021</t>
  </si>
  <si>
    <t>W 7-4</t>
  </si>
  <si>
    <t>Monday June 14th, 2021</t>
  </si>
  <si>
    <t>W 4-1</t>
  </si>
  <si>
    <t>L 1-5</t>
  </si>
  <si>
    <t>Tuesday June 15th, 2021</t>
  </si>
  <si>
    <t>L 3-5</t>
  </si>
  <si>
    <t>Thursday June 17th, 2021</t>
  </si>
  <si>
    <t>@Traverse City Pit Spitters</t>
  </si>
  <si>
    <t>Friday June 18th, 2021</t>
  </si>
  <si>
    <t>L 0-3</t>
  </si>
  <si>
    <t>Saturday June 19th, 2021</t>
  </si>
  <si>
    <t>L 2-12</t>
  </si>
  <si>
    <t>Sunday June 20th, 2021</t>
  </si>
  <si>
    <t>L 6-8</t>
  </si>
  <si>
    <t>Monday June 21st, 2021</t>
  </si>
  <si>
    <t>L 4-5</t>
  </si>
  <si>
    <t>Tuesday June 22nd, 2021</t>
  </si>
  <si>
    <t>L 3-4</t>
  </si>
  <si>
    <t>Wednesday June 23rd, 2021</t>
  </si>
  <si>
    <t>Kenosha Kingfish</t>
  </si>
  <si>
    <t>Thursday June 24th, 2021</t>
  </si>
  <si>
    <t>Sunday June 27th, 2021</t>
  </si>
  <si>
    <t>L 5-7</t>
  </si>
  <si>
    <t>L 1-7</t>
  </si>
  <si>
    <t>Monday June 28th, 2021</t>
  </si>
  <si>
    <t>@Rockford Rivets</t>
  </si>
  <si>
    <t>W 11-7</t>
  </si>
  <si>
    <t>Tuesday June 29th, 2021</t>
  </si>
  <si>
    <t>W 7-3</t>
  </si>
  <si>
    <t>Wednesday June 30th, 2021</t>
  </si>
  <si>
    <t>W 12-7</t>
  </si>
  <si>
    <t>Thursday July 1st, 2021</t>
  </si>
  <si>
    <t>L 1-4</t>
  </si>
  <si>
    <t>Friday July 2nd, 2021</t>
  </si>
  <si>
    <t>Saturday July 3rd, 2021</t>
  </si>
  <si>
    <t>Sunday July 4th, 2021</t>
  </si>
  <si>
    <t>Kokomo Jackrabbits</t>
  </si>
  <si>
    <t>L 2-14</t>
  </si>
  <si>
    <t>Monday July 5th, 2021</t>
  </si>
  <si>
    <t>W 12-3</t>
  </si>
  <si>
    <t>Tuesday July 6th, 2021</t>
  </si>
  <si>
    <t>Wausau Woodchucks</t>
  </si>
  <si>
    <t>W 21-7</t>
  </si>
  <si>
    <t>Thursday July 8th, 2021</t>
  </si>
  <si>
    <t>L 1-9</t>
  </si>
  <si>
    <t>Friday July 9th, 2021</t>
  </si>
  <si>
    <t>L 8-15</t>
  </si>
  <si>
    <t>Saturday July 10th, 2021</t>
  </si>
  <si>
    <t>Sunday July 11th, 2021</t>
  </si>
  <si>
    <t>Monday July 12th, 2021</t>
  </si>
  <si>
    <t>L 4-7</t>
  </si>
  <si>
    <t>Tuesday July 13th, 2021</t>
  </si>
  <si>
    <t>W 5-3</t>
  </si>
  <si>
    <t>Wednesday July 14th, 2021</t>
  </si>
  <si>
    <t>L 6-23</t>
  </si>
  <si>
    <t>Thursday July 15th, 2021</t>
  </si>
  <si>
    <t>L 1-6</t>
  </si>
  <si>
    <t>L 0-8</t>
  </si>
  <si>
    <t>Friday July 16th, 2021</t>
  </si>
  <si>
    <t>L 5-10</t>
  </si>
  <si>
    <t>Saturday July 17th, 2021</t>
  </si>
  <si>
    <t>L 4-8</t>
  </si>
  <si>
    <t>L 5-17</t>
  </si>
  <si>
    <t>Sunday July 18th, 2021</t>
  </si>
  <si>
    <t>Thursday July 22nd, 2021</t>
  </si>
  <si>
    <t>Green Bay Rockers</t>
  </si>
  <si>
    <t>L 4-12</t>
  </si>
  <si>
    <t>Friday July 23rd, 2021</t>
  </si>
  <si>
    <t>L 0-7</t>
  </si>
  <si>
    <t>Sunday July 25th, 2021</t>
  </si>
  <si>
    <t>Wisconsin Rapids Rafters</t>
  </si>
  <si>
    <t>L 0-9</t>
  </si>
  <si>
    <t>Monday July 26th, 2021</t>
  </si>
  <si>
    <t>W 12-5</t>
  </si>
  <si>
    <t>Tuesday July 27th, 2021</t>
  </si>
  <si>
    <t>Thursday July 29th, 2021</t>
  </si>
  <si>
    <t>L 3-13</t>
  </si>
  <si>
    <t>Friday July 30th, 2021</t>
  </si>
  <si>
    <t>Saturday July 31st, 2021</t>
  </si>
  <si>
    <t>Sunday August 1st, 2021</t>
  </si>
  <si>
    <t>L 7-9</t>
  </si>
  <si>
    <t>Monday August 2nd, 2021</t>
  </si>
  <si>
    <t>@Green Bay Rockers</t>
  </si>
  <si>
    <t>W 9-3</t>
  </si>
  <si>
    <t>Wednesday August 4th, 2021</t>
  </si>
  <si>
    <t>W 9-8</t>
  </si>
  <si>
    <t>Thursday August 5th, 2021</t>
  </si>
  <si>
    <t>@Wausau Woodchucks</t>
  </si>
  <si>
    <t>L 2-11</t>
  </si>
  <si>
    <t>Friday August 6th, 2021</t>
  </si>
  <si>
    <t>Sunday August 8th, 2021</t>
  </si>
  <si>
    <t>@Wisconsin Rapids Rafters</t>
  </si>
  <si>
    <t>L 0-4</t>
  </si>
  <si>
    <t>Monday August 9th, 2021</t>
  </si>
  <si>
    <t>Tuesday August 10th, 2021</t>
  </si>
  <si>
    <t>W 6-5</t>
  </si>
  <si>
    <t>Wednesday August 11th, 2021</t>
  </si>
  <si>
    <t>W 9-2</t>
  </si>
  <si>
    <t>Thursday August 12th, 2021</t>
  </si>
  <si>
    <t>L 3-6</t>
  </si>
  <si>
    <t>Friday August 13th, 2021</t>
  </si>
  <si>
    <t>Saturday August 14th, 2021</t>
  </si>
  <si>
    <t>At</t>
  </si>
  <si>
    <t>Scored</t>
  </si>
  <si>
    <t>Allowed</t>
  </si>
  <si>
    <t>Total</t>
  </si>
  <si>
    <t>Home</t>
  </si>
  <si>
    <t>Away</t>
  </si>
  <si>
    <t>W</t>
  </si>
  <si>
    <t>L</t>
  </si>
  <si>
    <t>IPC</t>
  </si>
  <si>
    <t>Initial Fig</t>
  </si>
  <si>
    <t>OPC</t>
  </si>
  <si>
    <t>Team Rat</t>
  </si>
  <si>
    <t>NT</t>
  </si>
  <si>
    <t>SF1</t>
  </si>
  <si>
    <t>SF</t>
  </si>
  <si>
    <t>TBR</t>
  </si>
  <si>
    <t>RAL</t>
  </si>
  <si>
    <t>Team</t>
  </si>
  <si>
    <t>G</t>
  </si>
  <si>
    <t>WAT</t>
  </si>
  <si>
    <t>FDL</t>
  </si>
  <si>
    <t>KEN</t>
  </si>
  <si>
    <t>MAD</t>
  </si>
  <si>
    <t>STC</t>
  </si>
  <si>
    <t>DUL</t>
  </si>
  <si>
    <t>MAN</t>
  </si>
  <si>
    <t>KMO</t>
  </si>
  <si>
    <t>WIL</t>
  </si>
  <si>
    <t>GB</t>
  </si>
  <si>
    <t>WIR</t>
  </si>
  <si>
    <t>TVC</t>
  </si>
  <si>
    <t>LAC</t>
  </si>
  <si>
    <t>BC</t>
  </si>
  <si>
    <t>RFD</t>
  </si>
  <si>
    <t>KZO</t>
  </si>
  <si>
    <t>WAU</t>
  </si>
  <si>
    <t>ROC</t>
  </si>
  <si>
    <t>LAK</t>
  </si>
  <si>
    <t>BIS</t>
  </si>
  <si>
    <t>MIN</t>
  </si>
  <si>
    <t>EC</t>
  </si>
  <si>
    <t>RS</t>
  </si>
  <si>
    <t>RA</t>
  </si>
  <si>
    <t>League</t>
  </si>
  <si>
    <t>GL</t>
  </si>
  <si>
    <t>GP</t>
  </si>
  <si>
    <t>RUNS</t>
  </si>
  <si>
    <t>TPR</t>
  </si>
  <si>
    <t>BPF</t>
  </si>
  <si>
    <t>PPF</t>
  </si>
  <si>
    <t>Batting</t>
  </si>
  <si>
    <t>Pitching</t>
  </si>
  <si>
    <t>BATTING</t>
  </si>
  <si>
    <t>PITCHING</t>
  </si>
  <si>
    <t>Minnesota Mud Puppies (10-26)</t>
  </si>
  <si>
    <t>@La Crosse Loggers</t>
  </si>
  <si>
    <t>W 12-4</t>
  </si>
  <si>
    <t>@Waterloo Bucks</t>
  </si>
  <si>
    <t>Monday June 7th, 2021</t>
  </si>
  <si>
    <t>@Eau Claire Express</t>
  </si>
  <si>
    <t>W 8-1</t>
  </si>
  <si>
    <t>Wednesday June 9th, 2021</t>
  </si>
  <si>
    <t>L 0-1</t>
  </si>
  <si>
    <t>@Duluth Huskies</t>
  </si>
  <si>
    <t>L 3-7</t>
  </si>
  <si>
    <t>W 8-0</t>
  </si>
  <si>
    <t>@St. Cloud Rox</t>
  </si>
  <si>
    <t>L 4-11</t>
  </si>
  <si>
    <t>@Bismarck Larks</t>
  </si>
  <si>
    <t>L 6-15</t>
  </si>
  <si>
    <t>L 5-6</t>
  </si>
  <si>
    <t>@Mankato MoonDogs</t>
  </si>
  <si>
    <t>L 3-8</t>
  </si>
  <si>
    <t>Friday June 25th, 2021</t>
  </si>
  <si>
    <t>Wednesday July 7th, 2021</t>
  </si>
  <si>
    <t>@Rochester Honkers</t>
  </si>
  <si>
    <t>@Willmar Stingers</t>
  </si>
  <si>
    <t>L 6-10</t>
  </si>
  <si>
    <t>W 12-0</t>
  </si>
  <si>
    <t>L 7-10</t>
  </si>
  <si>
    <t>Saturday July 24th, 2021</t>
  </si>
  <si>
    <t>W 13-9</t>
  </si>
  <si>
    <t>W 3-0</t>
  </si>
  <si>
    <t>Saturday August 7th, 2021</t>
  </si>
  <si>
    <t>L 0-2</t>
  </si>
  <si>
    <t>W 12-8</t>
  </si>
  <si>
    <t>Bismarck Larks (30-38)</t>
  </si>
  <si>
    <t>Willmar Stingers</t>
  </si>
  <si>
    <t>W 10-4</t>
  </si>
  <si>
    <t>L 0-6</t>
  </si>
  <si>
    <t>Duluth Huskies</t>
  </si>
  <si>
    <t>W 3-2</t>
  </si>
  <si>
    <t>L 9-12</t>
  </si>
  <si>
    <t>W 10-3</t>
  </si>
  <si>
    <t>W 7-1</t>
  </si>
  <si>
    <t>L 4-9</t>
  </si>
  <si>
    <t>La Crosse Loggers</t>
  </si>
  <si>
    <t>W 8-6</t>
  </si>
  <si>
    <t>W 10-1</t>
  </si>
  <si>
    <t>L 2-5</t>
  </si>
  <si>
    <t>Eau Claire Express</t>
  </si>
  <si>
    <t>W 7-0</t>
  </si>
  <si>
    <t>L 6-11</t>
  </si>
  <si>
    <t>W 10-2</t>
  </si>
  <si>
    <t>W 8-5</t>
  </si>
  <si>
    <t>L 1-3</t>
  </si>
  <si>
    <t>Minnesota Mud Puppies</t>
  </si>
  <si>
    <t>W 13-1</t>
  </si>
  <si>
    <t>W 15-6</t>
  </si>
  <si>
    <t>W 6-3</t>
  </si>
  <si>
    <t>St. Cloud Rox</t>
  </si>
  <si>
    <t>L 4-6</t>
  </si>
  <si>
    <t>Saturday June 26th, 2021</t>
  </si>
  <si>
    <t>L 4-15</t>
  </si>
  <si>
    <t>L 9-11</t>
  </si>
  <si>
    <t>Mankato MoonDogs</t>
  </si>
  <si>
    <t>L 2-7</t>
  </si>
  <si>
    <t>L 2-8</t>
  </si>
  <si>
    <t>W 4-0</t>
  </si>
  <si>
    <t>W 5-4</t>
  </si>
  <si>
    <t>L 4-10</t>
  </si>
  <si>
    <t>W 11-6</t>
  </si>
  <si>
    <t>W 13-4</t>
  </si>
  <si>
    <t>Waterloo Bucks</t>
  </si>
  <si>
    <t>L 0-5</t>
  </si>
  <si>
    <t>L 5-12</t>
  </si>
  <si>
    <t>L 7-16</t>
  </si>
  <si>
    <t>L 12-21</t>
  </si>
  <si>
    <t>Rochester Honkers</t>
  </si>
  <si>
    <t>W 6-2</t>
  </si>
  <si>
    <t>L 2-15</t>
  </si>
  <si>
    <t>L 8-10</t>
  </si>
  <si>
    <t>W 8-7</t>
  </si>
  <si>
    <t>Duluth Huskies (30-38)</t>
  </si>
  <si>
    <t>L 2-3</t>
  </si>
  <si>
    <t>W 4-3</t>
  </si>
  <si>
    <t>L 5-11</t>
  </si>
  <si>
    <t>L 0-12</t>
  </si>
  <si>
    <t>W 14-12</t>
  </si>
  <si>
    <t>L 9-10</t>
  </si>
  <si>
    <t>W 12-6</t>
  </si>
  <si>
    <t>L 2-4</t>
  </si>
  <si>
    <t>L 5-8</t>
  </si>
  <si>
    <t>Bismarck Larks</t>
  </si>
  <si>
    <t>W 7-2</t>
  </si>
  <si>
    <t>W 8-3</t>
  </si>
  <si>
    <t>L 1-8</t>
  </si>
  <si>
    <t>W 6-0</t>
  </si>
  <si>
    <t>W 10-8</t>
  </si>
  <si>
    <t>L 2-13</t>
  </si>
  <si>
    <t>W 10-7</t>
  </si>
  <si>
    <t>L 4-13</t>
  </si>
  <si>
    <t>W 11-2</t>
  </si>
  <si>
    <t>L 9-15</t>
  </si>
  <si>
    <t>L 6-18</t>
  </si>
  <si>
    <t>W 5-0</t>
  </si>
  <si>
    <t>W 14-8</t>
  </si>
  <si>
    <t>L 7-8</t>
  </si>
  <si>
    <t>W 13-3</t>
  </si>
  <si>
    <t>Eau Claire Express (27-41)</t>
  </si>
  <si>
    <t>W 1-0</t>
  </si>
  <si>
    <t>L 3-10</t>
  </si>
  <si>
    <t>L 2-10</t>
  </si>
  <si>
    <t>L 1-2</t>
  </si>
  <si>
    <t>W 11-3</t>
  </si>
  <si>
    <t>W 9-4</t>
  </si>
  <si>
    <t>L 3-9</t>
  </si>
  <si>
    <t>L 2-9</t>
  </si>
  <si>
    <t>W 8-2</t>
  </si>
  <si>
    <t>W 2-0</t>
  </si>
  <si>
    <t>L 11-15</t>
  </si>
  <si>
    <t>L 1-10</t>
  </si>
  <si>
    <t>W 16-2</t>
  </si>
  <si>
    <t>W 11-10</t>
  </si>
  <si>
    <t>L 11-14</t>
  </si>
  <si>
    <t>L 2-17</t>
  </si>
  <si>
    <t>L 8-11</t>
  </si>
  <si>
    <t>gp</t>
  </si>
  <si>
    <t>Fond du Lac Dock Spiders (43-28)</t>
  </si>
  <si>
    <t>Lakeshore Chinooks</t>
  </si>
  <si>
    <t>@Lakeshore Chinooks</t>
  </si>
  <si>
    <t>W 9-6</t>
  </si>
  <si>
    <t>W 15-7</t>
  </si>
  <si>
    <t>W 11-4</t>
  </si>
  <si>
    <t>@Madison Mallards</t>
  </si>
  <si>
    <t>W 5-1</t>
  </si>
  <si>
    <t>Madison Mallards</t>
  </si>
  <si>
    <t>L 6-7</t>
  </si>
  <si>
    <t>W 7-6</t>
  </si>
  <si>
    <t>W 14-4</t>
  </si>
  <si>
    <t>L 7-6</t>
  </si>
  <si>
    <t>W 10-9</t>
  </si>
  <si>
    <t>W 9-7</t>
  </si>
  <si>
    <t>W 14-5</t>
  </si>
  <si>
    <t>W 5-2</t>
  </si>
  <si>
    <t>L 1-11</t>
  </si>
  <si>
    <t>Green Bay Rockers (25-47)</t>
  </si>
  <si>
    <t>@Fond du Lac Dock Spiders</t>
  </si>
  <si>
    <t>Fond du Lac Dock Spiders</t>
  </si>
  <si>
    <t>L 7-15</t>
  </si>
  <si>
    <t>W 6-4</t>
  </si>
  <si>
    <t>W 8-4</t>
  </si>
  <si>
    <t>L 6-12</t>
  </si>
  <si>
    <t>L 0-11</t>
  </si>
  <si>
    <t>W 15-8</t>
  </si>
  <si>
    <t>W 13-5</t>
  </si>
  <si>
    <t>@Battle Creek Battle Jacks</t>
  </si>
  <si>
    <t>L 5-19</t>
  </si>
  <si>
    <t>Battle Creek Battle Jacks</t>
  </si>
  <si>
    <t>Kenosha Kingfish (39-33)</t>
  </si>
  <si>
    <t>W 16-3</t>
  </si>
  <si>
    <t>L 7-14</t>
  </si>
  <si>
    <t>W 9-5</t>
  </si>
  <si>
    <t>W 13-11</t>
  </si>
  <si>
    <t>W 12-2</t>
  </si>
  <si>
    <t>W 17-7</t>
  </si>
  <si>
    <t>W 2-1</t>
  </si>
  <si>
    <t>L 5-13</t>
  </si>
  <si>
    <t>W 17-5</t>
  </si>
  <si>
    <t>W 13-6</t>
  </si>
  <si>
    <t>L 5-15</t>
  </si>
  <si>
    <t>W 16-4</t>
  </si>
  <si>
    <t>Kokomo Jackrabbits (45-27)</t>
  </si>
  <si>
    <t>W 17-3</t>
  </si>
  <si>
    <t>L 2-16</t>
  </si>
  <si>
    <t>L 0-10</t>
  </si>
  <si>
    <t>W 13-7</t>
  </si>
  <si>
    <t>L 8-16</t>
  </si>
  <si>
    <t>W 14-2</t>
  </si>
  <si>
    <t>W 11-9</t>
  </si>
  <si>
    <t>Kalamazoo Growlers (26-46)</t>
  </si>
  <si>
    <t>W 10-0</t>
  </si>
  <si>
    <t>L 9-13</t>
  </si>
  <si>
    <t>L 7-11</t>
  </si>
  <si>
    <t>L 11-13</t>
  </si>
  <si>
    <t>L 7-17</t>
  </si>
  <si>
    <t>W 18-2</t>
  </si>
  <si>
    <t>W 9-1</t>
  </si>
  <si>
    <t>W 11-1</t>
  </si>
  <si>
    <t>L 6-9</t>
  </si>
  <si>
    <t>L 6-13</t>
  </si>
  <si>
    <t>La Crosse Loggers (28-40)</t>
  </si>
  <si>
    <t>L 3-19</t>
  </si>
  <si>
    <t>W 12-9</t>
  </si>
  <si>
    <t>L 7-12</t>
  </si>
  <si>
    <t>L 0-13</t>
  </si>
  <si>
    <t>L 8-13</t>
  </si>
  <si>
    <t>L 0-15</t>
  </si>
  <si>
    <t>L 10-12</t>
  </si>
  <si>
    <t>W 7-5</t>
  </si>
  <si>
    <t>W 18-6</t>
  </si>
  <si>
    <t>L 8-12</t>
  </si>
  <si>
    <t>W 18-5</t>
  </si>
  <si>
    <t>Lakeshore Chinooks (31-39)</t>
  </si>
  <si>
    <t>W 11-0</t>
  </si>
  <si>
    <t>W 26-7</t>
  </si>
  <si>
    <t>W 11-5</t>
  </si>
  <si>
    <t>Madison Mallards (39-32)</t>
  </si>
  <si>
    <t>L 3-11</t>
  </si>
  <si>
    <t>Wednesday June 16th, 2021</t>
  </si>
  <si>
    <t>L 7-26</t>
  </si>
  <si>
    <t>L 6-5</t>
  </si>
  <si>
    <t>L 8-14</t>
  </si>
  <si>
    <t>L 5-14</t>
  </si>
  <si>
    <t>Mankato MoonDogs (44-24)</t>
  </si>
  <si>
    <t>W 19-3</t>
  </si>
  <si>
    <t>W 11-8</t>
  </si>
  <si>
    <t>W 13-2</t>
  </si>
  <si>
    <t>Rockford Rivets (29-41)</t>
  </si>
  <si>
    <t>L 3-16</t>
  </si>
  <si>
    <t>L 7-13</t>
  </si>
  <si>
    <t>W 16-8</t>
  </si>
  <si>
    <t>L 10-11</t>
  </si>
  <si>
    <t>L 9-22</t>
  </si>
  <si>
    <t>W 9-0</t>
  </si>
  <si>
    <t>L 12-22</t>
  </si>
  <si>
    <t>L 6-16</t>
  </si>
  <si>
    <t>W 15-5</t>
  </si>
  <si>
    <t>L 4-16</t>
  </si>
  <si>
    <t>Rochester Honkers (30-37)</t>
  </si>
  <si>
    <t>W 17-8</t>
  </si>
  <si>
    <t>W 12-10</t>
  </si>
  <si>
    <t>W 15-2</t>
  </si>
  <si>
    <t>L 5-18</t>
  </si>
  <si>
    <t>L 4-14</t>
  </si>
  <si>
    <t>St. Cloud Rox (50-18)</t>
  </si>
  <si>
    <t>W 13-8</t>
  </si>
  <si>
    <t>W 15-0</t>
  </si>
  <si>
    <t>Traverse City Pit Spitters (42-29)</t>
  </si>
  <si>
    <t>W 14-7</t>
  </si>
  <si>
    <t>L 2-18</t>
  </si>
  <si>
    <t>W 22-9</t>
  </si>
  <si>
    <t>W 23-6</t>
  </si>
  <si>
    <t>W 22-12</t>
  </si>
  <si>
    <t>W 16-6</t>
  </si>
  <si>
    <t>Waterloo Bucks (42-25)</t>
  </si>
  <si>
    <t>L 12-14</t>
  </si>
  <si>
    <t>W 15-4</t>
  </si>
  <si>
    <t>W 13-0</t>
  </si>
  <si>
    <t>W 16-7</t>
  </si>
  <si>
    <t>W 21-12</t>
  </si>
  <si>
    <t>W 14-11</t>
  </si>
  <si>
    <t>Wausau Woodchucks (44-28)</t>
  </si>
  <si>
    <t>W 16-5</t>
  </si>
  <si>
    <t>L 7-21</t>
  </si>
  <si>
    <t>W 19-5</t>
  </si>
  <si>
    <t>Willmar Stingers (32-36)</t>
  </si>
  <si>
    <t>L 8-17</t>
  </si>
  <si>
    <t>W 15-11</t>
  </si>
  <si>
    <t>W 15-9</t>
  </si>
  <si>
    <t>W 17-2</t>
  </si>
  <si>
    <t>Wisconsin Rapids Rafters (38-34)</t>
  </si>
  <si>
    <t>L 5-16</t>
  </si>
  <si>
    <t>Monday May 30th, 2022</t>
  </si>
  <si>
    <t>Tuesday May 31st, 2022</t>
  </si>
  <si>
    <t>Wednesday June 1st, 2022</t>
  </si>
  <si>
    <t>Thursday June 2nd, 2022</t>
  </si>
  <si>
    <t>L 10-19</t>
  </si>
  <si>
    <t>Friday June 3rd, 2022</t>
  </si>
  <si>
    <t>Saturday June 4th, 2022</t>
  </si>
  <si>
    <t>Sunday June 5th, 2022</t>
  </si>
  <si>
    <t>Monday June 6th, 2022</t>
  </si>
  <si>
    <t>Thursday June 9th, 2022</t>
  </si>
  <si>
    <t>Friday June 10th, 2022</t>
  </si>
  <si>
    <t>Saturday June 11th, 2022</t>
  </si>
  <si>
    <t>Sunday June 12th, 2022</t>
  </si>
  <si>
    <t>Tuesday June 14th, 2022</t>
  </si>
  <si>
    <t>Wednesday June 15th, 2022</t>
  </si>
  <si>
    <t>Thursday June 16th, 2022</t>
  </si>
  <si>
    <t>Friday June 17th, 2022</t>
  </si>
  <si>
    <t>Saturday June 18th, 2022</t>
  </si>
  <si>
    <t>Sunday June 19th, 2022</t>
  </si>
  <si>
    <t>Monday June 20th, 2022</t>
  </si>
  <si>
    <t>Tuesday June 21st, 2022</t>
  </si>
  <si>
    <t>Score</t>
  </si>
  <si>
    <t>Wednesday June 8th, 2022</t>
  </si>
  <si>
    <t>Monday June 13th, 2022</t>
  </si>
  <si>
    <t>W 17-9</t>
  </si>
  <si>
    <t>W 14-1</t>
  </si>
  <si>
    <t>L 11-17</t>
  </si>
  <si>
    <t>L 11-3</t>
  </si>
  <si>
    <t>W 19-10</t>
  </si>
  <si>
    <t>L 5-20</t>
  </si>
  <si>
    <t>W 18-4</t>
  </si>
  <si>
    <t>W 16-14</t>
  </si>
  <si>
    <t>W 17-11</t>
  </si>
  <si>
    <t>L 8-6</t>
  </si>
  <si>
    <t>L 14-16</t>
  </si>
  <si>
    <t>W 20-5</t>
  </si>
  <si>
    <t>L 9-17</t>
  </si>
  <si>
    <t>L 7-18</t>
  </si>
  <si>
    <t>L 10-5</t>
  </si>
  <si>
    <t>L 1-14</t>
  </si>
  <si>
    <t>L 4-18</t>
  </si>
  <si>
    <t>W 18-7</t>
  </si>
  <si>
    <t>RUNS/G</t>
  </si>
  <si>
    <t>LG R/G</t>
  </si>
  <si>
    <t>RS/G</t>
  </si>
  <si>
    <t>SOS</t>
  </si>
  <si>
    <t>OPP</t>
  </si>
  <si>
    <t>oR/G</t>
  </si>
  <si>
    <t>oRD</t>
  </si>
  <si>
    <t>RD/G</t>
  </si>
  <si>
    <t>Wednesday June 22nd, 2022</t>
  </si>
  <si>
    <t>Thursday June 23rd, 2022</t>
  </si>
  <si>
    <t>Friday June 24th, 2022</t>
  </si>
  <si>
    <t>Saturday June 25th, 2022</t>
  </si>
  <si>
    <t>Sunday June 26th, 2022</t>
  </si>
  <si>
    <t>L 0-16</t>
  </si>
  <si>
    <t>W 16-0</t>
  </si>
  <si>
    <t>Monday June 27th, 2022</t>
  </si>
  <si>
    <t>L 13-14</t>
  </si>
  <si>
    <t>W 14-13</t>
  </si>
  <si>
    <t>Tuesday June 28th, 2022</t>
  </si>
  <si>
    <t>Wednesday June 29th, 2022</t>
  </si>
  <si>
    <t>Thursday June 30th, 2022</t>
  </si>
  <si>
    <t>L 7-24</t>
  </si>
  <si>
    <t>W 24-7</t>
  </si>
  <si>
    <t>L 3-15</t>
  </si>
  <si>
    <t>W 15-3</t>
  </si>
  <si>
    <t>Friday July 1st, 2022</t>
  </si>
  <si>
    <t>L 1-15</t>
  </si>
  <si>
    <t>W 15-1</t>
  </si>
  <si>
    <t>Saturday July 2nd, 2022</t>
  </si>
  <si>
    <t>Sunday July 3rd, 2022</t>
  </si>
  <si>
    <t>Monday July 4th, 2022</t>
  </si>
  <si>
    <t>Wednesday July 6th, 2022</t>
  </si>
  <si>
    <t>W 15-12</t>
  </si>
  <si>
    <t>L 12-15</t>
  </si>
  <si>
    <t>Thursday July 7th, 2022</t>
  </si>
  <si>
    <t>Friday July 8th, 2022</t>
  </si>
  <si>
    <t>Saturday July 9th, 2022</t>
  </si>
  <si>
    <t>Sunday July 10th, 2022</t>
  </si>
  <si>
    <t>Monday July 11th, 2022</t>
  </si>
  <si>
    <t>Tuesday July 12th, 2022</t>
  </si>
  <si>
    <t>Wednesday July 13th, 2022</t>
  </si>
  <si>
    <t>L 11-12</t>
  </si>
  <si>
    <t>W 12-11</t>
  </si>
  <si>
    <t>W 19-7</t>
  </si>
  <si>
    <t>L 5-23</t>
  </si>
  <si>
    <t>L 7-19</t>
  </si>
  <si>
    <t>L 1-20</t>
  </si>
  <si>
    <t>L 2-20</t>
  </si>
  <si>
    <t>W 23-5</t>
  </si>
  <si>
    <t>W 20-1</t>
  </si>
  <si>
    <t>W 20-2</t>
  </si>
  <si>
    <t>Thursday July 14th, 2022</t>
  </si>
  <si>
    <t>Friday July 15th, 2022</t>
  </si>
  <si>
    <t>Saturday July 16th, 2022</t>
  </si>
  <si>
    <t>W 12-1</t>
  </si>
  <si>
    <t>L 1-12</t>
  </si>
  <si>
    <t>Sunday July 17th, 2022</t>
  </si>
  <si>
    <t>W 14-9</t>
  </si>
  <si>
    <t>L 9-14</t>
  </si>
  <si>
    <t>Thursday July 21st, 2022</t>
  </si>
  <si>
    <t>Friday July 22nd, 2022</t>
  </si>
  <si>
    <t>Saturday July 23rd, 2022</t>
  </si>
  <si>
    <t>Sunday July 24th, 2022</t>
  </si>
  <si>
    <t>L 6-19</t>
  </si>
  <si>
    <t>W 19-6</t>
  </si>
  <si>
    <t>Monday July 25th, 2022</t>
  </si>
  <si>
    <t>L 12-4</t>
  </si>
  <si>
    <t>Tuesday July 26th, 2022</t>
  </si>
  <si>
    <t>Wednesday July 27th, 2022</t>
  </si>
  <si>
    <t>W 14-3</t>
  </si>
  <si>
    <t>W 14-6</t>
  </si>
  <si>
    <t>L 6-14</t>
  </si>
  <si>
    <t>L 3-14</t>
  </si>
  <si>
    <t>Thursday July 28th, 2022</t>
  </si>
  <si>
    <t>Friday July 29th, 2022</t>
  </si>
  <si>
    <t>Saturday July 30th, 2022</t>
  </si>
  <si>
    <t>Sunday July 31st, 2022</t>
  </si>
  <si>
    <t>W 14-10</t>
  </si>
  <si>
    <t>Monday August 1st, 2022</t>
  </si>
  <si>
    <t>L 2-27</t>
  </si>
  <si>
    <t>W 21-2</t>
  </si>
  <si>
    <t>L 10-15</t>
  </si>
  <si>
    <t>L 10-14</t>
  </si>
  <si>
    <t>W 19-14</t>
  </si>
  <si>
    <t>W 15-10</t>
  </si>
  <si>
    <t>L 14-19</t>
  </si>
  <si>
    <t>L 2-21</t>
  </si>
  <si>
    <t>W 27-2</t>
  </si>
  <si>
    <t>Home W</t>
  </si>
  <si>
    <t>Home L</t>
  </si>
  <si>
    <t>Away W</t>
  </si>
  <si>
    <t>Away L</t>
  </si>
  <si>
    <t>Strong W</t>
  </si>
  <si>
    <t>Strong L</t>
  </si>
  <si>
    <t>Weak W</t>
  </si>
  <si>
    <t>Weak L</t>
  </si>
  <si>
    <t>Home R</t>
  </si>
  <si>
    <t>Away R</t>
  </si>
  <si>
    <t>N/A</t>
  </si>
  <si>
    <t>Wednesday August 3rd, 2022</t>
  </si>
  <si>
    <t>W 19-2</t>
  </si>
  <si>
    <t>L 2-19</t>
  </si>
  <si>
    <t>Thursday August 4th, 2022</t>
  </si>
  <si>
    <t>L 14-21</t>
  </si>
  <si>
    <t>W 21-14</t>
  </si>
  <si>
    <t>Friday August 5th, 2022</t>
  </si>
  <si>
    <t>W 19-4</t>
  </si>
  <si>
    <t>L 4-19</t>
  </si>
  <si>
    <t>Saturday August 6th, 2022</t>
  </si>
  <si>
    <t>Sunday August 7th, 2022</t>
  </si>
  <si>
    <t>Monday August 8th, 2022</t>
  </si>
  <si>
    <t>Tuesday August 9th, 2022</t>
  </si>
  <si>
    <t>Wednesday August 10th, 2022</t>
  </si>
  <si>
    <t>Thursday August 11th, 2022</t>
  </si>
  <si>
    <t>L 3-20</t>
  </si>
  <si>
    <t>W 18-0</t>
  </si>
  <si>
    <t>L 0-18</t>
  </si>
  <si>
    <t>W 20-3</t>
  </si>
  <si>
    <t>Friday August 12th, 2022</t>
  </si>
  <si>
    <t>Saturday August 13th,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</si>
</sst>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/>
      <right style="thin">
        <color theme="9"/>
      </right>
      <top/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7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/>
    <xf numFmtId="0" fontId="0" fillId="0" borderId="5" xfId="0" applyBorder="1"/>
    <xf numFmtId="0" fontId="0" fillId="0" borderId="7" xfId="0" applyBorder="1"/>
    <xf numFmtId="1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11" xfId="0" applyBorder="1"/>
    <xf numFmtId="0" fontId="2" fillId="4" borderId="10" xfId="0" applyFont="1" applyFill="1" applyBorder="1"/>
    <xf numFmtId="0" fontId="0" fillId="0" borderId="10" xfId="0" applyBorder="1"/>
    <xf numFmtId="0" fontId="2" fillId="5" borderId="14" xfId="0" applyFont="1" applyFill="1" applyBorder="1"/>
    <xf numFmtId="0" fontId="0" fillId="0" borderId="16" xfId="0" applyBorder="1"/>
    <xf numFmtId="0" fontId="2" fillId="6" borderId="18" xfId="0" applyFont="1" applyFill="1" applyBorder="1"/>
    <xf numFmtId="0" fontId="0" fillId="0" borderId="20" xfId="0" applyBorder="1"/>
    <xf numFmtId="0" fontId="2" fillId="7" borderId="22" xfId="0" applyFont="1" applyFill="1" applyBorder="1"/>
    <xf numFmtId="0" fontId="2" fillId="7" borderId="23" xfId="0" applyFont="1" applyFill="1" applyBorder="1"/>
    <xf numFmtId="0" fontId="0" fillId="0" borderId="24" xfId="0" applyBorder="1"/>
    <xf numFmtId="0" fontId="0" fillId="0" borderId="14" xfId="0" applyBorder="1"/>
    <xf numFmtId="0" fontId="0" fillId="0" borderId="18" xfId="0" applyBorder="1"/>
    <xf numFmtId="0" fontId="0" fillId="0" borderId="22" xfId="0" applyBorder="1"/>
    <xf numFmtId="2" fontId="0" fillId="0" borderId="0" xfId="0" applyNumberFormat="1"/>
    <xf numFmtId="1" fontId="0" fillId="0" borderId="5" xfId="0" applyNumberFormat="1" applyBorder="1"/>
    <xf numFmtId="2" fontId="0" fillId="0" borderId="6" xfId="0" applyNumberFormat="1" applyBorder="1"/>
    <xf numFmtId="0" fontId="2" fillId="6" borderId="18" xfId="0" applyFont="1" applyFill="1" applyBorder="1" applyAlignment="1">
      <alignment horizontal="center"/>
    </xf>
    <xf numFmtId="1" fontId="2" fillId="6" borderId="18" xfId="0" applyNumberFormat="1" applyFont="1" applyFill="1" applyBorder="1" applyAlignment="1">
      <alignment horizontal="center"/>
    </xf>
    <xf numFmtId="1" fontId="2" fillId="6" borderId="19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1" fontId="2" fillId="5" borderId="14" xfId="0" applyNumberFormat="1" applyFont="1" applyFill="1" applyBorder="1" applyAlignment="1">
      <alignment horizontal="center"/>
    </xf>
    <xf numFmtId="1" fontId="2" fillId="5" borderId="15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1" fontId="0" fillId="0" borderId="22" xfId="0" applyNumberFormat="1" applyBorder="1"/>
    <xf numFmtId="2" fontId="0" fillId="0" borderId="23" xfId="0" applyNumberFormat="1" applyBorder="1"/>
    <xf numFmtId="0" fontId="0" fillId="0" borderId="22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1" fontId="2" fillId="7" borderId="26" xfId="0" applyNumberFormat="1" applyFont="1" applyFill="1" applyBorder="1" applyAlignment="1">
      <alignment horizontal="center"/>
    </xf>
    <xf numFmtId="0" fontId="2" fillId="7" borderId="26" xfId="0" applyFont="1" applyFill="1" applyBorder="1"/>
    <xf numFmtId="0" fontId="2" fillId="4" borderId="10" xfId="0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1" fontId="2" fillId="4" borderId="13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64" fontId="0" fillId="0" borderId="0" xfId="0" applyNumberFormat="1"/>
    <xf numFmtId="0" fontId="0" fillId="0" borderId="5" xfId="0" applyFont="1" applyBorder="1"/>
    <xf numFmtId="0" fontId="0" fillId="0" borderId="0" xfId="0" applyNumberFormat="1"/>
    <xf numFmtId="0" fontId="0" fillId="0" borderId="10" xfId="0" applyFont="1" applyBorder="1"/>
    <xf numFmtId="0" fontId="0" fillId="0" borderId="14" xfId="0" applyFont="1" applyBorder="1"/>
    <xf numFmtId="0" fontId="0" fillId="0" borderId="18" xfId="0" applyFont="1" applyBorder="1"/>
    <xf numFmtId="0" fontId="0" fillId="0" borderId="0" xfId="0" applyFont="1" applyBorder="1"/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1" fontId="0" fillId="0" borderId="27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1" fontId="0" fillId="0" borderId="15" xfId="0" applyNumberFormat="1" applyFont="1" applyBorder="1" applyAlignment="1">
      <alignment horizontal="center"/>
    </xf>
    <xf numFmtId="1" fontId="0" fillId="0" borderId="28" xfId="0" applyNumberFormat="1" applyFont="1" applyBorder="1" applyAlignment="1">
      <alignment horizontal="center"/>
    </xf>
    <xf numFmtId="0" fontId="0" fillId="0" borderId="22" xfId="0" applyFont="1" applyBorder="1"/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" fontId="0" fillId="0" borderId="22" xfId="0" applyNumberFormat="1" applyFont="1" applyBorder="1" applyAlignment="1">
      <alignment horizontal="center"/>
    </xf>
    <xf numFmtId="1" fontId="0" fillId="0" borderId="23" xfId="0" applyNumberFormat="1" applyFont="1" applyBorder="1" applyAlignment="1">
      <alignment horizontal="center"/>
    </xf>
    <xf numFmtId="1" fontId="0" fillId="0" borderId="26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1" fontId="0" fillId="0" borderId="13" xfId="0" applyNumberFormat="1" applyFont="1" applyBorder="1" applyAlignment="1">
      <alignment horizontal="center"/>
    </xf>
    <xf numFmtId="1" fontId="0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24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4" tint="-0.24994659260841701"/>
      </font>
      <fill>
        <patternFill>
          <bgColor theme="8" tint="0.79998168889431442"/>
        </patternFill>
      </fill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theme="7"/>
        </right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2" formatCode="0.00"/>
    </dxf>
    <dxf>
      <numFmt numFmtId="1" formatCode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haped%20Standings/Advanced%20Stand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"/>
      <sheetName val="Master"/>
      <sheetName val="Hitting"/>
      <sheetName val="Pitching"/>
      <sheetName val="StandingsRAW"/>
      <sheetName val="For Pub"/>
    </sheetNames>
    <sheetDataSet>
      <sheetData sheetId="0" refreshError="1"/>
      <sheetData sheetId="1"/>
      <sheetData sheetId="2" refreshError="1"/>
      <sheetData sheetId="3"/>
      <sheetData sheetId="4">
        <row r="1">
          <cell r="J1" t="str">
            <v>Battle Creek Battle Jacks</v>
          </cell>
          <cell r="L1" t="str">
            <v>BC</v>
          </cell>
        </row>
        <row r="2">
          <cell r="J2" t="str">
            <v>Bismarck Larks</v>
          </cell>
          <cell r="L2" t="str">
            <v>BIS</v>
          </cell>
        </row>
        <row r="3">
          <cell r="J3" t="str">
            <v>Duluth Huskies</v>
          </cell>
          <cell r="L3" t="str">
            <v>DUL</v>
          </cell>
        </row>
        <row r="4">
          <cell r="J4" t="str">
            <v>Eau Claire Express</v>
          </cell>
          <cell r="L4" t="str">
            <v>EC</v>
          </cell>
        </row>
        <row r="5">
          <cell r="J5" t="str">
            <v>Fond du Lac Dock Spiders</v>
          </cell>
          <cell r="L5" t="str">
            <v>FDL</v>
          </cell>
        </row>
        <row r="6">
          <cell r="J6" t="str">
            <v>Green Bay Rockers</v>
          </cell>
          <cell r="L6" t="str">
            <v>GB</v>
          </cell>
        </row>
        <row r="7">
          <cell r="J7" t="str">
            <v>Kalamazoo Growlers</v>
          </cell>
          <cell r="L7" t="str">
            <v>KZO</v>
          </cell>
        </row>
        <row r="8">
          <cell r="J8" t="str">
            <v>Kenosha Kingfish</v>
          </cell>
          <cell r="L8" t="str">
            <v>KEN</v>
          </cell>
        </row>
        <row r="9">
          <cell r="J9" t="str">
            <v>Kokomo Jackrabbits</v>
          </cell>
          <cell r="L9" t="str">
            <v>KMO</v>
          </cell>
        </row>
        <row r="10">
          <cell r="J10" t="str">
            <v>La Crosse Loggers</v>
          </cell>
          <cell r="L10" t="str">
            <v>LAC</v>
          </cell>
        </row>
        <row r="11">
          <cell r="J11" t="str">
            <v>Lakeshore Chinooks</v>
          </cell>
          <cell r="L11" t="str">
            <v>LAK</v>
          </cell>
        </row>
        <row r="12">
          <cell r="J12" t="str">
            <v>Madison Mallards</v>
          </cell>
          <cell r="L12" t="str">
            <v>MAD</v>
          </cell>
        </row>
        <row r="13">
          <cell r="J13" t="str">
            <v>Mankato MoonDogs</v>
          </cell>
          <cell r="L13" t="str">
            <v>MAN</v>
          </cell>
        </row>
        <row r="14">
          <cell r="J14" t="str">
            <v>Minnesota Mud Puppies</v>
          </cell>
          <cell r="L14" t="str">
            <v>MIN</v>
          </cell>
        </row>
        <row r="15">
          <cell r="J15" t="str">
            <v>Rochester Honkers</v>
          </cell>
          <cell r="L15" t="str">
            <v>ROC</v>
          </cell>
        </row>
        <row r="16">
          <cell r="J16" t="str">
            <v>Rockford Rivets</v>
          </cell>
          <cell r="L16" t="str">
            <v>RFD</v>
          </cell>
        </row>
        <row r="17">
          <cell r="J17" t="str">
            <v>St. Cloud Rox</v>
          </cell>
          <cell r="L17" t="str">
            <v>STC</v>
          </cell>
        </row>
        <row r="18">
          <cell r="J18" t="str">
            <v>Traverse City Pit Spitters</v>
          </cell>
          <cell r="L18" t="str">
            <v>TVC</v>
          </cell>
        </row>
        <row r="19">
          <cell r="J19" t="str">
            <v>Waterloo Bucks</v>
          </cell>
          <cell r="L19" t="str">
            <v>WAT</v>
          </cell>
        </row>
        <row r="20">
          <cell r="J20" t="str">
            <v>Wausau Woodchucks</v>
          </cell>
          <cell r="L20" t="str">
            <v>WAU</v>
          </cell>
        </row>
        <row r="21">
          <cell r="J21" t="str">
            <v>Willmar Stingers</v>
          </cell>
          <cell r="L21" t="str">
            <v>WIL</v>
          </cell>
        </row>
        <row r="22">
          <cell r="J22" t="str">
            <v>Wisconsin Rapids Rafters</v>
          </cell>
          <cell r="L22" t="str">
            <v>WIR</v>
          </cell>
        </row>
      </sheetData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87F24-3E99-4FB5-9E86-EB8B7444DB68}" name="Table1" displayName="Table1" ref="A76:J148" totalsRowShown="0">
  <autoFilter ref="A76:J148" xr:uid="{98887F24-3E99-4FB5-9E86-EB8B7444DB68}"/>
  <tableColumns count="10">
    <tableColumn id="1" xr3:uid="{AE21C225-B4E1-4002-946A-FEF59A1B808B}" name="Date"/>
    <tableColumn id="2" xr3:uid="{3E87FAB0-1AE0-41CF-AAE9-BB0B5EB8ADCD}" name="Opponent"/>
    <tableColumn id="3" xr3:uid="{F60EE48C-B187-48D6-9C07-BAB67A7A62C6}" name="Score"/>
    <tableColumn id="4" xr3:uid="{81E9FA8C-A4FD-4026-A734-76D61EDD4299}" name="At" dataDxfId="242">
      <calculatedColumnFormula>IF(LEFT(Table1[[#This Row],[Opponent]],1)="@","Away","Home")</calculatedColumnFormula>
    </tableColumn>
    <tableColumn id="5" xr3:uid="{4F5ED71D-C04A-4294-8BD7-29E315D1DB09}" name="Scored" dataDxfId="241">
      <calculatedColumnFormula>_xlfn.NUMBERVALUE(MID(LEFT(Table1[[#This Row],[Score]],FIND("-",Table1[[#This Row],[Score]])-1),FIND(" ",Table1[[#This Row],[Score]])+1,LEN(Table1[[#This Row],[Score]])))</calculatedColumnFormula>
    </tableColumn>
    <tableColumn id="6" xr3:uid="{C9212F35-B920-4D6A-BFDA-D4FEC9F5C565}" name="Allowed" dataDxfId="240">
      <calculatedColumnFormula>_xlfn.NUMBERVALUE(RIGHT(Table1[[#This Row],[Score]],LEN(Table1[[#This Row],[Score]])-FIND("-",Table1[[#This Row],[Score]])))</calculatedColumnFormula>
    </tableColumn>
    <tableColumn id="7" xr3:uid="{75444D2D-E473-470E-815F-C0BEF5B18510}" name="Total" dataDxfId="239">
      <calculatedColumnFormula>E77+F77</calculatedColumnFormula>
    </tableColumn>
    <tableColumn id="8" xr3:uid="{D1912EC9-74D0-47DE-A0CA-5D3385025A41}" name="Result" dataDxfId="238">
      <calculatedColumnFormula>LEFT(Table1[[#This Row],[Score]],1)</calculatedColumnFormula>
    </tableColumn>
    <tableColumn id="9" xr3:uid="{BC32178B-3774-4331-BE63-A85EC2C257DB}" name="OPP" dataDxfId="237">
      <calculatedColumnFormula>VLOOKUP(IF(Table1[[#This Row],[At]]="Home",Table1[[#This Row],[Opponent]],RIGHT(Table1[[#This Row],[Opponent]],LEN(Table1[[#This Row],[Opponent]])-1)),CHOOSE({1,2},[1]StandingsRAW!$J$1:$J$22,[1]StandingsRAW!$L$1:$L$22),2,FALSE)</calculatedColumnFormula>
    </tableColumn>
    <tableColumn id="10" xr3:uid="{98897EEB-0076-4CA8-8B0E-EAC15C0448F0}" name="oRD" dataDxfId="236">
      <calculatedColumnFormula>VLOOKUP(Table1[[#This Row],[OPP]],Raw!$L$2:$S$23,7,FALSE)-Raw!$U$2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E632458-E5DA-4458-8A0B-4BBA416AFB45}" name="Table24" displayName="Table24" ref="A72:J140" totalsRowShown="0" headerRowDxfId="200" tableBorderDxfId="199">
  <autoFilter ref="A72:J140" xr:uid="{2E632458-E5DA-4458-8A0B-4BBA416AFB45}"/>
  <tableColumns count="10">
    <tableColumn id="1" xr3:uid="{CEBAA81F-9AE5-424B-9586-A48B710CC79E}" name="Date" dataDxfId="198"/>
    <tableColumn id="2" xr3:uid="{0BCA95EE-6E69-486E-8CA0-F868C0FF6BE6}" name="Opponent" dataDxfId="197"/>
    <tableColumn id="3" xr3:uid="{EE86FD25-CF52-4D0A-B568-5AADEF9076CA}" name="Score" dataDxfId="196"/>
    <tableColumn id="4" xr3:uid="{3A9F8C86-15FC-4B4D-A8EF-FED2B22FF844}" name="At" dataDxfId="195">
      <calculatedColumnFormula>IF(LEFT(LAC!$B73,1)="@","Away","Home")</calculatedColumnFormula>
    </tableColumn>
    <tableColumn id="5" xr3:uid="{ED2FCD1D-95A4-401A-B3F2-DB291A116D7D}" name="Scored" dataDxfId="194">
      <calculatedColumnFormula>_xlfn.NUMBERVALUE(MID(LEFT(LAC!$C73,FIND("-",LAC!$C73)-1),FIND(" ",LAC!$C73)+1,LEN(LAC!$C73)))</calculatedColumnFormula>
    </tableColumn>
    <tableColumn id="6" xr3:uid="{82A66569-52D8-4C25-AFE3-4867DC541869}" name="Allowed" dataDxfId="193">
      <calculatedColumnFormula>_xlfn.NUMBERVALUE(RIGHT(LAC!$C73,LEN(LAC!$C73)-FIND("-",LAC!$C73)))</calculatedColumnFormula>
    </tableColumn>
    <tableColumn id="7" xr3:uid="{A0A9B8D1-E1FB-405B-838B-A2CAFE94A70D}" name="Total" dataDxfId="192">
      <calculatedColumnFormula>E73+F73</calculatedColumnFormula>
    </tableColumn>
    <tableColumn id="8" xr3:uid="{FB47F176-A234-49EC-B67F-E257AE287B93}" name="Result" dataDxfId="191">
      <calculatedColumnFormula>LEFT(LAC!$C73,1)</calculatedColumnFormula>
    </tableColumn>
    <tableColumn id="9" xr3:uid="{0D3E3F4B-8F34-400E-8891-79C616009777}" name="OPP">
      <calculatedColumnFormula>VLOOKUP(IF(Table24[[#This Row],[At]]="Home",Table24[[#This Row],[Opponent]],RIGHT(Table24[[#This Row],[Opponent]],LEN(Table24[[#This Row],[Opponent]])-1)),CHOOSE({1,2},[1]StandingsRAW!$J$1:$J$22,[1]StandingsRAW!$L$1:$L$22),2,FALSE)</calculatedColumnFormula>
    </tableColumn>
    <tableColumn id="10" xr3:uid="{D51044CF-DF39-43FE-B9D8-81E61FCFC0EF}" name="oR/G">
      <calculatedColumnFormula>VLOOKUP(Table24[[#This Row],[OPP]],Raw!$L$2:$S$23,7,FALSE)-Raw!$U$2</calculatedColumnFormula>
    </tableColumn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A4F9C6F-CEEF-4241-BA6C-DB203E70DAA4}" name="Table12" displayName="Table12" ref="A75:J147" totalsRowShown="0">
  <autoFilter ref="A75:J147" xr:uid="{FA4F9C6F-CEEF-4241-BA6C-DB203E70DAA4}"/>
  <tableColumns count="10">
    <tableColumn id="1" xr3:uid="{AA9B14AA-CB51-4813-BC1D-0C1D824382E3}" name="Date"/>
    <tableColumn id="2" xr3:uid="{16E90FA6-3916-41CB-9003-778C9970F1A5}" name="Opponent"/>
    <tableColumn id="3" xr3:uid="{91545CCB-D12D-473D-822D-7EC45D41F902}" name="Score"/>
    <tableColumn id="4" xr3:uid="{B38FEC4E-F6C1-4CDF-B410-ABC6960DB050}" name="At">
      <calculatedColumnFormula>IF(LEFT(Table12[[#This Row],[Opponent]],1)="@","Away","Home")</calculatedColumnFormula>
    </tableColumn>
    <tableColumn id="5" xr3:uid="{33871AA9-CDD6-47A2-B17F-85CA45AF0F52}" name="Scored">
      <calculatedColumnFormula>_xlfn.NUMBERVALUE(MID(LEFT(Table12[[#This Row],[Score]],FIND("-",Table12[[#This Row],[Score]])-1),FIND(" ",Table12[[#This Row],[Score]])+1,LEN(Table12[[#This Row],[Score]])))</calculatedColumnFormula>
    </tableColumn>
    <tableColumn id="6" xr3:uid="{921958B4-04B1-43BD-86E9-FC88A512034F}" name="Allowed">
      <calculatedColumnFormula>_xlfn.NUMBERVALUE(RIGHT(Table12[[#This Row],[Score]],LEN(Table12[[#This Row],[Score]])-FIND("-",Table12[[#This Row],[Score]])))</calculatedColumnFormula>
    </tableColumn>
    <tableColumn id="7" xr3:uid="{38C586AB-6FB4-4CE9-A406-9D54AF5DF547}" name="Total">
      <calculatedColumnFormula>E76+F76</calculatedColumnFormula>
    </tableColumn>
    <tableColumn id="8" xr3:uid="{665BFA3A-15AA-4A57-9728-8B317F11269E}" name="Result">
      <calculatedColumnFormula>LEFT(Table12[[#This Row],[Score]],1)</calculatedColumnFormula>
    </tableColumn>
    <tableColumn id="9" xr3:uid="{EB473DBC-EBF0-4841-BC35-6D9A77DB7CC3}" name="OPP" dataDxfId="190">
      <calculatedColumnFormula>VLOOKUP(IF(Table12[[#This Row],[At]]="Home",Table12[[#This Row],[Opponent]],RIGHT(Table12[[#This Row],[Opponent]],LEN(Table12[[#This Row],[Opponent]])-1)),CHOOSE({1,2},[1]StandingsRAW!$J$1:$J$22,[1]StandingsRAW!$L$1:$L$22),2,FALSE)</calculatedColumnFormula>
    </tableColumn>
    <tableColumn id="10" xr3:uid="{981DB45A-C0A1-4FB8-BF16-4A500CBA91E6}" name="oR/G" dataDxfId="189">
      <calculatedColumnFormula>VLOOKUP(Table12[[#This Row],[OPP]],Raw!$L$2:$S$23,7,FALSE)-Raw!$U$2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C030DC-A90C-4073-84E3-75ED2A30EC44}" name="Table13" displayName="Table13" ref="A76:J148" totalsRowShown="0">
  <autoFilter ref="A76:J148" xr:uid="{86C030DC-A90C-4073-84E3-75ED2A30EC44}"/>
  <tableColumns count="10">
    <tableColumn id="1" xr3:uid="{2A7519D0-C5DA-4EA3-9F4B-FCB20B52FBAA}" name="Date"/>
    <tableColumn id="2" xr3:uid="{FC502889-4636-4376-BD37-1007E83D9F9D}" name="Opponent"/>
    <tableColumn id="3" xr3:uid="{2B426A90-542E-466B-9785-B240B8C5CFA8}" name="Score"/>
    <tableColumn id="4" xr3:uid="{82425A18-DE21-41CF-ABCE-C5BBC4007800}" name="At">
      <calculatedColumnFormula>IF(LEFT(Table13[[#This Row],[Opponent]],1)="@","Away","Home")</calculatedColumnFormula>
    </tableColumn>
    <tableColumn id="5" xr3:uid="{852055E7-F9D1-4461-AA02-658D42094A2F}" name="Scored">
      <calculatedColumnFormula>_xlfn.NUMBERVALUE(MID(LEFT(Table13[[#This Row],[Score]],FIND("-",Table13[[#This Row],[Score]])-1),FIND(" ",Table13[[#This Row],[Score]])+1,LEN(Table13[[#This Row],[Score]])))</calculatedColumnFormula>
    </tableColumn>
    <tableColumn id="6" xr3:uid="{751A064F-A250-4D5C-A333-26DB33CF26CE}" name="Allowed">
      <calculatedColumnFormula>_xlfn.NUMBERVALUE(RIGHT(Table13[[#This Row],[Score]],LEN(Table13[[#This Row],[Score]])-FIND("-",Table13[[#This Row],[Score]])))</calculatedColumnFormula>
    </tableColumn>
    <tableColumn id="7" xr3:uid="{B6EA2C77-9E40-4D9D-9FEF-0FF9CF0B2FB7}" name="Total">
      <calculatedColumnFormula>E77+F77</calculatedColumnFormula>
    </tableColumn>
    <tableColumn id="8" xr3:uid="{8BE77BD8-7E9E-4A16-95AA-01132E94607E}" name="Result">
      <calculatedColumnFormula>LEFT(Table13[[#This Row],[Score]],1)</calculatedColumnFormula>
    </tableColumn>
    <tableColumn id="9" xr3:uid="{43E90D48-A61A-43A8-9AB3-FC56D5A00274}" name="OPP" dataDxfId="188">
      <calculatedColumnFormula>VLOOKUP(IF(Table13[[#This Row],[At]]="Home",Table13[[#This Row],[Opponent]],RIGHT(Table13[[#This Row],[Opponent]],LEN(Table13[[#This Row],[Opponent]])-1)),CHOOSE({1,2},[1]StandingsRAW!$J$1:$J$22,[1]StandingsRAW!$L$1:$L$22),2,FALSE)</calculatedColumnFormula>
    </tableColumn>
    <tableColumn id="10" xr3:uid="{7365240F-6A5D-4954-B5F4-F88A6C038B57}" name="oR/G" dataDxfId="187">
      <calculatedColumnFormula>VLOOKUP(Table13[[#This Row],[OPP]],Raw!$L$2:$S$23,7,FALSE)-Raw!$U$2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2033423-E25C-4C30-80BA-C7A8438B189B}" name="Table25" displayName="Table25" ref="A72:J140" totalsRowShown="0" headerRowDxfId="186" tableBorderDxfId="185">
  <autoFilter ref="A72:J140" xr:uid="{72033423-E25C-4C30-80BA-C7A8438B189B}"/>
  <tableColumns count="10">
    <tableColumn id="1" xr3:uid="{39554559-FDA5-4770-BD2E-41F4271250E1}" name="Date" dataDxfId="184"/>
    <tableColumn id="2" xr3:uid="{E1C1FCFC-138F-41DD-A04A-97AF97C1EF5F}" name="Opponent" dataDxfId="183"/>
    <tableColumn id="3" xr3:uid="{695EC285-AD63-4D98-8084-C5434B2B6C74}" name="Score" dataDxfId="182"/>
    <tableColumn id="4" xr3:uid="{17E71B97-E363-4DB3-AADF-3D6F4EDA3DB5}" name="At" dataDxfId="181">
      <calculatedColumnFormula>IF(LEFT(MAN!$B73,1)="@","Away","Home")</calculatedColumnFormula>
    </tableColumn>
    <tableColumn id="5" xr3:uid="{3549E164-3505-4E9E-B58B-F5E9418036D5}" name="Scored" dataDxfId="180">
      <calculatedColumnFormula>_xlfn.NUMBERVALUE(MID(LEFT(MAN!$C73,FIND("-",MAN!$C73)-1),FIND(" ",MAN!$C73)+1,LEN(MAN!$C73)))</calculatedColumnFormula>
    </tableColumn>
    <tableColumn id="6" xr3:uid="{2C6DCDAF-7CF5-4E80-BA99-F03E73D33530}" name="Allowed" dataDxfId="179">
      <calculatedColumnFormula>_xlfn.NUMBERVALUE(RIGHT(MAN!$C73,LEN(MAN!$C73)-FIND("-",MAN!$C73)))</calculatedColumnFormula>
    </tableColumn>
    <tableColumn id="7" xr3:uid="{4DD693FB-CD7E-4C85-B363-60328A681652}" name="Total" dataDxfId="178">
      <calculatedColumnFormula>E73+F73</calculatedColumnFormula>
    </tableColumn>
    <tableColumn id="8" xr3:uid="{0D6EFFFF-AC48-475C-8B9C-BDB765F3F122}" name="Result" dataDxfId="177">
      <calculatedColumnFormula>LEFT(MAN!$C73,1)</calculatedColumnFormula>
    </tableColumn>
    <tableColumn id="9" xr3:uid="{CA2BD856-75F7-46E8-96FC-E32EFAA351D4}" name="OPP">
      <calculatedColumnFormula>VLOOKUP(IF(Table25[[#This Row],[At]]="Home",Table25[[#This Row],[Opponent]],RIGHT(Table25[[#This Row],[Opponent]],LEN(Table25[[#This Row],[Opponent]])-1)),CHOOSE({1,2},[1]StandingsRAW!$J$1:$J$22,[1]StandingsRAW!$L$1:$L$22),2,FALSE)</calculatedColumnFormula>
    </tableColumn>
    <tableColumn id="10" xr3:uid="{1DD97E50-B38C-4234-A576-1C476EE963AB}" name="oR/G">
      <calculatedColumnFormula>VLOOKUP(Table25[[#This Row],[OPP]],Raw!$L$2:$S$23,7,FALSE)-Raw!$U$2</calculatedColumnFormula>
    </tableColumn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96172E4-2904-45BF-9EB6-2C86670CA07B}" name="Table15" displayName="Table15" ref="A40:J76" totalsRowShown="0" headerRowDxfId="176" dataDxfId="175">
  <autoFilter ref="A40:J76" xr:uid="{096172E4-2904-45BF-9EB6-2C86670CA07B}"/>
  <tableColumns count="10">
    <tableColumn id="1" xr3:uid="{6B746F58-47F2-4C71-A38D-4A13B04607E8}" name="Date"/>
    <tableColumn id="2" xr3:uid="{1748D52D-93C3-4109-8FA1-34AA13014C9A}" name="Opponent"/>
    <tableColumn id="3" xr3:uid="{07CDC10F-BEC5-42B2-A74E-0F6470ACA0D1}" name="Score"/>
    <tableColumn id="4" xr3:uid="{653ED7C5-A340-4B80-BA12-89705346A46F}" name="At">
      <calculatedColumnFormula>IF(LEFT(Table15[[#This Row],[Opponent]],1)="@","Away","Home")</calculatedColumnFormula>
    </tableColumn>
    <tableColumn id="5" xr3:uid="{3AC0FF46-8543-4802-82CE-88C86D6A9DB3}" name="Scored" dataDxfId="174">
      <calculatedColumnFormula>_xlfn.NUMBERVALUE(MID(LEFT(Table15[[#This Row],[Score]],FIND("-",Table15[[#This Row],[Score]])-1),FIND(" ",Table15[[#This Row],[Score]])+1,LEN(Table15[[#This Row],[Score]])))</calculatedColumnFormula>
    </tableColumn>
    <tableColumn id="6" xr3:uid="{D2240EEB-BCEE-408C-BF73-9F1F7DDC9830}" name="Allowed" dataDxfId="173">
      <calculatedColumnFormula>_xlfn.NUMBERVALUE(RIGHT(Table15[[#This Row],[Score]],LEN(Table15[[#This Row],[Score]])-FIND("-",Table15[[#This Row],[Score]])))</calculatedColumnFormula>
    </tableColumn>
    <tableColumn id="7" xr3:uid="{6AFE6355-6FC0-42E2-B163-ECC047F20D3A}" name="Total" dataDxfId="172">
      <calculatedColumnFormula>E41+F41</calculatedColumnFormula>
    </tableColumn>
    <tableColumn id="8" xr3:uid="{E7C02EF1-8F16-4CAB-B815-7ACDC4143955}" name="Result" dataDxfId="171">
      <calculatedColumnFormula>LEFT(Table15[[#This Row],[Score]],1)</calculatedColumnFormula>
    </tableColumn>
    <tableColumn id="9" xr3:uid="{17752B71-6F88-4754-889B-AA5BD8518644}" name="OPP" dataDxfId="170">
      <calculatedColumnFormula>VLOOKUP(IF(Table15[[#This Row],[At]]="Home",Table15[[#This Row],[Opponent]],RIGHT(Table15[[#This Row],[Opponent]],LEN(Table15[[#This Row],[Opponent]])-1)),CHOOSE({1,2},[1]StandingsRAW!$J$1:$J$22,[1]StandingsRAW!$L$1:$L$22),2,FALSE)</calculatedColumnFormula>
    </tableColumn>
    <tableColumn id="10" xr3:uid="{D2D5B1A6-7DB3-46A3-AFFC-48D2237F8715}" name="oR/G" dataDxfId="169">
      <calculatedColumnFormula>VLOOKUP(Table15[[#This Row],[OPP]],Raw!$L$2:$S$23,7,FALSE)-Raw!$U$2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1136B3-F72F-4475-89BE-8FE4CDAB6B5A}" name="Table16" displayName="Table16" ref="A75:J147" totalsRowShown="0">
  <autoFilter ref="A75:J147" xr:uid="{8B1136B3-F72F-4475-89BE-8FE4CDAB6B5A}"/>
  <tableColumns count="10">
    <tableColumn id="1" xr3:uid="{8D76237F-8CD7-4269-B348-7360F05809C4}" name="Date"/>
    <tableColumn id="2" xr3:uid="{90B283F8-79CE-4661-810A-9F22D7C6765A}" name="Opponent"/>
    <tableColumn id="3" xr3:uid="{76C7AEE5-6D45-4400-859B-8E567BA75B86}" name="Score"/>
    <tableColumn id="4" xr3:uid="{00185063-0EAD-470B-819C-7072745B91D7}" name="At">
      <calculatedColumnFormula>IF(LEFT(Table16[[#This Row],[Opponent]],1)="@","Away","Home")</calculatedColumnFormula>
    </tableColumn>
    <tableColumn id="5" xr3:uid="{7291A164-9A0F-4BD2-AD43-A86BF8897F27}" name="Scored">
      <calculatedColumnFormula>_xlfn.NUMBERVALUE(MID(LEFT(Table16[[#This Row],[Score]],FIND("-",Table16[[#This Row],[Score]])-1),FIND(" ",Table16[[#This Row],[Score]])+1,LEN(Table16[[#This Row],[Score]])))</calculatedColumnFormula>
    </tableColumn>
    <tableColumn id="6" xr3:uid="{65296D6D-BC97-4C70-9592-953680E5E881}" name="Allowed">
      <calculatedColumnFormula>_xlfn.NUMBERVALUE(RIGHT(Table16[[#This Row],[Score]],LEN(Table16[[#This Row],[Score]])-FIND("-",Table16[[#This Row],[Score]])))</calculatedColumnFormula>
    </tableColumn>
    <tableColumn id="7" xr3:uid="{08B7C1A3-5A21-44B8-9D0A-154DBA665F42}" name="Total">
      <calculatedColumnFormula>E76+F76</calculatedColumnFormula>
    </tableColumn>
    <tableColumn id="8" xr3:uid="{9A690287-9D33-4238-A488-958A56983548}" name="Result">
      <calculatedColumnFormula>LEFT(Table16[[#This Row],[Score]],1)</calculatedColumnFormula>
    </tableColumn>
    <tableColumn id="9" xr3:uid="{7375297E-49AC-4EBB-8B72-1084732521B2}" name="OPP" dataDxfId="168">
      <calculatedColumnFormula>VLOOKUP(IF(Table16[[#This Row],[At]]="Home",Table16[[#This Row],[Opponent]],RIGHT(Table16[[#This Row],[Opponent]],LEN(Table16[[#This Row],[Opponent]])-1)),CHOOSE({1,2},[1]StandingsRAW!$J$1:$J$22,[1]StandingsRAW!$L$1:$L$22),2,FALSE)</calculatedColumnFormula>
    </tableColumn>
    <tableColumn id="10" xr3:uid="{7DFDF059-B722-481C-939B-BD1AD97770DB}" name="oR/G" dataDxfId="167">
      <calculatedColumnFormula>VLOOKUP(Table16[[#This Row],[OPP]],Raw!$L$2:$S$23,7,FALSE)-Raw!$U$2</calculatedColumnFormula>
    </tableColumn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6956B27-C740-4B5E-8CB3-36E1557BE97E}" name="Table26" displayName="Table26" ref="A71:J139" totalsRowShown="0" headerRowDxfId="166" tableBorderDxfId="165">
  <autoFilter ref="A71:J139" xr:uid="{F6956B27-C740-4B5E-8CB3-36E1557BE97E}"/>
  <tableColumns count="10">
    <tableColumn id="1" xr3:uid="{238B1943-2FDB-433A-B83C-3D9F56A8BB76}" name="Date" dataDxfId="164"/>
    <tableColumn id="2" xr3:uid="{F2B4574B-7B1C-42C3-9970-C3A145CED4F6}" name="Opponent" dataDxfId="163"/>
    <tableColumn id="3" xr3:uid="{A654A21F-6057-42F9-8B68-78F8D74BDE0A}" name="Score" dataDxfId="162"/>
    <tableColumn id="4" xr3:uid="{E21DBCBB-8DAD-4DC4-8CCC-01664090FCF0}" name="At" dataDxfId="161">
      <calculatedColumnFormula>IF(LEFT(ROC!$B72,1)="@","Away","Home")</calculatedColumnFormula>
    </tableColumn>
    <tableColumn id="5" xr3:uid="{96206144-7AA3-46CD-ACAA-2B607A4173D7}" name="Scored" dataDxfId="160">
      <calculatedColumnFormula>_xlfn.NUMBERVALUE(MID(LEFT(ROC!$C72,FIND("-",ROC!$C72)-1),FIND(" ",ROC!$C72)+1,LEN(ROC!$C72)))</calculatedColumnFormula>
    </tableColumn>
    <tableColumn id="6" xr3:uid="{36254EAC-FF19-4618-8A4A-DAC46377AFA8}" name="Allowed" dataDxfId="159">
      <calculatedColumnFormula>_xlfn.NUMBERVALUE(RIGHT(ROC!$C72,LEN(ROC!$C72)-FIND("-",ROC!$C72)))</calculatedColumnFormula>
    </tableColumn>
    <tableColumn id="7" xr3:uid="{92B50463-877D-4D2F-B3FE-2A3D7D21C5AA}" name="Total" dataDxfId="158">
      <calculatedColumnFormula>E72+F72</calculatedColumnFormula>
    </tableColumn>
    <tableColumn id="8" xr3:uid="{38BCA00D-E846-48C6-96F3-074883C320D5}" name="Result" dataDxfId="157">
      <calculatedColumnFormula>LEFT(ROC!$C72,1)</calculatedColumnFormula>
    </tableColumn>
    <tableColumn id="9" xr3:uid="{D3B2B3B7-504D-40EC-846F-8923DF52D05E}" name="OPP">
      <calculatedColumnFormula>VLOOKUP(IF(Table26[[#This Row],[At]]="Home",Table26[[#This Row],[Opponent]],RIGHT(Table26[[#This Row],[Opponent]],LEN(Table26[[#This Row],[Opponent]])-1)),CHOOSE({1,2},[1]StandingsRAW!$J$1:$J$22,[1]StandingsRAW!$L$1:$L$22),2,FALSE)</calculatedColumnFormula>
    </tableColumn>
    <tableColumn id="10" xr3:uid="{FB7F2ACA-1452-4A4D-B1C8-243BC99E017E}" name="oR/G" dataDxfId="156">
      <calculatedColumnFormula>VLOOKUP(Table26[[#This Row],[OPP]],Raw!$L$2:$S$23,7,FALSE)-Raw!$U$2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714BCD5-53CB-4E3F-9C55-A5A6EE044CD1}" name="Table27" displayName="Table27" ref="A72:J140" totalsRowShown="0" headerRowDxfId="155" tableBorderDxfId="154">
  <autoFilter ref="A72:J140" xr:uid="{0714BCD5-53CB-4E3F-9C55-A5A6EE044CD1}"/>
  <tableColumns count="10">
    <tableColumn id="1" xr3:uid="{A8D86F63-83DD-4A91-A579-001D422C6F73}" name="Date" dataDxfId="153"/>
    <tableColumn id="2" xr3:uid="{EAE47B70-82CA-48BF-A095-DBDD758AE564}" name="Opponent" dataDxfId="152"/>
    <tableColumn id="3" xr3:uid="{AE3F86A2-EF29-4EBE-8722-7B332FD52BAA}" name="Score" dataDxfId="151"/>
    <tableColumn id="4" xr3:uid="{B9E35C93-767C-4DDB-B1C7-504D058A2CAB}" name="At" dataDxfId="150">
      <calculatedColumnFormula>IF(LEFT(STC!$B73,1)="@","Away","Home")</calculatedColumnFormula>
    </tableColumn>
    <tableColumn id="5" xr3:uid="{08A6CB75-2CDC-44D5-BC38-0D8F88ED4DD6}" name="Scored" dataDxfId="149">
      <calculatedColumnFormula>_xlfn.NUMBERVALUE(MID(LEFT(STC!$C73,FIND("-",STC!$C73)-1),FIND(" ",STC!$C73)+1,LEN(STC!$C73)))</calculatedColumnFormula>
    </tableColumn>
    <tableColumn id="6" xr3:uid="{7A1452DF-2D3C-4F62-8696-BFE5D3B79BA9}" name="Allowed" dataDxfId="148">
      <calculatedColumnFormula>_xlfn.NUMBERVALUE(RIGHT(STC!$C73,LEN(STC!$C73)-FIND("-",STC!$C73)))</calculatedColumnFormula>
    </tableColumn>
    <tableColumn id="7" xr3:uid="{AA7DA6BF-1305-4E98-83AC-ECAE13AB78A4}" name="Total" dataDxfId="147">
      <calculatedColumnFormula>E73+F73</calculatedColumnFormula>
    </tableColumn>
    <tableColumn id="8" xr3:uid="{C6C92BFB-7E60-4D22-8D79-38C6756B4060}" name="Result" dataDxfId="146">
      <calculatedColumnFormula>LEFT(STC!$C73,1)</calculatedColumnFormula>
    </tableColumn>
    <tableColumn id="9" xr3:uid="{1E92369D-653A-4099-9B77-3DF408241E30}" name="OPP">
      <calculatedColumnFormula>VLOOKUP(IF(Table27[[#This Row],[At]]="Home",Table27[[#This Row],[Opponent]],RIGHT(Table27[[#This Row],[Opponent]],LEN(Table27[[#This Row],[Opponent]])-1)),CHOOSE({1,2},[1]StandingsRAW!$J$1:$J$22,[1]StandingsRAW!$L$1:$L$22),2,FALSE)</calculatedColumnFormula>
    </tableColumn>
    <tableColumn id="10" xr3:uid="{9F459203-760D-4EE5-8019-F0747AD91B2E}" name="oR/G">
      <calculatedColumnFormula>VLOOKUP(Table27[[#This Row],[OPP]],Raw!$L$2:$S$23,7,FALSE)-Raw!$U$2</calculatedColumnFormula>
    </tableColumn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435E74E-478A-4180-82DA-7ECB6E7D1930}" name="Table19" displayName="Table19" ref="A75:J147" totalsRowShown="0">
  <autoFilter ref="A75:J147" xr:uid="{E435E74E-478A-4180-82DA-7ECB6E7D1930}"/>
  <tableColumns count="10">
    <tableColumn id="1" xr3:uid="{AAC97EB9-8C0C-4C9E-A2FE-16B1FA9C08D1}" name="Date"/>
    <tableColumn id="2" xr3:uid="{7E9128BA-1942-4206-BE99-002C6D1ACEFA}" name="Opponent"/>
    <tableColumn id="3" xr3:uid="{D93A517A-EB99-4559-914E-ACE30EA6B907}" name="Score"/>
    <tableColumn id="4" xr3:uid="{DC9E23E4-AA34-417E-A0E4-73BBAE7BF14A}" name="At">
      <calculatedColumnFormula>IF(LEFT(Table19[[#This Row],[Opponent]],1)="@","Away","Home")</calculatedColumnFormula>
    </tableColumn>
    <tableColumn id="5" xr3:uid="{AF39E200-7A1D-4C87-B2F9-B14BE3B15278}" name="Scored">
      <calculatedColumnFormula>_xlfn.NUMBERVALUE(MID(LEFT(Table19[[#This Row],[Score]],FIND("-",Table19[[#This Row],[Score]])-1),FIND(" ",Table19[[#This Row],[Score]])+1,LEN(Table19[[#This Row],[Score]])))</calculatedColumnFormula>
    </tableColumn>
    <tableColumn id="6" xr3:uid="{AE05CD1E-21D8-40C2-9DF3-3371DD9B89A1}" name="Allowed">
      <calculatedColumnFormula>_xlfn.NUMBERVALUE(RIGHT(Table19[[#This Row],[Score]],LEN(Table19[[#This Row],[Score]])-FIND("-",Table19[[#This Row],[Score]])))</calculatedColumnFormula>
    </tableColumn>
    <tableColumn id="7" xr3:uid="{B3665F38-7BAA-4322-9982-5D6C03DC618B}" name="Total">
      <calculatedColumnFormula>E76+F76</calculatedColumnFormula>
    </tableColumn>
    <tableColumn id="8" xr3:uid="{8B4FE9F6-8723-4AB4-A983-A8549D312072}" name="Result">
      <calculatedColumnFormula>LEFT(Table19[[#This Row],[Score]],1)</calculatedColumnFormula>
    </tableColumn>
    <tableColumn id="9" xr3:uid="{AFE7F004-A323-4333-97CE-A4282D00DB51}" name="OPP" dataDxfId="145">
      <calculatedColumnFormula>VLOOKUP(IF(Table19[[#This Row],[At]]="Home",Table19[[#This Row],[Opponent]],RIGHT(Table19[[#This Row],[Opponent]],LEN(Table19[[#This Row],[Opponent]])-1)),CHOOSE({1,2},[1]StandingsRAW!$J$1:$J$22,[1]StandingsRAW!$L$1:$L$22),2,FALSE)</calculatedColumnFormula>
    </tableColumn>
    <tableColumn id="10" xr3:uid="{B2223291-8492-4900-A234-BD565A2DE189}" name="oR/G" dataDxfId="144">
      <calculatedColumnFormula>VLOOKUP(Table19[[#This Row],[OPP]],Raw!$L$2:$S$23,7,FALSE)-Raw!$U$2</calculatedColumnFormula>
    </tableColumn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D9231F2-B8F5-4684-912E-6C677A63EF17}" name="Table28" displayName="Table28" ref="A71:J139" totalsRowShown="0" headerRowDxfId="143" tableBorderDxfId="142">
  <autoFilter ref="A71:J139" xr:uid="{9D9231F2-B8F5-4684-912E-6C677A63EF17}"/>
  <tableColumns count="10">
    <tableColumn id="1" xr3:uid="{E70F48DE-45E1-4C6C-B4D7-C9463434E838}" name="Date" dataDxfId="141"/>
    <tableColumn id="2" xr3:uid="{9B9280F2-975D-455B-96AE-B34473A3CB91}" name="Opponent" dataDxfId="140"/>
    <tableColumn id="3" xr3:uid="{8605C9ED-938F-428E-9DFE-CC1516E93B21}" name="Score" dataDxfId="139"/>
    <tableColumn id="4" xr3:uid="{CB07D477-EC00-48D9-8DB5-9D15367BDDD2}" name="At" dataDxfId="138">
      <calculatedColumnFormula>IF(LEFT(WAT!$B72,1)="@","Away","Home")</calculatedColumnFormula>
    </tableColumn>
    <tableColumn id="5" xr3:uid="{116D249D-0970-4FBA-904F-EC14CC5E8045}" name="Scored" dataDxfId="137">
      <calculatedColumnFormula>_xlfn.NUMBERVALUE(MID(LEFT(WAT!$C72,FIND("-",WAT!$C72)-1),FIND(" ",WAT!$C72)+1,LEN(WAT!$C72)))</calculatedColumnFormula>
    </tableColumn>
    <tableColumn id="6" xr3:uid="{5D7F8AE2-A4BD-46D9-8571-D47D05775AC6}" name="Allowed" dataDxfId="136">
      <calculatedColumnFormula>_xlfn.NUMBERVALUE(RIGHT(WAT!$C72,LEN(WAT!$C72)-FIND("-",WAT!$C72)))</calculatedColumnFormula>
    </tableColumn>
    <tableColumn id="7" xr3:uid="{7894D94C-A67B-417D-AF5E-1BB72D02E560}" name="Total" dataDxfId="135">
      <calculatedColumnFormula>E72+F72</calculatedColumnFormula>
    </tableColumn>
    <tableColumn id="8" xr3:uid="{019C45D8-9D68-4318-B74D-612B80E27478}" name="Result" dataDxfId="134">
      <calculatedColumnFormula>LEFT(WAT!$C72,1)</calculatedColumnFormula>
    </tableColumn>
    <tableColumn id="9" xr3:uid="{0A696FD0-73F4-42FB-A55A-C82BDAEC91B2}" name="OPP">
      <calculatedColumnFormula>VLOOKUP(IF(Table28[[#This Row],[At]]="Home",Table28[[#This Row],[Opponent]],RIGHT(Table28[[#This Row],[Opponent]],LEN(Table28[[#This Row],[Opponent]])-1)),CHOOSE({1,2},[1]StandingsRAW!$J$1:$J$22,[1]StandingsRAW!$L$1:$L$22),2,FALSE)</calculatedColumnFormula>
    </tableColumn>
    <tableColumn id="10" xr3:uid="{38B9082D-4618-422D-AAF0-C86E029F5D8C}" name="oR/G">
      <calculatedColumnFormula>VLOOKUP(Table28[[#This Row],[OPP]],Raw!$L$2:$S$23,7,FALSE)-Raw!$U$2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2F41EB-6E83-4F8D-BA0D-AFCB29098C2B}" name="Table3" displayName="Table3" ref="A72:J140" totalsRowShown="0" headerRowDxfId="235" dataDxfId="234">
  <autoFilter ref="A72:J140" xr:uid="{B42F41EB-6E83-4F8D-BA0D-AFCB29098C2B}"/>
  <tableColumns count="10">
    <tableColumn id="1" xr3:uid="{1E03EB4A-87D7-44DF-B4EB-0D6805B91086}" name="Date"/>
    <tableColumn id="2" xr3:uid="{86A17282-417E-47C0-AEC8-D17E015C49CC}" name="Opponent"/>
    <tableColumn id="3" xr3:uid="{A6FB2383-8919-48A7-86E6-B8DA22727698}" name="Score"/>
    <tableColumn id="4" xr3:uid="{2F24556A-941F-4F1D-AAE4-8305E108FBF4}" name="At" dataDxfId="233">
      <calculatedColumnFormula>IF(LEFT(Table3[[#This Row],[Opponent]],1)="@","Away","Home")</calculatedColumnFormula>
    </tableColumn>
    <tableColumn id="5" xr3:uid="{0264B5DE-042E-4658-9A8F-4450F3795FAE}" name="Scored" dataDxfId="232">
      <calculatedColumnFormula>_xlfn.NUMBERVALUE(MID(LEFT(Table3[[#This Row],[Score]],FIND("-",Table3[[#This Row],[Score]])-1),FIND(" ",Table3[[#This Row],[Score]])+1,LEN(Table3[[#This Row],[Score]])))</calculatedColumnFormula>
    </tableColumn>
    <tableColumn id="6" xr3:uid="{5D8F65BE-33A1-4832-B06F-F809FE3A1C23}" name="Allowed" dataDxfId="231">
      <calculatedColumnFormula>_xlfn.NUMBERVALUE(RIGHT(Table3[[#This Row],[Score]],LEN(Table3[[#This Row],[Score]])-FIND("-",Table3[[#This Row],[Score]])))</calculatedColumnFormula>
    </tableColumn>
    <tableColumn id="7" xr3:uid="{E1DA8981-2EBE-4710-B6C4-0DC21F75A9CA}" name="Total" dataDxfId="230">
      <calculatedColumnFormula>E73+F73</calculatedColumnFormula>
    </tableColumn>
    <tableColumn id="8" xr3:uid="{AD8C78F0-940E-4CA0-95C2-5610F57CEFDA}" name="Result" dataDxfId="229">
      <calculatedColumnFormula>LEFT(Table3[[#This Row],[Score]],1)</calculatedColumnFormula>
    </tableColumn>
    <tableColumn id="9" xr3:uid="{21296AA1-CAB6-4A42-83B4-37AB466164D6}" name="OPP" dataDxfId="228">
      <calculatedColumnFormula>VLOOKUP(IF(Table3[[#This Row],[At]]="Home",Table3[[#This Row],[Opponent]],RIGHT(Table3[[#This Row],[Opponent]],LEN(Table3[[#This Row],[Opponent]])-1)),CHOOSE({1,2},[1]StandingsRAW!$J$1:$J$22,[1]StandingsRAW!$L$1:$L$22),2,FALSE)</calculatedColumnFormula>
    </tableColumn>
    <tableColumn id="10" xr3:uid="{18E2BDAC-5B9B-4EA9-9894-7EEC20FF18CD}" name="oR/G" dataDxfId="227">
      <calculatedColumnFormula>VLOOKUP(Table3[[#This Row],[OPP]],Raw!$L$2:$S$23,7,FALSE)-Raw!$U$2</calculatedColumnFormula>
    </tableColumn>
  </tableColumns>
  <tableStyleInfo name="TableStyleLight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B749F8D-ED08-470D-92DB-8476DBA119BE}" name="Table21" displayName="Table21" ref="A76:J148" totalsRowShown="0">
  <autoFilter ref="A76:J148" xr:uid="{FB749F8D-ED08-470D-92DB-8476DBA119BE}"/>
  <tableColumns count="10">
    <tableColumn id="1" xr3:uid="{8939B582-E243-4932-BD59-96B347196F16}" name="Date"/>
    <tableColumn id="2" xr3:uid="{F662FF84-17F2-4EA9-BA08-B3FBDA62C7C8}" name="Opponent"/>
    <tableColumn id="3" xr3:uid="{3F514CF0-5E24-4FDF-84EB-B3777A259A3A}" name="Score"/>
    <tableColumn id="4" xr3:uid="{8D959473-63B8-407E-ACBD-692B6A04C1C6}" name="At">
      <calculatedColumnFormula>IF(LEFT(Table21[[#This Row],[Opponent]],1)="@","Away","Home")</calculatedColumnFormula>
    </tableColumn>
    <tableColumn id="5" xr3:uid="{2A49BA3B-41E4-40A7-AF86-99EBBACB4D6F}" name="Scored">
      <calculatedColumnFormula>_xlfn.NUMBERVALUE(MID(LEFT(Table21[[#This Row],[Score]],FIND("-",Table21[[#This Row],[Score]])-1),FIND(" ",Table21[[#This Row],[Score]])+1,LEN(Table21[[#This Row],[Score]])))</calculatedColumnFormula>
    </tableColumn>
    <tableColumn id="6" xr3:uid="{024A9891-A753-44AF-BF62-68459365E958}" name="Allowed">
      <calculatedColumnFormula>_xlfn.NUMBERVALUE(RIGHT(Table21[[#This Row],[Score]],LEN(Table21[[#This Row],[Score]])-FIND("-",Table21[[#This Row],[Score]])))</calculatedColumnFormula>
    </tableColumn>
    <tableColumn id="7" xr3:uid="{A06A51CF-985D-4F6D-AB09-2266C110FAA3}" name="Total">
      <calculatedColumnFormula>E77+F77</calculatedColumnFormula>
    </tableColumn>
    <tableColumn id="8" xr3:uid="{44E75208-AD77-46B5-BC34-C732AE4D82FD}" name="Result">
      <calculatedColumnFormula>LEFT(Table21[[#This Row],[Score]],1)</calculatedColumnFormula>
    </tableColumn>
    <tableColumn id="9" xr3:uid="{48647DAD-502C-4250-BEF5-C3BCD687A6FF}" name="OPP" dataDxfId="133">
      <calculatedColumnFormula>VLOOKUP(IF(Table21[[#This Row],[At]]="Home",Table21[[#This Row],[Opponent]],RIGHT(Table21[[#This Row],[Opponent]],LEN(Table21[[#This Row],[Opponent]])-1)),CHOOSE({1,2},[1]StandingsRAW!$J$1:$J$22,[1]StandingsRAW!$L$1:$L$22),2,FALSE)</calculatedColumnFormula>
    </tableColumn>
    <tableColumn id="10" xr3:uid="{C4339CFC-8C33-4248-AD98-0B2087E2757D}" name="oR/G" dataDxfId="132">
      <calculatedColumnFormula>VLOOKUP(Table21[[#This Row],[OPP]],Raw!$L$2:$S$23,7,FALSE)-Raw!$U$2</calculatedColumnFormula>
    </tableColumn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EEFFB93-AD72-4653-A5EC-F8B744DCA484}" name="Table29" displayName="Table29" ref="A72:J140" totalsRowShown="0" headerRowDxfId="131" tableBorderDxfId="130">
  <autoFilter ref="A72:J140" xr:uid="{6EEFFB93-AD72-4653-A5EC-F8B744DCA484}"/>
  <tableColumns count="10">
    <tableColumn id="1" xr3:uid="{6573CE20-DA82-44E2-BE74-261BD9623107}" name="Date" dataDxfId="129"/>
    <tableColumn id="2" xr3:uid="{B63799BE-96B1-4B44-A58F-AD15955C8F22}" name="Opponent" dataDxfId="128"/>
    <tableColumn id="3" xr3:uid="{099E1179-FE03-492B-A5A8-CFC6395C863E}" name="Score" dataDxfId="127"/>
    <tableColumn id="4" xr3:uid="{05AD683C-03B8-47C6-9B0C-B5B28A1F2E38}" name="At" dataDxfId="126">
      <calculatedColumnFormula>IF(LEFT(WIL!$B73,1)="@","Away","Home")</calculatedColumnFormula>
    </tableColumn>
    <tableColumn id="5" xr3:uid="{56671EBE-5187-4B46-AB44-5A4F068CC763}" name="Scored" dataDxfId="125">
      <calculatedColumnFormula>_xlfn.NUMBERVALUE(MID(LEFT(WIL!$C73,FIND("-",WIL!$C73)-1),FIND(" ",WIL!$C73)+1,LEN(WIL!$C73)))</calculatedColumnFormula>
    </tableColumn>
    <tableColumn id="6" xr3:uid="{6415614D-AFFC-435C-9B56-E1189E2E68B7}" name="Allowed" dataDxfId="124">
      <calculatedColumnFormula>_xlfn.NUMBERVALUE(RIGHT(WIL!$C73,LEN(WIL!$C73)-FIND("-",WIL!$C73)))</calculatedColumnFormula>
    </tableColumn>
    <tableColumn id="7" xr3:uid="{0C17E567-3ACC-47D3-BA73-06AB2CBC445A}" name="Total" dataDxfId="123">
      <calculatedColumnFormula>E73+F73</calculatedColumnFormula>
    </tableColumn>
    <tableColumn id="8" xr3:uid="{2C497334-AA3B-4129-AEBB-6538EB1FE133}" name="Result" dataDxfId="122">
      <calculatedColumnFormula>LEFT(WIL!$C73,1)</calculatedColumnFormula>
    </tableColumn>
    <tableColumn id="9" xr3:uid="{7B8F48AD-2527-4AA8-B89A-E00180F04149}" name="OPP">
      <calculatedColumnFormula>VLOOKUP(IF(Table29[[#This Row],[At]]="Home",Table29[[#This Row],[Opponent]],RIGHT(Table29[[#This Row],[Opponent]],LEN(Table29[[#This Row],[Opponent]])-1)),CHOOSE({1,2},[1]StandingsRAW!$J$1:$J$22,[1]StandingsRAW!$L$1:$L$22),2,FALSE)</calculatedColumnFormula>
    </tableColumn>
    <tableColumn id="10" xr3:uid="{16B052B7-BD7E-424A-83F5-93C4DDA8B150}" name="oR/G">
      <calculatedColumnFormula>VLOOKUP(Table29[[#This Row],[OPP]],Raw!$L$2:$S$23,7,FALSE)-Raw!$U$2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485B2C4-E78A-44E2-BDFF-0A74067B5875}" name="Table23" displayName="Table23" ref="A76:J148" totalsRowShown="0">
  <autoFilter ref="A76:J148" xr:uid="{9485B2C4-E78A-44E2-BDFF-0A74067B5875}"/>
  <tableColumns count="10">
    <tableColumn id="1" xr3:uid="{7D1FF9A5-8B8F-4E1E-84C6-4DDC1C35905F}" name="Date"/>
    <tableColumn id="2" xr3:uid="{6D8AC492-9827-430B-8DF8-E69147B177DB}" name="Opponent"/>
    <tableColumn id="3" xr3:uid="{C9A2FEEA-5F4A-4FCB-B343-8272B52070A3}" name="Score"/>
    <tableColumn id="4" xr3:uid="{D09DAEF2-932E-4BDE-AFBA-AA6D55AC0B14}" name="At">
      <calculatedColumnFormula>IF(LEFT(Table23[[#This Row],[Opponent]],1)="@","Away","Home")</calculatedColumnFormula>
    </tableColumn>
    <tableColumn id="5" xr3:uid="{F17F0624-6682-43FB-8BA3-850EDC09BF5F}" name="Scored">
      <calculatedColumnFormula>_xlfn.NUMBERVALUE(MID(LEFT(Table23[[#This Row],[Score]],FIND("-",Table23[[#This Row],[Score]])-1),FIND(" ",Table23[[#This Row],[Score]])+1,LEN(Table23[[#This Row],[Score]])))</calculatedColumnFormula>
    </tableColumn>
    <tableColumn id="6" xr3:uid="{4EEC479D-E83B-4373-948A-F0B18A5CEB96}" name="Allowed">
      <calculatedColumnFormula>_xlfn.NUMBERVALUE(RIGHT(Table23[[#This Row],[Score]],LEN(Table23[[#This Row],[Score]])-FIND("-",Table23[[#This Row],[Score]])))</calculatedColumnFormula>
    </tableColumn>
    <tableColumn id="7" xr3:uid="{848C7DD8-1AD2-4EE0-8F69-81197935E5F5}" name="Total">
      <calculatedColumnFormula>E77+F77</calculatedColumnFormula>
    </tableColumn>
    <tableColumn id="8" xr3:uid="{2CFBEF93-B821-440F-B6E5-C3BE4BE2C31C}" name="Result">
      <calculatedColumnFormula>LEFT(Table23[[#This Row],[Score]],1)</calculatedColumnFormula>
    </tableColumn>
    <tableColumn id="9" xr3:uid="{E48C73AC-71D5-4A28-BD20-4287D37FCA46}" name="OPP" dataDxfId="121">
      <calculatedColumnFormula>VLOOKUP(IF(Table23[[#This Row],[At]]="Home",Table23[[#This Row],[Opponent]],RIGHT(Table23[[#This Row],[Opponent]],LEN(Table23[[#This Row],[Opponent]])-1)),CHOOSE({1,2},[1]StandingsRAW!$J$1:$J$22,[1]StandingsRAW!$L$1:$L$22),2,FALSE)</calculatedColumnFormula>
    </tableColumn>
    <tableColumn id="10" xr3:uid="{A8703DB2-50AA-47BF-A09A-E9261FA10AB8}" name="oR/G" dataDxfId="120">
      <calculatedColumnFormula>VLOOKUP(Table23[[#This Row],[OPP]],Raw!$L$2:$S$23,7,FALSE)-Raw!$U$2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306DDD-971B-4F1D-B708-6BF26C9F4D59}" name="Table4" displayName="Table4" ref="A72:J140" totalsRowShown="0" headerRowDxfId="226" dataDxfId="225">
  <autoFilter ref="A72:J140" xr:uid="{7F306DDD-971B-4F1D-B708-6BF26C9F4D59}"/>
  <tableColumns count="10">
    <tableColumn id="1" xr3:uid="{D0126E5A-DBEF-47C5-BF6F-7C72895A1F44}" name="Date"/>
    <tableColumn id="2" xr3:uid="{B76A684D-9B9F-4D1C-A57F-1F1C11A9A0D6}" name="Opponent"/>
    <tableColumn id="3" xr3:uid="{58B68FA0-23EC-424B-ADE4-14727CD1CB99}" name="Score"/>
    <tableColumn id="4" xr3:uid="{E0B06C1B-B3BB-46E8-96D7-F25E7903DCB6}" name="At">
      <calculatedColumnFormula>IF(LEFT(Table4[[#This Row],[Opponent]],1)="@","Away","Home")</calculatedColumnFormula>
    </tableColumn>
    <tableColumn id="5" xr3:uid="{FE9C49A9-1B03-4292-A6A5-56D76762509B}" name="Scored" dataDxfId="224">
      <calculatedColumnFormula>_xlfn.NUMBERVALUE(MID(LEFT(Table4[[#This Row],[Score]],FIND("-",Table4[[#This Row],[Score]])-1),FIND(" ",Table4[[#This Row],[Score]])+1,LEN(Table4[[#This Row],[Score]])))</calculatedColumnFormula>
    </tableColumn>
    <tableColumn id="6" xr3:uid="{7D85DFD1-BFDC-4819-BB8B-8D617B9B4749}" name="Allowed" dataDxfId="223">
      <calculatedColumnFormula>_xlfn.NUMBERVALUE(RIGHT(Table4[[#This Row],[Score]],LEN(Table4[[#This Row],[Score]])-FIND("-",Table4[[#This Row],[Score]])))</calculatedColumnFormula>
    </tableColumn>
    <tableColumn id="7" xr3:uid="{27B02654-9183-470A-A0EA-B9B9C02EBB7A}" name="Total" dataDxfId="222">
      <calculatedColumnFormula>E73+F73</calculatedColumnFormula>
    </tableColumn>
    <tableColumn id="8" xr3:uid="{0A30562C-1143-40CD-B1A2-174B7794053C}" name="Result" dataDxfId="221">
      <calculatedColumnFormula>LEFT(Table4[[#This Row],[Score]],1)</calculatedColumnFormula>
    </tableColumn>
    <tableColumn id="9" xr3:uid="{69ADDB3E-6063-4727-8CCC-B7B8C374093E}" name="OPP" dataDxfId="220">
      <calculatedColumnFormula>VLOOKUP(IF(Table4[[#This Row],[At]]="Home",Table4[[#This Row],[Opponent]],RIGHT(Table4[[#This Row],[Opponent]],LEN(Table4[[#This Row],[Opponent]])-1)),CHOOSE({1,2},[1]StandingsRAW!$J$1:$J$22,[1]StandingsRAW!$L$1:$L$22),2,FALSE)</calculatedColumnFormula>
    </tableColumn>
    <tableColumn id="10" xr3:uid="{E2940493-D04C-4B79-B54F-6DE3C3A1194B}" name="oR/G" dataDxfId="219">
      <calculatedColumnFormula>VLOOKUP(Table4[[#This Row],[OPP]],Raw!$L$2:$S$23,7,FALSE)-Raw!$U$2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75A926-5AAF-4F59-A6E3-F352D40E4CB9}" name="Table5" displayName="Table5" ref="A72:J140" totalsRowShown="0" headerRowDxfId="218" dataDxfId="217">
  <autoFilter ref="A72:J140" xr:uid="{5875A926-5AAF-4F59-A6E3-F352D40E4CB9}"/>
  <tableColumns count="10">
    <tableColumn id="1" xr3:uid="{48D7340F-427D-4460-9A22-C01059443462}" name="Date"/>
    <tableColumn id="2" xr3:uid="{3CA67B09-A8CE-4AF2-9118-86DDC02F1542}" name="Opponent"/>
    <tableColumn id="3" xr3:uid="{770D0125-273F-4371-978A-C50A024EDEA1}" name="Score"/>
    <tableColumn id="4" xr3:uid="{BF677A3F-4222-4580-8B80-47B8A62450B9}" name="At">
      <calculatedColumnFormula>IF(LEFT(Table5[[#This Row],[Opponent]],1)="@","Away","Home")</calculatedColumnFormula>
    </tableColumn>
    <tableColumn id="5" xr3:uid="{9B2E9784-4A8B-41F9-B5BE-FF98A467A562}" name="Scored" dataDxfId="216">
      <calculatedColumnFormula>_xlfn.NUMBERVALUE(MID(LEFT(Table5[[#This Row],[Score]],FIND("-",Table5[[#This Row],[Score]])-1),FIND(" ",Table5[[#This Row],[Score]])+1,LEN(Table5[[#This Row],[Score]])))</calculatedColumnFormula>
    </tableColumn>
    <tableColumn id="6" xr3:uid="{EB041214-8026-4622-B518-491806BB5FAA}" name="Allowed" dataDxfId="215">
      <calculatedColumnFormula>_xlfn.NUMBERVALUE(RIGHT(Table5[[#This Row],[Score]],LEN(Table5[[#This Row],[Score]])-FIND("-",Table5[[#This Row],[Score]])))</calculatedColumnFormula>
    </tableColumn>
    <tableColumn id="7" xr3:uid="{0151E88E-3F2F-4EB3-A5F3-0E46D0028D86}" name="Total" dataDxfId="214">
      <calculatedColumnFormula>E73+F73</calculatedColumnFormula>
    </tableColumn>
    <tableColumn id="8" xr3:uid="{B34A8D43-98F2-4E57-AF1A-86EF00391A32}" name="Result" dataDxfId="213">
      <calculatedColumnFormula>LEFT(Table5[[#This Row],[Score]],1)</calculatedColumnFormula>
    </tableColumn>
    <tableColumn id="9" xr3:uid="{372388FD-FC4F-4307-B4A4-6293699FE3BA}" name="OPP" dataDxfId="212">
      <calculatedColumnFormula>VLOOKUP(IF(Table5[[#This Row],[At]]="Home",Table5[[#This Row],[Opponent]],RIGHT(Table5[[#This Row],[Opponent]],LEN(Table5[[#This Row],[Opponent]])-1)),CHOOSE({1,2},[1]StandingsRAW!$J$1:$J$22,[1]StandingsRAW!$L$1:$L$22),2,FALSE)</calculatedColumnFormula>
    </tableColumn>
    <tableColumn id="10" xr3:uid="{32590715-BE7D-441C-A363-1D0020F127A2}" name="oR/G" dataDxfId="211">
      <calculatedColumnFormula>VLOOKUP(Table5[[#This Row],[OPP]],Raw!$L$2:$S$23,7,FALSE)-Raw!$U$2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D0993D-0D2D-40EA-9C91-79273BBFF212}" name="Table6" displayName="Table6" ref="A75:J147" totalsRowShown="0">
  <autoFilter ref="A75:J147" xr:uid="{49D0993D-0D2D-40EA-9C91-79273BBFF212}"/>
  <tableColumns count="10">
    <tableColumn id="1" xr3:uid="{30E0D3A5-507B-46BC-B438-01DCCB055ACD}" name="Date"/>
    <tableColumn id="2" xr3:uid="{1A8EABC3-79D9-423B-9505-5A8747D3A865}" name="Opponent"/>
    <tableColumn id="3" xr3:uid="{D41F1C67-FE5C-42AD-AC83-0DCDDDF71D00}" name="Score"/>
    <tableColumn id="4" xr3:uid="{D804CFB5-8461-44CC-8EBB-3BA2BA9966F9}" name="At">
      <calculatedColumnFormula>IF(LEFT(Table6[[#This Row],[Opponent]],1)="@","Away","Home")</calculatedColumnFormula>
    </tableColumn>
    <tableColumn id="5" xr3:uid="{A0E4056B-B07C-4FE8-A6EC-5D8476F71C09}" name="Scored">
      <calculatedColumnFormula>_xlfn.NUMBERVALUE(MID(LEFT(Table6[[#This Row],[Score]],FIND("-",Table6[[#This Row],[Score]])-1),FIND(" ",Table6[[#This Row],[Score]])+1,LEN(Table6[[#This Row],[Score]])))</calculatedColumnFormula>
    </tableColumn>
    <tableColumn id="6" xr3:uid="{21B370F2-1B58-4E50-8416-EE9DB90D6000}" name="Allowed">
      <calculatedColumnFormula>_xlfn.NUMBERVALUE(RIGHT(Table6[[#This Row],[Score]],LEN(Table6[[#This Row],[Score]])-FIND("-",Table6[[#This Row],[Score]])))</calculatedColumnFormula>
    </tableColumn>
    <tableColumn id="7" xr3:uid="{A8539490-356B-4946-852C-CB4140A9AAF2}" name="Total">
      <calculatedColumnFormula>E76+F76</calculatedColumnFormula>
    </tableColumn>
    <tableColumn id="8" xr3:uid="{E91D5571-26A2-4BDF-A24B-3721D0A0F049}" name="Result">
      <calculatedColumnFormula>LEFT(Table6[[#This Row],[Score]],1)</calculatedColumnFormula>
    </tableColumn>
    <tableColumn id="9" xr3:uid="{FCB0F49A-637E-45E9-8B02-C7E8282E1E97}" name="OPP" dataDxfId="210">
      <calculatedColumnFormula>VLOOKUP(IF(Table6[[#This Row],[At]]="Home",Table6[[#This Row],[Opponent]],RIGHT(Table6[[#This Row],[Opponent]],LEN(Table6[[#This Row],[Opponent]])-1)),CHOOSE({1,2},[1]StandingsRAW!$J$1:$J$22,[1]StandingsRAW!$L$1:$L$22),2,FALSE)</calculatedColumnFormula>
    </tableColumn>
    <tableColumn id="10" xr3:uid="{F2A16CB8-A595-48DF-816D-C86F15BBD61D}" name="oR/G" dataDxfId="209">
      <calculatedColumnFormula>VLOOKUP(Table6[[#This Row],[OPP]],Raw!$L$2:$S$23,7,FALSE)-Raw!$U$2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EE8917-012D-47B5-90A2-8C750F412BDD}" name="Table7" displayName="Table7" ref="A76:J148" totalsRowShown="0">
  <autoFilter ref="A76:J148" xr:uid="{9BEE8917-012D-47B5-90A2-8C750F412BDD}"/>
  <tableColumns count="10">
    <tableColumn id="1" xr3:uid="{00BB6B94-6BD2-467F-9F16-264AA72E20AC}" name="Date"/>
    <tableColumn id="2" xr3:uid="{323927E1-6A89-42F2-8CB5-BAA5A43278FD}" name="Opponent"/>
    <tableColumn id="3" xr3:uid="{C9FD5D2D-A129-4055-B0A4-FA55B0DC385A}" name="Score"/>
    <tableColumn id="4" xr3:uid="{17838E84-D0B3-4373-94FF-60FA682B132A}" name="At">
      <calculatedColumnFormula>IF(LEFT(Table7[[#This Row],[Opponent]],1)="@","Away","Home")</calculatedColumnFormula>
    </tableColumn>
    <tableColumn id="5" xr3:uid="{123FD44F-9AEB-46B5-9683-BD040E4E7845}" name="Scored">
      <calculatedColumnFormula>_xlfn.NUMBERVALUE(MID(LEFT(Table7[[#This Row],[Score]],FIND("-",Table7[[#This Row],[Score]])-1),FIND(" ",Table7[[#This Row],[Score]])+1,LEN(Table7[[#This Row],[Score]])))</calculatedColumnFormula>
    </tableColumn>
    <tableColumn id="6" xr3:uid="{AD52D855-C7AA-416A-B861-0C164A7A2041}" name="Allowed">
      <calculatedColumnFormula>_xlfn.NUMBERVALUE(RIGHT(Table7[[#This Row],[Score]],LEN(Table7[[#This Row],[Score]])-FIND("-",Table7[[#This Row],[Score]])))</calculatedColumnFormula>
    </tableColumn>
    <tableColumn id="7" xr3:uid="{C8EA1DCB-94D5-4789-96A4-DF9674543519}" name="Total">
      <calculatedColumnFormula>E77+F77</calculatedColumnFormula>
    </tableColumn>
    <tableColumn id="8" xr3:uid="{DF8BF5A8-02AD-4265-9D93-449B7F0CDEB5}" name="Result">
      <calculatedColumnFormula>LEFT(Table7[[#This Row],[Score]],1)</calculatedColumnFormula>
    </tableColumn>
    <tableColumn id="9" xr3:uid="{A7D3FFBE-D8DD-41FB-84A2-5376AE41C7AA}" name="OPP" dataDxfId="208">
      <calculatedColumnFormula>VLOOKUP(IF(Table7[[#This Row],[At]]="Home",Table7[[#This Row],[Opponent]],RIGHT(Table7[[#This Row],[Opponent]],LEN(Table7[[#This Row],[Opponent]])-1)),CHOOSE({1,2},[1]StandingsRAW!$J$1:$J$22,[1]StandingsRAW!$L$1:$L$22),2,FALSE)</calculatedColumnFormula>
    </tableColumn>
    <tableColumn id="10" xr3:uid="{AEA16C23-7078-403D-8A07-FC9D27664C2D}" name="oR/G" dataDxfId="207">
      <calculatedColumnFormula>VLOOKUP(Table7[[#This Row],[OPP]],Raw!$L$2:$S$23,7,FALSE)-Raw!$U$2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BE780B-C640-4A46-93E1-767ACEE598C4}" name="Table8" displayName="Table8" ref="A76:J147" totalsRowShown="0">
  <autoFilter ref="A76:J147" xr:uid="{39BE780B-C640-4A46-93E1-767ACEE598C4}"/>
  <tableColumns count="10">
    <tableColumn id="1" xr3:uid="{4517760A-F562-48F1-B858-4D091632306A}" name="Date"/>
    <tableColumn id="2" xr3:uid="{98F1E581-ED95-4BEC-B572-89D84B7A9FED}" name="Opponent"/>
    <tableColumn id="3" xr3:uid="{8ABDF2B8-EC4F-4559-8C6D-04DDA6A96762}" name="Score"/>
    <tableColumn id="4" xr3:uid="{CDC7889E-8506-4C9F-BBAC-678BD7BB5C17}" name="At">
      <calculatedColumnFormula>IF(LEFT(Table8[[#This Row],[Opponent]],1)="@","Away","Home")</calculatedColumnFormula>
    </tableColumn>
    <tableColumn id="5" xr3:uid="{50CB4015-E01B-460A-82A4-11DB6D6A5D0B}" name="Scored">
      <calculatedColumnFormula>_xlfn.NUMBERVALUE(MID(LEFT(Table8[[#This Row],[Score]],FIND("-",Table8[[#This Row],[Score]])-1),FIND(" ",Table8[[#This Row],[Score]])+1,LEN(Table8[[#This Row],[Score]])))</calculatedColumnFormula>
    </tableColumn>
    <tableColumn id="6" xr3:uid="{6200AB62-1678-4D15-9F10-002BEBA98574}" name="Allowed">
      <calculatedColumnFormula>_xlfn.NUMBERVALUE(RIGHT(Table8[[#This Row],[Score]],LEN(Table8[[#This Row],[Score]])-FIND("-",Table8[[#This Row],[Score]])))</calculatedColumnFormula>
    </tableColumn>
    <tableColumn id="7" xr3:uid="{069B2950-09B4-45B7-94FE-838F38CE57B1}" name="Total">
      <calculatedColumnFormula>E77+F77</calculatedColumnFormula>
    </tableColumn>
    <tableColumn id="8" xr3:uid="{C356E070-5EBF-465D-A7B3-3F871A2DEA95}" name="Result">
      <calculatedColumnFormula>LEFT(Table8[[#This Row],[Score]],1)</calculatedColumnFormula>
    </tableColumn>
    <tableColumn id="9" xr3:uid="{6F3D0B2F-10C7-48DB-8A4C-F1D9051DE1F9}" name="OPP" dataDxfId="206">
      <calculatedColumnFormula>VLOOKUP(IF(Table8[[#This Row],[At]]="Home",Table8[[#This Row],[Opponent]],RIGHT(Table8[[#This Row],[Opponent]],LEN(Table8[[#This Row],[Opponent]])-1)),CHOOSE({1,2},[1]StandingsRAW!$J$1:$J$22,[1]StandingsRAW!$L$1:$L$22),2,FALSE)</calculatedColumnFormula>
    </tableColumn>
    <tableColumn id="10" xr3:uid="{6FB4D200-C47A-422E-8844-3B1DC4D87348}" name="oR/G" dataDxfId="205">
      <calculatedColumnFormula>VLOOKUP(Table8[[#This Row],[OPP]],Raw!$L$2:$S$23,7,FALSE)-Raw!$U$2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6ADE48-7311-45E3-8D93-0F2B705F260A}" name="Table9" displayName="Table9" ref="A76:J148" totalsRowShown="0">
  <autoFilter ref="A76:J148" xr:uid="{B36ADE48-7311-45E3-8D93-0F2B705F260A}"/>
  <tableColumns count="10">
    <tableColumn id="1" xr3:uid="{8EEDD027-1492-499A-8B9D-465A407D8DE7}" name="Date"/>
    <tableColumn id="2" xr3:uid="{A90062D8-84E6-4192-A971-3B78AB93D250}" name="Opponent"/>
    <tableColumn id="3" xr3:uid="{888B2936-1CDF-4974-803D-4A30532EAAD8}" name="Score"/>
    <tableColumn id="4" xr3:uid="{2995994D-8D1D-4DA1-9233-BA85FA3EC2CF}" name="At">
      <calculatedColumnFormula>IF(LEFT(Table9[[#This Row],[Opponent]],1)="@","Away","Home")</calculatedColumnFormula>
    </tableColumn>
    <tableColumn id="5" xr3:uid="{71294CA7-066D-4667-B15B-8C7213F7B31A}" name="Scored">
      <calculatedColumnFormula>_xlfn.NUMBERVALUE(MID(LEFT(Table9[[#This Row],[Score]],FIND("-",Table9[[#This Row],[Score]])-1),FIND(" ",Table9[[#This Row],[Score]])+1,LEN(Table9[[#This Row],[Score]])))</calculatedColumnFormula>
    </tableColumn>
    <tableColumn id="6" xr3:uid="{ECEDDE8D-79FC-49D2-9582-84A1FC4850C4}" name="Allowed">
      <calculatedColumnFormula>_xlfn.NUMBERVALUE(RIGHT(Table9[[#This Row],[Score]],LEN(Table9[[#This Row],[Score]])-FIND("-",Table9[[#This Row],[Score]])))</calculatedColumnFormula>
    </tableColumn>
    <tableColumn id="7" xr3:uid="{E6F58F69-4197-4578-BB8F-31F207FD5E47}" name="Total">
      <calculatedColumnFormula>E77+F77</calculatedColumnFormula>
    </tableColumn>
    <tableColumn id="8" xr3:uid="{67644576-231F-4DC3-9792-8EE90E0EF0D0}" name="Result">
      <calculatedColumnFormula>LEFT(Table9[[#This Row],[Score]],1)</calculatedColumnFormula>
    </tableColumn>
    <tableColumn id="9" xr3:uid="{BA4983A5-FD99-4682-8857-4C2D7249FC09}" name="OPP" dataDxfId="204">
      <calculatedColumnFormula>VLOOKUP(IF(Table9[[#This Row],[At]]="Home",Table9[[#This Row],[Opponent]],RIGHT(Table9[[#This Row],[Opponent]],LEN(Table9[[#This Row],[Opponent]])-1)),CHOOSE({1,2},[1]StandingsRAW!$J$1:$J$22,[1]StandingsRAW!$L$1:$L$22),2,FALSE)</calculatedColumnFormula>
    </tableColumn>
    <tableColumn id="10" xr3:uid="{C9A2FF9A-A4CA-405E-A07A-FD3E802B92AA}" name="oR/G" dataDxfId="203">
      <calculatedColumnFormula>VLOOKUP(Table9[[#This Row],[OPP]],Raw!$L$2:$S$23,7,FALSE)-Raw!$U$2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14409B-77AF-4387-A50F-DE80FC33A3D4}" name="Table10" displayName="Table10" ref="A76:J147" totalsRowShown="0">
  <autoFilter ref="A76:J147" xr:uid="{AA14409B-77AF-4387-A50F-DE80FC33A3D4}"/>
  <tableColumns count="10">
    <tableColumn id="1" xr3:uid="{4FAE7C5D-5546-4207-848B-A3661C9BD9A5}" name="Date"/>
    <tableColumn id="2" xr3:uid="{CC53F526-1392-486C-BBF4-2C360DE94281}" name="Opponent"/>
    <tableColumn id="3" xr3:uid="{CB6C220C-2D78-48EE-ACE8-CD8D1E45B3F6}" name="Score"/>
    <tableColumn id="4" xr3:uid="{E9746033-B44B-4269-B503-B1BD76665A4B}" name="At">
      <calculatedColumnFormula>IF(LEFT(Table10[[#This Row],[Opponent]],1)="@","Away","Home")</calculatedColumnFormula>
    </tableColumn>
    <tableColumn id="5" xr3:uid="{E58D3A7B-7FD7-4899-82EC-22D1F5C9A82B}" name="Scored">
      <calculatedColumnFormula>_xlfn.NUMBERVALUE(MID(LEFT(Table10[[#This Row],[Score]],FIND("-",Table10[[#This Row],[Score]])-1),FIND(" ",Table10[[#This Row],[Score]])+1,LEN(Table10[[#This Row],[Score]])))</calculatedColumnFormula>
    </tableColumn>
    <tableColumn id="6" xr3:uid="{E15449C4-4EDA-4E8A-B6A9-864AA0387142}" name="Allowed">
      <calculatedColumnFormula>_xlfn.NUMBERVALUE(RIGHT(Table10[[#This Row],[Score]],LEN(Table10[[#This Row],[Score]])-FIND("-",Table10[[#This Row],[Score]])))</calculatedColumnFormula>
    </tableColumn>
    <tableColumn id="7" xr3:uid="{9DCE290E-B466-4E5C-937B-3BB2FD4A44E2}" name="Total">
      <calculatedColumnFormula>E77+F77</calculatedColumnFormula>
    </tableColumn>
    <tableColumn id="8" xr3:uid="{D05379BB-955E-4B17-ABF0-D324CB4506B6}" name="Result">
      <calculatedColumnFormula>LEFT(Table10[[#This Row],[Score]],1)</calculatedColumnFormula>
    </tableColumn>
    <tableColumn id="9" xr3:uid="{EC108458-B070-4E73-A9A6-A4628C819B39}" name="OPP" dataDxfId="202">
      <calculatedColumnFormula>VLOOKUP(IF(Table10[[#This Row],[At]]="Home",Table10[[#This Row],[Opponent]],RIGHT(Table10[[#This Row],[Opponent]],LEN(Table10[[#This Row],[Opponent]])-1)),CHOOSE({1,2},[1]StandingsRAW!$J$1:$J$22,[1]StandingsRAW!$L$1:$L$22),2,FALSE)</calculatedColumnFormula>
    </tableColumn>
    <tableColumn id="10" xr3:uid="{1489BB91-E549-4211-9F52-C969F8A2B202}" name="oR/G" dataDxfId="201">
      <calculatedColumnFormula>VLOOKUP(Table10[[#This Row],[OPP]],Raw!$L$2:$S$23,7,FALSE)-Raw!$U$2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DFB0-D33F-4AA8-917F-4B9FD6A7C03F}">
  <sheetPr codeName="Sheet1"/>
  <dimension ref="A1:N23"/>
  <sheetViews>
    <sheetView tabSelected="1" topLeftCell="A3" workbookViewId="0">
      <selection activeCell="H2" sqref="H2:I23"/>
    </sheetView>
  </sheetViews>
  <sheetFormatPr defaultRowHeight="15" x14ac:dyDescent="0.25"/>
  <cols>
    <col min="8" max="8" width="9.5703125" customWidth="1"/>
    <col min="9" max="9" width="9.85546875" customWidth="1"/>
  </cols>
  <sheetData>
    <row r="1" spans="1:14" x14ac:dyDescent="0.25">
      <c r="A1" s="4" t="s">
        <v>152</v>
      </c>
      <c r="B1" s="4" t="s">
        <v>178</v>
      </c>
      <c r="C1" s="4" t="s">
        <v>153</v>
      </c>
      <c r="D1" s="4" t="s">
        <v>176</v>
      </c>
      <c r="E1" s="4" t="s">
        <v>177</v>
      </c>
      <c r="F1" s="4" t="s">
        <v>181</v>
      </c>
      <c r="G1" s="4" t="s">
        <v>490</v>
      </c>
      <c r="H1" s="4" t="s">
        <v>187</v>
      </c>
      <c r="I1" s="4" t="s">
        <v>188</v>
      </c>
    </row>
    <row r="2" spans="1:14" x14ac:dyDescent="0.25">
      <c r="A2" t="s">
        <v>167</v>
      </c>
      <c r="B2" s="1" t="s">
        <v>179</v>
      </c>
      <c r="C2" s="1">
        <f>Raw!C2+Raw!N2</f>
        <v>144</v>
      </c>
      <c r="D2" s="1">
        <f>Raw!D2+Raw!O2</f>
        <v>768</v>
      </c>
      <c r="E2" s="1">
        <f>Raw!E2+Raw!P2</f>
        <v>961</v>
      </c>
      <c r="F2" s="3">
        <f t="shared" ref="F2:F23" si="0">(D2+E2)</f>
        <v>1729</v>
      </c>
      <c r="G2" s="2">
        <f t="shared" ref="G2:G23" si="1">F2/C2</f>
        <v>12.006944444444445</v>
      </c>
      <c r="H2" s="6">
        <f>BC!$L$17</f>
        <v>92.419690824598916</v>
      </c>
      <c r="I2" s="6">
        <f>BC!$L$18</f>
        <v>94.422005103291411</v>
      </c>
    </row>
    <row r="3" spans="1:14" x14ac:dyDescent="0.25">
      <c r="A3" t="s">
        <v>173</v>
      </c>
      <c r="B3" s="1" t="s">
        <v>180</v>
      </c>
      <c r="C3" s="1">
        <f>Raw!C3+Raw!N3</f>
        <v>136</v>
      </c>
      <c r="D3" s="1">
        <f>Raw!D3+Raw!O3</f>
        <v>733</v>
      </c>
      <c r="E3" s="1">
        <f>Raw!E3+Raw!P3</f>
        <v>913</v>
      </c>
      <c r="F3" s="3">
        <f t="shared" si="0"/>
        <v>1646</v>
      </c>
      <c r="G3" s="2">
        <f t="shared" si="1"/>
        <v>12.102941176470589</v>
      </c>
      <c r="H3" s="6">
        <f>BIS!$L$17</f>
        <v>93.578980387591287</v>
      </c>
      <c r="I3" s="6">
        <f>BIS!$L$18</f>
        <v>95.835835570054059</v>
      </c>
      <c r="L3" s="4"/>
      <c r="M3" s="4" t="s">
        <v>147</v>
      </c>
      <c r="N3" s="4" t="s">
        <v>151</v>
      </c>
    </row>
    <row r="4" spans="1:14" x14ac:dyDescent="0.25">
      <c r="A4" t="s">
        <v>159</v>
      </c>
      <c r="B4" s="1" t="s">
        <v>180</v>
      </c>
      <c r="C4" s="1">
        <f>Raw!C4+Raw!N4</f>
        <v>135</v>
      </c>
      <c r="D4" s="1">
        <f>Raw!D4+Raw!O4</f>
        <v>727</v>
      </c>
      <c r="E4" s="1">
        <f>Raw!E4+Raw!P4</f>
        <v>807</v>
      </c>
      <c r="F4" s="3">
        <f t="shared" si="0"/>
        <v>1534</v>
      </c>
      <c r="G4" s="2">
        <f t="shared" si="1"/>
        <v>11.362962962962962</v>
      </c>
      <c r="H4" s="6">
        <f>DUL!$L$17</f>
        <v>101.06251745075383</v>
      </c>
      <c r="I4" s="6">
        <f>DUL!$L$18</f>
        <v>102.13231095819111</v>
      </c>
      <c r="L4" s="4" t="s">
        <v>179</v>
      </c>
      <c r="M4" s="1">
        <f>COUNTIF(B$2:B$23,L4)</f>
        <v>12</v>
      </c>
      <c r="N4" s="2">
        <f>(SUMIF(B$2:B$23,L4,F$2:F$23)/2)/(SUMIF(B$2:B$23,L4,C$2:C$23)/2)</f>
        <v>11.435718440954043</v>
      </c>
    </row>
    <row r="5" spans="1:14" x14ac:dyDescent="0.25">
      <c r="A5" t="s">
        <v>175</v>
      </c>
      <c r="B5" s="1" t="s">
        <v>180</v>
      </c>
      <c r="C5" s="1">
        <f>Raw!C5+Raw!N5</f>
        <v>136</v>
      </c>
      <c r="D5" s="1">
        <f>Raw!D5+Raw!O5</f>
        <v>708</v>
      </c>
      <c r="E5" s="1">
        <f>Raw!E5+Raw!P5</f>
        <v>714</v>
      </c>
      <c r="F5" s="3">
        <f t="shared" si="0"/>
        <v>1422</v>
      </c>
      <c r="G5" s="2">
        <f t="shared" si="1"/>
        <v>10.455882352941176</v>
      </c>
      <c r="H5" s="6">
        <f>EC!$L$17</f>
        <v>95.627004985760095</v>
      </c>
      <c r="I5" s="6">
        <f>EC!$L$18</f>
        <v>95.697606835770301</v>
      </c>
      <c r="L5" s="4" t="s">
        <v>180</v>
      </c>
      <c r="M5" s="1">
        <f>COUNTIF(B$2:B$23,L5)</f>
        <v>10</v>
      </c>
      <c r="N5" s="2">
        <f>(SUMIF(B$2:B$23,L5,F$2:F$23)/2)/(SUMIF(B$2:B$23,L5,C$2:C$23)/2)</f>
        <v>11.586233565351895</v>
      </c>
    </row>
    <row r="6" spans="1:14" x14ac:dyDescent="0.25">
      <c r="A6" t="s">
        <v>155</v>
      </c>
      <c r="B6" s="1" t="s">
        <v>179</v>
      </c>
      <c r="C6" s="1">
        <f>Raw!C6+Raw!N6</f>
        <v>142</v>
      </c>
      <c r="D6" s="1">
        <f>Raw!D6+Raw!O6</f>
        <v>943</v>
      </c>
      <c r="E6" s="1">
        <f>Raw!E6+Raw!P6</f>
        <v>816</v>
      </c>
      <c r="F6" s="3">
        <f t="shared" si="0"/>
        <v>1759</v>
      </c>
      <c r="G6" s="2">
        <f t="shared" si="1"/>
        <v>12.387323943661972</v>
      </c>
      <c r="H6" s="6">
        <f>FDL!$L$17</f>
        <v>103.35246637265764</v>
      </c>
      <c r="I6" s="6">
        <f>FDL!$L$18</f>
        <v>102.06765452290851</v>
      </c>
    </row>
    <row r="7" spans="1:14" x14ac:dyDescent="0.25">
      <c r="A7" t="s">
        <v>163</v>
      </c>
      <c r="B7" s="1" t="s">
        <v>179</v>
      </c>
      <c r="C7" s="1">
        <f>Raw!C7+Raw!N7</f>
        <v>144</v>
      </c>
      <c r="D7" s="1">
        <f>Raw!D7+Raw!O7</f>
        <v>691</v>
      </c>
      <c r="E7" s="1">
        <f>Raw!E7+Raw!P7</f>
        <v>891</v>
      </c>
      <c r="F7" s="3">
        <f t="shared" si="0"/>
        <v>1582</v>
      </c>
      <c r="G7" s="2">
        <f t="shared" si="1"/>
        <v>10.986111111111111</v>
      </c>
      <c r="H7" s="6">
        <f>GB!$L$17</f>
        <v>104.54002912116363</v>
      </c>
      <c r="I7" s="6">
        <f>GB!$L$18</f>
        <v>106.58412360486997</v>
      </c>
      <c r="L7" s="4" t="s">
        <v>187</v>
      </c>
      <c r="M7" s="2">
        <f>AVERAGEIF(H2:H23,"&lt;&gt;#N/A")</f>
        <v>100.06705659593273</v>
      </c>
    </row>
    <row r="8" spans="1:14" x14ac:dyDescent="0.25">
      <c r="A8" t="s">
        <v>156</v>
      </c>
      <c r="B8" s="1" t="s">
        <v>179</v>
      </c>
      <c r="C8" s="1">
        <f>Raw!C8+Raw!N8</f>
        <v>143</v>
      </c>
      <c r="D8" s="1">
        <f>Raw!D8+Raw!O8</f>
        <v>860</v>
      </c>
      <c r="E8" s="1">
        <f>Raw!E8+Raw!P8</f>
        <v>813</v>
      </c>
      <c r="F8" s="3">
        <f t="shared" si="0"/>
        <v>1673</v>
      </c>
      <c r="G8" s="2">
        <f t="shared" si="1"/>
        <v>11.6993006993007</v>
      </c>
      <c r="H8" s="6">
        <f>KEN!$L$17</f>
        <v>107.64896652458256</v>
      </c>
      <c r="I8" s="6">
        <f>KEN!$L$18</f>
        <v>107.19607164511214</v>
      </c>
      <c r="L8" s="4" t="s">
        <v>188</v>
      </c>
      <c r="M8" s="2">
        <f>AVERAGEIF(I2:I23,"&lt;&gt;#N/A")</f>
        <v>99.979286967804271</v>
      </c>
    </row>
    <row r="9" spans="1:14" x14ac:dyDescent="0.25">
      <c r="A9" t="s">
        <v>161</v>
      </c>
      <c r="B9" s="1" t="s">
        <v>179</v>
      </c>
      <c r="C9" s="1">
        <f>Raw!C9+Raw!N9</f>
        <v>143</v>
      </c>
      <c r="D9" s="1">
        <f>Raw!D9+Raw!O9</f>
        <v>762</v>
      </c>
      <c r="E9" s="1">
        <f>Raw!E9+Raw!P9</f>
        <v>908</v>
      </c>
      <c r="F9" s="3">
        <f t="shared" si="0"/>
        <v>1670</v>
      </c>
      <c r="G9" s="2">
        <f t="shared" si="1"/>
        <v>11.678321678321678</v>
      </c>
      <c r="H9" s="6">
        <f>KMO!$L$17</f>
        <v>94.972810650464865</v>
      </c>
      <c r="I9" s="6">
        <f>KMO!$L$18</f>
        <v>96.405971413338165</v>
      </c>
    </row>
    <row r="10" spans="1:14" x14ac:dyDescent="0.25">
      <c r="A10" t="s">
        <v>169</v>
      </c>
      <c r="B10" s="1" t="s">
        <v>179</v>
      </c>
      <c r="C10" s="1">
        <f>Raw!C10+Raw!N10</f>
        <v>143</v>
      </c>
      <c r="D10" s="1">
        <f>Raw!D10+Raw!O10</f>
        <v>874</v>
      </c>
      <c r="E10" s="1">
        <f>Raw!E10+Raw!P10</f>
        <v>902</v>
      </c>
      <c r="F10" s="3">
        <f t="shared" si="0"/>
        <v>1776</v>
      </c>
      <c r="G10" s="2">
        <f t="shared" si="1"/>
        <v>12.41958041958042</v>
      </c>
      <c r="H10" s="6">
        <f>KZO!$L$17</f>
        <v>99.081867665575672</v>
      </c>
      <c r="I10" s="6">
        <f>KZO!$L$18</f>
        <v>99.41078019773056</v>
      </c>
    </row>
    <row r="11" spans="1:14" x14ac:dyDescent="0.25">
      <c r="A11" t="s">
        <v>166</v>
      </c>
      <c r="B11" s="1" t="s">
        <v>180</v>
      </c>
      <c r="C11" s="1">
        <f>Raw!C11+Raw!N11</f>
        <v>136</v>
      </c>
      <c r="D11" s="1">
        <f>Raw!D11+Raw!O11</f>
        <v>797</v>
      </c>
      <c r="E11" s="1">
        <f>Raw!E11+Raw!P11</f>
        <v>895</v>
      </c>
      <c r="F11" s="3">
        <f t="shared" si="0"/>
        <v>1692</v>
      </c>
      <c r="G11" s="2">
        <f t="shared" si="1"/>
        <v>12.441176470588236</v>
      </c>
      <c r="H11" s="6">
        <f>LAC!$L$17</f>
        <v>107.2268498852269</v>
      </c>
      <c r="I11" s="6">
        <f>LAC!$L$18</f>
        <v>108.51784028113178</v>
      </c>
    </row>
    <row r="12" spans="1:14" x14ac:dyDescent="0.25">
      <c r="A12" t="s">
        <v>172</v>
      </c>
      <c r="B12" s="1" t="s">
        <v>179</v>
      </c>
      <c r="C12" s="1">
        <f>Raw!C12+Raw!N12</f>
        <v>143</v>
      </c>
      <c r="D12" s="1">
        <f>Raw!D12+Raw!O12</f>
        <v>759</v>
      </c>
      <c r="E12" s="1">
        <f>Raw!E12+Raw!P12</f>
        <v>731</v>
      </c>
      <c r="F12" s="3">
        <f t="shared" si="0"/>
        <v>1490</v>
      </c>
      <c r="G12" s="2">
        <f t="shared" si="1"/>
        <v>10.41958041958042</v>
      </c>
      <c r="H12" s="6">
        <f>LAK!$L$17</f>
        <v>100.31297401058086</v>
      </c>
      <c r="I12" s="6">
        <f>LAK!$L$18</f>
        <v>100.06457524815109</v>
      </c>
    </row>
    <row r="13" spans="1:14" x14ac:dyDescent="0.25">
      <c r="A13" t="s">
        <v>157</v>
      </c>
      <c r="B13" s="1" t="s">
        <v>179</v>
      </c>
      <c r="C13" s="1">
        <f>Raw!C13+Raw!N13</f>
        <v>144</v>
      </c>
      <c r="D13" s="1">
        <f>Raw!D13+Raw!O13</f>
        <v>774</v>
      </c>
      <c r="E13" s="1">
        <f>Raw!E13+Raw!P13</f>
        <v>891</v>
      </c>
      <c r="F13" s="3">
        <f t="shared" si="0"/>
        <v>1665</v>
      </c>
      <c r="G13" s="2">
        <f t="shared" si="1"/>
        <v>11.5625</v>
      </c>
      <c r="H13" s="6">
        <f>MAD!$L$17</f>
        <v>93.811548169395721</v>
      </c>
      <c r="I13" s="6">
        <f>MAD!$L$18</f>
        <v>94.945194183486976</v>
      </c>
    </row>
    <row r="14" spans="1:14" x14ac:dyDescent="0.25">
      <c r="A14" t="s">
        <v>160</v>
      </c>
      <c r="B14" s="1" t="s">
        <v>180</v>
      </c>
      <c r="C14" s="1">
        <f>Raw!C14+Raw!N14</f>
        <v>136</v>
      </c>
      <c r="D14" s="1">
        <f>Raw!D14+Raw!O14</f>
        <v>779</v>
      </c>
      <c r="E14" s="1">
        <f>Raw!E14+Raw!P14</f>
        <v>672</v>
      </c>
      <c r="F14" s="3">
        <f t="shared" si="0"/>
        <v>1451</v>
      </c>
      <c r="G14" s="2">
        <f t="shared" si="1"/>
        <v>10.669117647058824</v>
      </c>
      <c r="H14" s="6">
        <f>MAN!$L$17</f>
        <v>92.725443464655029</v>
      </c>
      <c r="I14" s="6">
        <f>MAN!$L$18</f>
        <v>91.323875776346156</v>
      </c>
    </row>
    <row r="15" spans="1:14" x14ac:dyDescent="0.25">
      <c r="A15" t="s">
        <v>174</v>
      </c>
      <c r="B15" s="1" t="s">
        <v>180</v>
      </c>
      <c r="C15" s="1">
        <f>Raw!C15+Raw!N15</f>
        <v>72</v>
      </c>
      <c r="D15" s="1">
        <f>Raw!D15+Raw!O15</f>
        <v>332</v>
      </c>
      <c r="E15" s="1">
        <f>Raw!E15+Raw!P15</f>
        <v>493</v>
      </c>
      <c r="F15" s="3">
        <f t="shared" si="0"/>
        <v>825</v>
      </c>
      <c r="G15" s="2">
        <f t="shared" si="1"/>
        <v>11.458333333333334</v>
      </c>
      <c r="H15" s="6">
        <v>100</v>
      </c>
      <c r="I15" s="6">
        <v>100</v>
      </c>
    </row>
    <row r="16" spans="1:14" x14ac:dyDescent="0.25">
      <c r="A16" t="s">
        <v>168</v>
      </c>
      <c r="B16" s="1" t="s">
        <v>179</v>
      </c>
      <c r="C16" s="1">
        <f>Raw!C16+Raw!N16</f>
        <v>143</v>
      </c>
      <c r="D16" s="1">
        <f>Raw!D16+Raw!O16</f>
        <v>838</v>
      </c>
      <c r="E16" s="1">
        <f>Raw!E16+Raw!P16</f>
        <v>876</v>
      </c>
      <c r="F16" s="3">
        <f t="shared" si="0"/>
        <v>1714</v>
      </c>
      <c r="G16" s="2">
        <f t="shared" si="1"/>
        <v>11.986013986013987</v>
      </c>
      <c r="H16" s="6">
        <f>RFD!$L$17</f>
        <v>115.09522310841493</v>
      </c>
      <c r="I16" s="6">
        <f>RFD!$L$18</f>
        <v>115.6559603129344</v>
      </c>
    </row>
    <row r="17" spans="1:9" x14ac:dyDescent="0.25">
      <c r="A17" t="s">
        <v>171</v>
      </c>
      <c r="B17" s="1" t="s">
        <v>180</v>
      </c>
      <c r="C17" s="1">
        <f>Raw!C17+Raw!N17</f>
        <v>135</v>
      </c>
      <c r="D17" s="1">
        <f>Raw!D17+Raw!O17</f>
        <v>816</v>
      </c>
      <c r="E17" s="1">
        <f>Raw!E17+Raw!P17</f>
        <v>867</v>
      </c>
      <c r="F17" s="3">
        <f t="shared" si="0"/>
        <v>1683</v>
      </c>
      <c r="G17" s="2">
        <f t="shared" si="1"/>
        <v>12.466666666666667</v>
      </c>
      <c r="H17" s="6">
        <f>ROC!$L$17</f>
        <v>101.40928674631904</v>
      </c>
      <c r="I17" s="6">
        <f>ROC!$L$18</f>
        <v>102.1389348939574</v>
      </c>
    </row>
    <row r="18" spans="1:9" x14ac:dyDescent="0.25">
      <c r="A18" t="s">
        <v>158</v>
      </c>
      <c r="B18" s="1" t="s">
        <v>180</v>
      </c>
      <c r="C18" s="1">
        <f>Raw!C18+Raw!N18</f>
        <v>136</v>
      </c>
      <c r="D18" s="1">
        <f>Raw!D18+Raw!O18</f>
        <v>879</v>
      </c>
      <c r="E18" s="1">
        <f>Raw!E18+Raw!P18</f>
        <v>517</v>
      </c>
      <c r="F18" s="3">
        <f t="shared" si="0"/>
        <v>1396</v>
      </c>
      <c r="G18" s="2">
        <f t="shared" si="1"/>
        <v>10.264705882352942</v>
      </c>
      <c r="H18" s="6">
        <f>STC!$L$17</f>
        <v>102.40678238643272</v>
      </c>
      <c r="I18" s="6">
        <f>STC!$L$18</f>
        <v>97.72617800580214</v>
      </c>
    </row>
    <row r="19" spans="1:9" x14ac:dyDescent="0.25">
      <c r="A19" t="s">
        <v>165</v>
      </c>
      <c r="B19" s="1" t="s">
        <v>179</v>
      </c>
      <c r="C19" s="1">
        <f>Raw!C19+Raw!N19</f>
        <v>143</v>
      </c>
      <c r="D19" s="1">
        <f>Raw!D19+Raw!O19</f>
        <v>884</v>
      </c>
      <c r="E19" s="1">
        <f>Raw!E19+Raw!P19</f>
        <v>657</v>
      </c>
      <c r="F19" s="3">
        <f t="shared" si="0"/>
        <v>1541</v>
      </c>
      <c r="G19" s="2">
        <f t="shared" si="1"/>
        <v>10.776223776223777</v>
      </c>
      <c r="H19" s="6">
        <f>TVC!$L$17</f>
        <v>90.284629639428047</v>
      </c>
      <c r="I19" s="6">
        <f>TVC!$L$18</f>
        <v>87.79316902104604</v>
      </c>
    </row>
    <row r="20" spans="1:9" x14ac:dyDescent="0.25">
      <c r="A20" t="s">
        <v>154</v>
      </c>
      <c r="B20" s="1" t="s">
        <v>180</v>
      </c>
      <c r="C20" s="1">
        <f>Raw!C20+Raw!N20</f>
        <v>135</v>
      </c>
      <c r="D20" s="1">
        <f>Raw!D20+Raw!O20</f>
        <v>830</v>
      </c>
      <c r="E20" s="1">
        <f>Raw!E20+Raw!P20</f>
        <v>922</v>
      </c>
      <c r="F20" s="3">
        <f t="shared" si="0"/>
        <v>1752</v>
      </c>
      <c r="G20" s="2">
        <f t="shared" si="1"/>
        <v>12.977777777777778</v>
      </c>
      <c r="H20" s="6">
        <f>WAT!$L$17</f>
        <v>105.59504820763959</v>
      </c>
      <c r="I20" s="6">
        <f>WAT!$L$18</f>
        <v>106.83575891028218</v>
      </c>
    </row>
    <row r="21" spans="1:9" x14ac:dyDescent="0.25">
      <c r="A21" t="s">
        <v>170</v>
      </c>
      <c r="B21" s="1" t="s">
        <v>179</v>
      </c>
      <c r="C21" s="1">
        <f>Raw!C21+Raw!N21</f>
        <v>143</v>
      </c>
      <c r="D21" s="1">
        <f>Raw!D21+Raw!O21</f>
        <v>803</v>
      </c>
      <c r="E21" s="1">
        <f>Raw!E21+Raw!P21</f>
        <v>773</v>
      </c>
      <c r="F21" s="3">
        <f t="shared" si="0"/>
        <v>1576</v>
      </c>
      <c r="G21" s="2">
        <f t="shared" si="1"/>
        <v>11.020979020979022</v>
      </c>
      <c r="H21" s="6">
        <f>WAU!$L$17</f>
        <v>102.2207316548301</v>
      </c>
      <c r="I21" s="6">
        <f>WAU!$L$18</f>
        <v>101.92881778359242</v>
      </c>
    </row>
    <row r="22" spans="1:9" x14ac:dyDescent="0.25">
      <c r="A22" t="s">
        <v>162</v>
      </c>
      <c r="B22" s="1" t="s">
        <v>180</v>
      </c>
      <c r="C22" s="1">
        <f>Raw!C22+Raw!N22</f>
        <v>136</v>
      </c>
      <c r="D22" s="1">
        <f>Raw!D22+Raw!O22</f>
        <v>890</v>
      </c>
      <c r="E22" s="1">
        <f>Raw!E22+Raw!P22</f>
        <v>690</v>
      </c>
      <c r="F22" s="3">
        <f t="shared" si="0"/>
        <v>1580</v>
      </c>
      <c r="G22" s="2">
        <f t="shared" si="1"/>
        <v>11.617647058823529</v>
      </c>
      <c r="H22" s="6">
        <f>WIL!$L$17</f>
        <v>101.06681846583658</v>
      </c>
      <c r="I22" s="6">
        <f>WIL!$L$18</f>
        <v>98.604295101908178</v>
      </c>
    </row>
    <row r="23" spans="1:9" x14ac:dyDescent="0.25">
      <c r="A23" t="s">
        <v>164</v>
      </c>
      <c r="B23" s="1" t="s">
        <v>179</v>
      </c>
      <c r="C23" s="1">
        <f>Raw!C23+Raw!N23</f>
        <v>144</v>
      </c>
      <c r="D23" s="1">
        <f>Raw!D23+Raw!O23</f>
        <v>879</v>
      </c>
      <c r="E23" s="1">
        <f>Raw!E23+Raw!P23</f>
        <v>604</v>
      </c>
      <c r="F23" s="3">
        <f t="shared" si="0"/>
        <v>1483</v>
      </c>
      <c r="G23" s="2">
        <f t="shared" si="1"/>
        <v>10.298611111111111</v>
      </c>
      <c r="H23" s="6">
        <f>WIR!$L$17</f>
        <v>97.035575388611989</v>
      </c>
      <c r="I23" s="6">
        <f>WIR!$L$18</f>
        <v>94.257353921788635</v>
      </c>
    </row>
  </sheetData>
  <sortState xmlns:xlrd2="http://schemas.microsoft.com/office/spreadsheetml/2017/richdata2" ref="A2:I23">
    <sortCondition ref="A2:A23"/>
  </sortState>
  <conditionalFormatting sqref="H2:H23">
    <cfRule type="top10" dxfId="119" priority="2" rank="1"/>
    <cfRule type="cellIs" dxfId="118" priority="5" operator="lessThan">
      <formula>100</formula>
    </cfRule>
    <cfRule type="cellIs" dxfId="117" priority="6" operator="greaterThan">
      <formula>100</formula>
    </cfRule>
  </conditionalFormatting>
  <conditionalFormatting sqref="I2:I23">
    <cfRule type="top10" dxfId="116" priority="1" bottom="1" rank="1"/>
    <cfRule type="cellIs" dxfId="115" priority="3" operator="lessThan">
      <formula>100</formula>
    </cfRule>
    <cfRule type="cellIs" dxfId="114" priority="4" operator="greaterThan">
      <formula>100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D1DB-AC6A-470F-869B-F81E65FEA1BB}">
  <sheetPr codeName="Sheet10"/>
  <dimension ref="A1:P148"/>
  <sheetViews>
    <sheetView topLeftCell="A72" workbookViewId="0">
      <selection activeCell="A77" sqref="A77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357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40</v>
      </c>
      <c r="C3" t="s">
        <v>269</v>
      </c>
      <c r="E3" s="1" t="str">
        <f>IF(LEFT(B3,1)="@","Away","Home")</f>
        <v>Away</v>
      </c>
      <c r="F3" s="3">
        <f>_xlfn.NUMBERVALUE(MID(LEFT(C3,FIND("-",C3)-1),FIND(" ",C3)+1,LEN(C3)))</f>
        <v>2</v>
      </c>
      <c r="G3" s="3">
        <f>_xlfn.NUMBERVALUE(RIGHT(C3,LEN(C3)-FIND("-",C3)))</f>
        <v>3</v>
      </c>
      <c r="H3" s="3">
        <f t="shared" ref="H3:H66" si="0">F3+G3</f>
        <v>5</v>
      </c>
      <c r="I3" s="3" t="str">
        <f>LEFT(C3,1)</f>
        <v>L</v>
      </c>
      <c r="K3" s="4" t="s">
        <v>139</v>
      </c>
      <c r="L3" s="5">
        <f>(SUMIF($E$3:$E$74,$K3,F$3:F$74) + SUMIF(Table9[At],$K3,Table9[Scored]))/(COUNTIF($E$3:$E$74,$K3) + COUNTIF(Table9[At],$K3))</f>
        <v>5.2777777777777777</v>
      </c>
      <c r="M3" s="5">
        <f>(SUMIF($E$3:$E$74,$K3,G$3:G$74) + SUMIF(Table9[At],$K3,Table9[Allowed]))/(COUNTIF($E$3:$E$74,$K3) + COUNTIF(Table9[At],$K3))</f>
        <v>5.8055555555555554</v>
      </c>
      <c r="N3" s="5">
        <f>L3+M3</f>
        <v>11.083333333333332</v>
      </c>
      <c r="O3" s="5">
        <f>(COUNTIFS($E$3:$E$74,$K3,$I$3:$I$74,O$2) + COUNTIFS(Table9[At],$K3,Table9[Result],O$2))/(COUNTIF($E$3:$E$74,$K3) + COUNTIF(Table9[At],$K3))</f>
        <v>0.4861111111111111</v>
      </c>
      <c r="P3" s="5">
        <f>(COUNTIFS($E$3:$E$74,$K3,$I$3:$I$74,P$2) + COUNTIFS(Table9[At],$K3,Table9[Result],P$2))/(COUNTIF($E$3:$E$74,$K3) + COUNTIF(Table9[At],$K3))</f>
        <v>0.51388888888888884</v>
      </c>
    </row>
    <row r="4" spans="1:16" x14ac:dyDescent="0.25">
      <c r="A4" t="s">
        <v>7</v>
      </c>
      <c r="B4" t="s">
        <v>40</v>
      </c>
      <c r="C4" t="s">
        <v>240</v>
      </c>
      <c r="E4" s="1" t="str">
        <f t="shared" ref="E4:E67" si="1">IF(LEFT(B4,1)="@","Away","Home")</f>
        <v>Away</v>
      </c>
      <c r="F4" s="3">
        <f t="shared" ref="F4:F67" si="2">_xlfn.NUMBERVALUE(MID(LEFT(C4,FIND("-",C4)-1),FIND(" ",C4)+1,LEN(C4)))</f>
        <v>1</v>
      </c>
      <c r="G4" s="3">
        <f t="shared" ref="G4:G67" si="3">_xlfn.NUMBERVALUE(RIGHT(C4,LEN(C4)-FIND("-",C4)))</f>
        <v>3</v>
      </c>
      <c r="H4" s="3">
        <f t="shared" si="0"/>
        <v>4</v>
      </c>
      <c r="I4" s="3" t="str">
        <f t="shared" ref="I4:I67" si="4">LEFT(C4,1)</f>
        <v>L</v>
      </c>
      <c r="K4" s="4" t="s">
        <v>140</v>
      </c>
      <c r="L4" s="5">
        <f>(SUMIF($E$3:$E$74,$K4,F$3:F$74) + SUMIF(Table9[At],$K4,Table9[Scored]))/(COUNTIF($E$3:$E$74,$K4) + COUNTIF(Table9[At],$K4))</f>
        <v>5.3055555555555554</v>
      </c>
      <c r="M4" s="5">
        <f>(SUMIF($E$3:$E$74,$K4,G$3:G$74) + SUMIF(Table9[At],$K4,Table9[Allowed]))/(COUNTIF($E$3:$E$74,$K4) + COUNTIF(Table9[At],$K4))</f>
        <v>6.8055555555555554</v>
      </c>
      <c r="N4" s="5">
        <f>L4+M4</f>
        <v>12.111111111111111</v>
      </c>
      <c r="O4" s="5">
        <f>(COUNTIFS($E$3:$E$74,$K4,$I$3:$I$74,O$2) + COUNTIFS(Table9[At],$K4,Table9[Result],O$2))/(COUNTIF($E$3:$E$74,$K4) + COUNTIF(Table9[At],$K4))</f>
        <v>0.40277777777777779</v>
      </c>
      <c r="P4" s="5">
        <f>(COUNTIFS($E$3:$E$74,$K4,$I$3:$I$74,P$2) + COUNTIFS(Table9[At],$K4,Table9[Result],P$2))/(COUNTIF($E$3:$E$74,$K4) + COUNTIF(Table9[At],$K4))</f>
        <v>0.59722222222222221</v>
      </c>
    </row>
    <row r="5" spans="1:16" x14ac:dyDescent="0.25">
      <c r="A5" t="s">
        <v>9</v>
      </c>
      <c r="B5" t="s">
        <v>343</v>
      </c>
      <c r="C5" t="s">
        <v>72</v>
      </c>
      <c r="E5" s="1" t="str">
        <f t="shared" si="1"/>
        <v>Home</v>
      </c>
      <c r="F5" s="3">
        <f t="shared" si="2"/>
        <v>12</v>
      </c>
      <c r="G5" s="3">
        <f t="shared" si="3"/>
        <v>3</v>
      </c>
      <c r="H5" s="3">
        <f t="shared" si="0"/>
        <v>15</v>
      </c>
      <c r="I5" s="3" t="str">
        <f t="shared" si="4"/>
        <v>W</v>
      </c>
    </row>
    <row r="6" spans="1:16" x14ac:dyDescent="0.25">
      <c r="A6" t="s">
        <v>12</v>
      </c>
      <c r="B6" t="s">
        <v>343</v>
      </c>
      <c r="C6" t="s">
        <v>358</v>
      </c>
      <c r="E6" s="1" t="str">
        <f t="shared" si="1"/>
        <v>Home</v>
      </c>
      <c r="F6" s="3">
        <f t="shared" si="2"/>
        <v>17</v>
      </c>
      <c r="G6" s="3">
        <f t="shared" si="3"/>
        <v>3</v>
      </c>
      <c r="H6" s="3">
        <f t="shared" si="0"/>
        <v>20</v>
      </c>
      <c r="I6" s="3" t="str">
        <f t="shared" si="4"/>
        <v>W</v>
      </c>
      <c r="K6" s="4" t="s">
        <v>144</v>
      </c>
      <c r="L6" s="5">
        <f>N3/N4</f>
        <v>0.91513761467889898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58</v>
      </c>
      <c r="C7" t="s">
        <v>63</v>
      </c>
      <c r="E7" s="1" t="str">
        <f t="shared" si="1"/>
        <v>Away</v>
      </c>
      <c r="F7" s="3">
        <f t="shared" si="2"/>
        <v>12</v>
      </c>
      <c r="G7" s="3">
        <f t="shared" si="3"/>
        <v>7</v>
      </c>
      <c r="H7" s="3">
        <f t="shared" si="0"/>
        <v>19</v>
      </c>
      <c r="I7" s="3" t="str">
        <f t="shared" si="4"/>
        <v>W</v>
      </c>
      <c r="K7" s="7" t="s">
        <v>143</v>
      </c>
      <c r="L7" s="5">
        <f>(18.5 - O3)/(18.5-P4)</f>
        <v>1.0062063615205585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58</v>
      </c>
      <c r="C8" t="s">
        <v>359</v>
      </c>
      <c r="E8" s="1" t="str">
        <f t="shared" si="1"/>
        <v>Away</v>
      </c>
      <c r="F8" s="3">
        <f t="shared" si="2"/>
        <v>2</v>
      </c>
      <c r="G8" s="3">
        <f t="shared" si="3"/>
        <v>16</v>
      </c>
      <c r="H8" s="3">
        <f t="shared" si="0"/>
        <v>18</v>
      </c>
      <c r="I8" s="3" t="str">
        <f t="shared" si="4"/>
        <v>L</v>
      </c>
      <c r="K8" s="7" t="s">
        <v>146</v>
      </c>
      <c r="L8" s="5">
        <f>L6/L7</f>
        <v>0.90949297249121108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17</v>
      </c>
      <c r="C9" t="s">
        <v>233</v>
      </c>
      <c r="E9" s="1" t="str">
        <f t="shared" si="1"/>
        <v>Away</v>
      </c>
      <c r="F9" s="3">
        <f t="shared" si="2"/>
        <v>10</v>
      </c>
      <c r="G9" s="3">
        <f t="shared" si="3"/>
        <v>1</v>
      </c>
      <c r="H9" s="3">
        <f t="shared" si="0"/>
        <v>11</v>
      </c>
      <c r="I9" s="3" t="str">
        <f t="shared" si="4"/>
        <v>W</v>
      </c>
      <c r="K9" s="7" t="s">
        <v>145</v>
      </c>
      <c r="L9" s="5">
        <f>(P7)/(P7-1+L8)</f>
        <v>1.0075995701679192</v>
      </c>
      <c r="O9" s="4"/>
      <c r="P9" s="1"/>
    </row>
    <row r="10" spans="1:16" x14ac:dyDescent="0.25">
      <c r="A10" t="s">
        <v>193</v>
      </c>
      <c r="B10" t="s">
        <v>17</v>
      </c>
      <c r="C10" t="s">
        <v>360</v>
      </c>
      <c r="E10" s="1" t="str">
        <f t="shared" si="1"/>
        <v>Away</v>
      </c>
      <c r="F10" s="3">
        <f t="shared" si="2"/>
        <v>0</v>
      </c>
      <c r="G10" s="3">
        <f t="shared" si="3"/>
        <v>10</v>
      </c>
      <c r="H10" s="3">
        <f t="shared" si="0"/>
        <v>10</v>
      </c>
      <c r="I10" s="3" t="str">
        <f t="shared" si="4"/>
        <v>L</v>
      </c>
      <c r="K10" s="4" t="s">
        <v>149</v>
      </c>
      <c r="L10" s="5">
        <f>L8*L9</f>
        <v>0.91640472815288743</v>
      </c>
      <c r="O10" s="4"/>
      <c r="P10" s="1"/>
    </row>
    <row r="11" spans="1:16" x14ac:dyDescent="0.25">
      <c r="A11" t="s">
        <v>22</v>
      </c>
      <c r="B11" t="s">
        <v>20</v>
      </c>
      <c r="C11" t="s">
        <v>298</v>
      </c>
      <c r="E11" s="1" t="str">
        <f t="shared" si="1"/>
        <v>Home</v>
      </c>
      <c r="F11" s="3">
        <f t="shared" si="2"/>
        <v>1</v>
      </c>
      <c r="G11" s="3">
        <f t="shared" si="3"/>
        <v>2</v>
      </c>
      <c r="H11" s="3">
        <f t="shared" si="0"/>
        <v>3</v>
      </c>
      <c r="I11" s="3" t="str">
        <f t="shared" si="4"/>
        <v>L</v>
      </c>
      <c r="K11" s="4" t="s">
        <v>148</v>
      </c>
      <c r="L11" s="5">
        <f>1 - ((L10-1)/(P7-1))</f>
        <v>1.0075995701679192</v>
      </c>
      <c r="O11" s="4"/>
      <c r="P11" s="1"/>
    </row>
    <row r="12" spans="1:16" x14ac:dyDescent="0.25">
      <c r="A12" t="s">
        <v>196</v>
      </c>
      <c r="B12" t="s">
        <v>20</v>
      </c>
      <c r="C12" t="s">
        <v>361</v>
      </c>
      <c r="E12" s="1" t="str">
        <f t="shared" si="1"/>
        <v>Home</v>
      </c>
      <c r="F12" s="3">
        <f t="shared" si="2"/>
        <v>13</v>
      </c>
      <c r="G12" s="3">
        <f t="shared" si="3"/>
        <v>7</v>
      </c>
      <c r="H12" s="3">
        <f t="shared" si="0"/>
        <v>20</v>
      </c>
      <c r="I12" s="3" t="str">
        <f t="shared" si="4"/>
        <v>W</v>
      </c>
      <c r="K12" s="4" t="s">
        <v>150</v>
      </c>
      <c r="L12" s="5">
        <f>(($L4/$L11)+($L3/$L10)) * (1 + (L13-1)/($P7-1)) / $P8</f>
        <v>0.96406371277904523</v>
      </c>
      <c r="M12" s="5">
        <f t="shared" ref="M12:O12" si="5">(($L4/$L11)+($L3/$L10)) * (1 + (M13-1)/($P7-1)) / $P8</f>
        <v>0.97640940131228227</v>
      </c>
      <c r="N12" s="5">
        <f t="shared" si="5"/>
        <v>0.97652198901830445</v>
      </c>
      <c r="O12" s="8">
        <f t="shared" si="5"/>
        <v>0.97652301577282785</v>
      </c>
      <c r="P12" s="5"/>
    </row>
    <row r="13" spans="1:16" x14ac:dyDescent="0.25">
      <c r="A13" t="s">
        <v>25</v>
      </c>
      <c r="B13" t="s">
        <v>343</v>
      </c>
      <c r="C13" t="s">
        <v>212</v>
      </c>
      <c r="E13" s="1" t="str">
        <f t="shared" si="1"/>
        <v>Home</v>
      </c>
      <c r="F13" s="3">
        <f t="shared" si="2"/>
        <v>6</v>
      </c>
      <c r="G13" s="3">
        <f t="shared" si="3"/>
        <v>10</v>
      </c>
      <c r="H13" s="3">
        <f t="shared" si="0"/>
        <v>16</v>
      </c>
      <c r="I13" s="3" t="str">
        <f t="shared" si="4"/>
        <v>L</v>
      </c>
      <c r="K13" s="4" t="s">
        <v>182</v>
      </c>
      <c r="L13" s="5">
        <v>1</v>
      </c>
      <c r="M13" s="5">
        <f>(($M4/$L11)+($M3/$L10)) * (1 + (L12-1)/($P7-1)) / $P8</f>
        <v>1.1408647292346872</v>
      </c>
      <c r="N13" s="5">
        <f>(($M4/$L11)+($M3/$L10)) * (1 + (M12-1)/($P7-1)) / $P8</f>
        <v>1.1421493588186318</v>
      </c>
      <c r="O13" s="5">
        <f>(($M4/$L11)+($M3/$L10)) * (1 + (N12-1)/($P7-1)) / $P8</f>
        <v>1.1421610741229304</v>
      </c>
      <c r="P13" s="8">
        <f>(($M4/$L11)+($M3/$L10)) * (1 + (O12-1)/($P7-1)) / $P8</f>
        <v>1.1421611809617862</v>
      </c>
    </row>
    <row r="14" spans="1:16" x14ac:dyDescent="0.25">
      <c r="A14" t="s">
        <v>27</v>
      </c>
      <c r="B14" t="s">
        <v>343</v>
      </c>
      <c r="C14" t="s">
        <v>276</v>
      </c>
      <c r="E14" s="1" t="str">
        <f t="shared" si="1"/>
        <v>Home</v>
      </c>
      <c r="F14" s="3">
        <f t="shared" si="2"/>
        <v>2</v>
      </c>
      <c r="G14" s="3">
        <f t="shared" si="3"/>
        <v>4</v>
      </c>
      <c r="H14" s="3">
        <f t="shared" si="0"/>
        <v>6</v>
      </c>
      <c r="I14" s="3" t="str">
        <f t="shared" si="4"/>
        <v>L</v>
      </c>
      <c r="K14" s="4" t="s">
        <v>183</v>
      </c>
      <c r="L14" s="5">
        <f xml:space="preserve"> (L10+L11) / (2 * (1 + ((P13-1)/(P7-1))))</f>
        <v>0.94972810650464867</v>
      </c>
      <c r="N14" s="5"/>
    </row>
    <row r="15" spans="1:16" x14ac:dyDescent="0.25">
      <c r="A15" t="s">
        <v>29</v>
      </c>
      <c r="B15" t="s">
        <v>120</v>
      </c>
      <c r="C15" t="s">
        <v>226</v>
      </c>
      <c r="E15" s="1" t="str">
        <f t="shared" si="1"/>
        <v>Away</v>
      </c>
      <c r="F15" s="3">
        <f t="shared" si="2"/>
        <v>3</v>
      </c>
      <c r="G15" s="3">
        <f t="shared" si="3"/>
        <v>2</v>
      </c>
      <c r="H15" s="3">
        <f t="shared" si="0"/>
        <v>5</v>
      </c>
      <c r="I15" s="3" t="str">
        <f t="shared" si="4"/>
        <v>W</v>
      </c>
      <c r="K15" s="4" t="s">
        <v>184</v>
      </c>
      <c r="L15" s="5">
        <f xml:space="preserve"> (L10+L11) / (2 * (1 + ((O12-1)/(P7-1))))</f>
        <v>0.96405971413338165</v>
      </c>
    </row>
    <row r="16" spans="1:16" ht="15.75" thickBot="1" x14ac:dyDescent="0.3">
      <c r="A16" t="s">
        <v>32</v>
      </c>
      <c r="B16" t="s">
        <v>120</v>
      </c>
      <c r="C16" t="s">
        <v>301</v>
      </c>
      <c r="E16" s="1" t="str">
        <f t="shared" si="1"/>
        <v>Away</v>
      </c>
      <c r="F16" s="3">
        <f t="shared" si="2"/>
        <v>3</v>
      </c>
      <c r="G16" s="3">
        <f t="shared" si="3"/>
        <v>9</v>
      </c>
      <c r="H16" s="3">
        <f t="shared" si="0"/>
        <v>12</v>
      </c>
      <c r="I16" s="3" t="str">
        <f t="shared" si="4"/>
        <v>L</v>
      </c>
    </row>
    <row r="17" spans="1:14" x14ac:dyDescent="0.25">
      <c r="A17" t="s">
        <v>34</v>
      </c>
      <c r="B17" t="s">
        <v>115</v>
      </c>
      <c r="C17" t="s">
        <v>246</v>
      </c>
      <c r="E17" s="1" t="str">
        <f t="shared" si="1"/>
        <v>Away</v>
      </c>
      <c r="F17" s="3">
        <f t="shared" si="2"/>
        <v>4</v>
      </c>
      <c r="G17" s="3">
        <f t="shared" si="3"/>
        <v>6</v>
      </c>
      <c r="H17" s="3">
        <f t="shared" si="0"/>
        <v>10</v>
      </c>
      <c r="I17" s="3" t="str">
        <f t="shared" si="4"/>
        <v>L</v>
      </c>
      <c r="K17" s="9" t="s">
        <v>185</v>
      </c>
      <c r="L17" s="10">
        <f>L14*100</f>
        <v>94.972810650464865</v>
      </c>
    </row>
    <row r="18" spans="1:14" ht="15.75" thickBot="1" x14ac:dyDescent="0.3">
      <c r="A18" t="s">
        <v>37</v>
      </c>
      <c r="B18" t="s">
        <v>115</v>
      </c>
      <c r="C18" t="s">
        <v>94</v>
      </c>
      <c r="E18" s="1" t="str">
        <f t="shared" si="1"/>
        <v>Away</v>
      </c>
      <c r="F18" s="3">
        <f t="shared" si="2"/>
        <v>4</v>
      </c>
      <c r="G18" s="3">
        <f t="shared" si="3"/>
        <v>8</v>
      </c>
      <c r="H18" s="3">
        <f t="shared" si="0"/>
        <v>12</v>
      </c>
      <c r="I18" s="3" t="str">
        <f t="shared" si="4"/>
        <v>L</v>
      </c>
      <c r="K18" s="11" t="s">
        <v>186</v>
      </c>
      <c r="L18" s="12">
        <f>L15*100</f>
        <v>96.405971413338165</v>
      </c>
    </row>
    <row r="19" spans="1:14" x14ac:dyDescent="0.25">
      <c r="A19" t="s">
        <v>39</v>
      </c>
      <c r="B19" t="s">
        <v>52</v>
      </c>
      <c r="C19" t="s">
        <v>270</v>
      </c>
      <c r="E19" s="1" t="str">
        <f t="shared" si="1"/>
        <v>Home</v>
      </c>
      <c r="F19" s="3">
        <f t="shared" si="2"/>
        <v>4</v>
      </c>
      <c r="G19" s="3">
        <f t="shared" si="3"/>
        <v>3</v>
      </c>
      <c r="H19" s="3">
        <f t="shared" si="0"/>
        <v>7</v>
      </c>
      <c r="I19" s="3" t="str">
        <f t="shared" si="4"/>
        <v>W</v>
      </c>
    </row>
    <row r="20" spans="1:14" x14ac:dyDescent="0.25">
      <c r="A20" t="s">
        <v>41</v>
      </c>
      <c r="B20" t="s">
        <v>52</v>
      </c>
      <c r="C20" t="s">
        <v>128</v>
      </c>
      <c r="E20" s="1" t="str">
        <f t="shared" si="1"/>
        <v>Home</v>
      </c>
      <c r="F20" s="3">
        <f t="shared" si="2"/>
        <v>6</v>
      </c>
      <c r="G20" s="3">
        <f t="shared" si="3"/>
        <v>5</v>
      </c>
      <c r="H20" s="3">
        <f t="shared" si="0"/>
        <v>11</v>
      </c>
      <c r="I20" s="3" t="str">
        <f t="shared" si="4"/>
        <v>W</v>
      </c>
    </row>
    <row r="21" spans="1:14" x14ac:dyDescent="0.25">
      <c r="A21" t="s">
        <v>43</v>
      </c>
      <c r="B21" t="s">
        <v>98</v>
      </c>
      <c r="C21" t="s">
        <v>226</v>
      </c>
      <c r="E21" s="1" t="str">
        <f t="shared" si="1"/>
        <v>Home</v>
      </c>
      <c r="F21" s="3">
        <f t="shared" si="2"/>
        <v>3</v>
      </c>
      <c r="G21" s="3">
        <f t="shared" si="3"/>
        <v>2</v>
      </c>
      <c r="H21" s="3">
        <f t="shared" si="0"/>
        <v>5</v>
      </c>
      <c r="I21" s="3" t="str">
        <f t="shared" si="4"/>
        <v>W</v>
      </c>
    </row>
    <row r="22" spans="1:14" x14ac:dyDescent="0.25">
      <c r="A22" t="s">
        <v>45</v>
      </c>
      <c r="B22" t="s">
        <v>98</v>
      </c>
      <c r="C22" t="s">
        <v>128</v>
      </c>
      <c r="E22" s="1" t="str">
        <f t="shared" si="1"/>
        <v>Home</v>
      </c>
      <c r="F22" s="3">
        <f t="shared" si="2"/>
        <v>6</v>
      </c>
      <c r="G22" s="3">
        <f t="shared" si="3"/>
        <v>5</v>
      </c>
      <c r="H22" s="3">
        <f t="shared" si="0"/>
        <v>11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58</v>
      </c>
      <c r="C23" t="s">
        <v>362</v>
      </c>
      <c r="E23" s="1" t="str">
        <f t="shared" si="1"/>
        <v>Away</v>
      </c>
      <c r="F23" s="3">
        <f t="shared" si="2"/>
        <v>8</v>
      </c>
      <c r="G23" s="3">
        <f t="shared" si="3"/>
        <v>16</v>
      </c>
      <c r="H23" s="3">
        <f t="shared" si="0"/>
        <v>24</v>
      </c>
      <c r="I23" s="3" t="str">
        <f t="shared" si="4"/>
        <v>L</v>
      </c>
      <c r="K23" s="1">
        <f>COUNTIFS(Table9[At], "Home",Table9[Result], "W")</f>
        <v>10</v>
      </c>
      <c r="L23" s="1">
        <f>COUNTIFS(Table9[At], "Home",Table9[Result], "L")</f>
        <v>26</v>
      </c>
      <c r="M23" s="1">
        <f>COUNTIFS(Table9[At], "Away",Table9[Result], "W")</f>
        <v>9</v>
      </c>
      <c r="N23" s="1">
        <f>COUNTIFS(Table9[At], "Away",Table9[Result], "L")</f>
        <v>27</v>
      </c>
    </row>
    <row r="24" spans="1:14" x14ac:dyDescent="0.25">
      <c r="A24" t="s">
        <v>49</v>
      </c>
      <c r="B24" t="s">
        <v>58</v>
      </c>
      <c r="C24" t="s">
        <v>267</v>
      </c>
      <c r="E24" s="1" t="str">
        <f t="shared" si="1"/>
        <v>Away</v>
      </c>
      <c r="F24" s="3">
        <f t="shared" si="2"/>
        <v>8</v>
      </c>
      <c r="G24" s="3">
        <f t="shared" si="3"/>
        <v>7</v>
      </c>
      <c r="H24" s="3">
        <f t="shared" si="0"/>
        <v>15</v>
      </c>
      <c r="I24" s="3" t="str">
        <f t="shared" si="4"/>
        <v>W</v>
      </c>
      <c r="K24" s="1"/>
      <c r="M24" s="1"/>
      <c r="N24" s="1"/>
    </row>
    <row r="25" spans="1:14" x14ac:dyDescent="0.25">
      <c r="A25" t="s">
        <v>51</v>
      </c>
      <c r="B25" t="s">
        <v>23</v>
      </c>
      <c r="C25" t="s">
        <v>264</v>
      </c>
      <c r="E25" s="1" t="str">
        <f t="shared" si="1"/>
        <v>Home</v>
      </c>
      <c r="F25" s="3">
        <f t="shared" si="2"/>
        <v>6</v>
      </c>
      <c r="G25" s="3">
        <f t="shared" si="3"/>
        <v>2</v>
      </c>
      <c r="H25" s="3">
        <f t="shared" si="0"/>
        <v>8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53</v>
      </c>
      <c r="B26" t="s">
        <v>23</v>
      </c>
      <c r="C26" t="s">
        <v>207</v>
      </c>
      <c r="E26" s="1" t="str">
        <f t="shared" si="1"/>
        <v>Home</v>
      </c>
      <c r="F26" s="3">
        <f t="shared" si="2"/>
        <v>3</v>
      </c>
      <c r="G26" s="3">
        <f t="shared" si="3"/>
        <v>8</v>
      </c>
      <c r="H26" s="3">
        <f t="shared" si="0"/>
        <v>11</v>
      </c>
      <c r="I26" s="3" t="str">
        <f t="shared" si="4"/>
        <v>L</v>
      </c>
      <c r="K26" s="1">
        <f>COUNTIFS(Table9[oR/G], "&gt;0",Table9[Result], "W")</f>
        <v>9</v>
      </c>
      <c r="L26" s="1">
        <f>COUNTIFS(Table9[oR/G], "&gt;0",Table9[Result], "l")</f>
        <v>35</v>
      </c>
      <c r="M26" s="1">
        <f>COUNTIFS(Table9[oR/G], "&lt;0",Table9[Result], "W")</f>
        <v>10</v>
      </c>
      <c r="N26" s="1">
        <f>COUNTIFS(Table9[oR/G], "&lt;0",Table9[Result], "l")</f>
        <v>18</v>
      </c>
    </row>
    <row r="27" spans="1:14" x14ac:dyDescent="0.25">
      <c r="A27" t="s">
        <v>53</v>
      </c>
      <c r="B27" t="s">
        <v>23</v>
      </c>
      <c r="C27" t="s">
        <v>55</v>
      </c>
      <c r="E27" s="1" t="str">
        <f t="shared" si="1"/>
        <v>Home</v>
      </c>
      <c r="F27" s="3">
        <f t="shared" si="2"/>
        <v>5</v>
      </c>
      <c r="G27" s="3">
        <f t="shared" si="3"/>
        <v>7</v>
      </c>
      <c r="H27" s="3">
        <f t="shared" si="0"/>
        <v>12</v>
      </c>
      <c r="I27" s="3" t="str">
        <f t="shared" si="4"/>
        <v>L</v>
      </c>
    </row>
    <row r="28" spans="1:14" x14ac:dyDescent="0.25">
      <c r="A28" t="s">
        <v>208</v>
      </c>
      <c r="B28" t="s">
        <v>23</v>
      </c>
      <c r="C28" t="s">
        <v>15</v>
      </c>
      <c r="E28" s="1" t="str">
        <f t="shared" si="1"/>
        <v>Home</v>
      </c>
      <c r="F28" s="3">
        <f t="shared" si="2"/>
        <v>3</v>
      </c>
      <c r="G28" s="3">
        <f t="shared" si="3"/>
        <v>1</v>
      </c>
      <c r="H28" s="3">
        <f t="shared" si="0"/>
        <v>4</v>
      </c>
      <c r="I28" s="3" t="str">
        <f t="shared" si="4"/>
        <v>W</v>
      </c>
    </row>
    <row r="29" spans="1:14" x14ac:dyDescent="0.25">
      <c r="A29" t="s">
        <v>247</v>
      </c>
      <c r="B29" t="s">
        <v>20</v>
      </c>
      <c r="C29" t="s">
        <v>267</v>
      </c>
      <c r="E29" s="1" t="str">
        <f t="shared" si="1"/>
        <v>Home</v>
      </c>
      <c r="F29" s="3">
        <f t="shared" si="2"/>
        <v>8</v>
      </c>
      <c r="G29" s="3">
        <f t="shared" si="3"/>
        <v>7</v>
      </c>
      <c r="H29" s="3">
        <f t="shared" si="0"/>
        <v>15</v>
      </c>
      <c r="I29" s="3" t="str">
        <f t="shared" si="4"/>
        <v>W</v>
      </c>
    </row>
    <row r="30" spans="1:14" x14ac:dyDescent="0.25">
      <c r="A30" t="s">
        <v>54</v>
      </c>
      <c r="B30" t="s">
        <v>20</v>
      </c>
      <c r="C30" t="s">
        <v>116</v>
      </c>
      <c r="E30" s="1" t="str">
        <f t="shared" si="1"/>
        <v>Home</v>
      </c>
      <c r="F30" s="3">
        <f t="shared" si="2"/>
        <v>9</v>
      </c>
      <c r="G30" s="3">
        <f t="shared" si="3"/>
        <v>3</v>
      </c>
      <c r="H30" s="3">
        <f t="shared" si="0"/>
        <v>12</v>
      </c>
      <c r="I30" s="3" t="str">
        <f t="shared" si="4"/>
        <v>W</v>
      </c>
    </row>
    <row r="31" spans="1:14" x14ac:dyDescent="0.25">
      <c r="A31" t="s">
        <v>57</v>
      </c>
      <c r="B31" t="s">
        <v>17</v>
      </c>
      <c r="C31" t="s">
        <v>279</v>
      </c>
      <c r="E31" s="1" t="str">
        <f t="shared" si="1"/>
        <v>Away</v>
      </c>
      <c r="F31" s="3">
        <f t="shared" si="2"/>
        <v>7</v>
      </c>
      <c r="G31" s="3">
        <f t="shared" si="3"/>
        <v>2</v>
      </c>
      <c r="H31" s="3">
        <f t="shared" si="0"/>
        <v>9</v>
      </c>
      <c r="I31" s="3" t="str">
        <f t="shared" si="4"/>
        <v>W</v>
      </c>
    </row>
    <row r="32" spans="1:14" x14ac:dyDescent="0.25">
      <c r="A32" t="s">
        <v>60</v>
      </c>
      <c r="B32" t="s">
        <v>17</v>
      </c>
      <c r="C32" t="s">
        <v>280</v>
      </c>
      <c r="E32" s="1" t="str">
        <f t="shared" si="1"/>
        <v>Away</v>
      </c>
      <c r="F32" s="3">
        <f t="shared" si="2"/>
        <v>8</v>
      </c>
      <c r="G32" s="3">
        <f t="shared" si="3"/>
        <v>3</v>
      </c>
      <c r="H32" s="3">
        <f t="shared" si="0"/>
        <v>11</v>
      </c>
      <c r="I32" s="3" t="str">
        <f t="shared" si="4"/>
        <v>W</v>
      </c>
    </row>
    <row r="33" spans="1:9" x14ac:dyDescent="0.25">
      <c r="A33" t="s">
        <v>62</v>
      </c>
      <c r="B33" t="s">
        <v>52</v>
      </c>
      <c r="C33" t="s">
        <v>199</v>
      </c>
      <c r="E33" s="1" t="str">
        <f t="shared" si="1"/>
        <v>Home</v>
      </c>
      <c r="F33" s="3">
        <f t="shared" si="2"/>
        <v>3</v>
      </c>
      <c r="G33" s="3">
        <f t="shared" si="3"/>
        <v>7</v>
      </c>
      <c r="H33" s="3">
        <f t="shared" si="0"/>
        <v>10</v>
      </c>
      <c r="I33" s="3" t="str">
        <f t="shared" si="4"/>
        <v>L</v>
      </c>
    </row>
    <row r="34" spans="1:9" x14ac:dyDescent="0.25">
      <c r="A34" t="s">
        <v>64</v>
      </c>
      <c r="B34" t="s">
        <v>52</v>
      </c>
      <c r="C34" t="s">
        <v>337</v>
      </c>
      <c r="E34" s="1" t="str">
        <f t="shared" si="1"/>
        <v>Home</v>
      </c>
      <c r="F34" s="3">
        <f t="shared" si="2"/>
        <v>6</v>
      </c>
      <c r="G34" s="3">
        <f t="shared" si="3"/>
        <v>12</v>
      </c>
      <c r="H34" s="3">
        <f t="shared" si="0"/>
        <v>18</v>
      </c>
      <c r="I34" s="3" t="str">
        <f t="shared" si="4"/>
        <v>L</v>
      </c>
    </row>
    <row r="35" spans="1:9" x14ac:dyDescent="0.25">
      <c r="A35" t="s">
        <v>66</v>
      </c>
      <c r="B35" t="s">
        <v>343</v>
      </c>
      <c r="C35" t="s">
        <v>254</v>
      </c>
      <c r="E35" s="1" t="str">
        <f t="shared" si="1"/>
        <v>Home</v>
      </c>
      <c r="F35" s="3">
        <f t="shared" si="2"/>
        <v>5</v>
      </c>
      <c r="G35" s="3">
        <f t="shared" si="3"/>
        <v>4</v>
      </c>
      <c r="H35" s="3">
        <f t="shared" si="0"/>
        <v>9</v>
      </c>
      <c r="I35" s="3" t="str">
        <f t="shared" si="4"/>
        <v>W</v>
      </c>
    </row>
    <row r="36" spans="1:9" x14ac:dyDescent="0.25">
      <c r="A36" t="s">
        <v>67</v>
      </c>
      <c r="B36" t="s">
        <v>343</v>
      </c>
      <c r="C36" t="s">
        <v>229</v>
      </c>
      <c r="E36" s="1" t="str">
        <f t="shared" si="1"/>
        <v>Home</v>
      </c>
      <c r="F36" s="3">
        <f t="shared" si="2"/>
        <v>7</v>
      </c>
      <c r="G36" s="3">
        <f t="shared" si="3"/>
        <v>1</v>
      </c>
      <c r="H36" s="3">
        <f t="shared" si="0"/>
        <v>8</v>
      </c>
      <c r="I36" s="3" t="str">
        <f t="shared" si="4"/>
        <v>W</v>
      </c>
    </row>
    <row r="37" spans="1:9" x14ac:dyDescent="0.25">
      <c r="A37" t="s">
        <v>68</v>
      </c>
      <c r="B37" t="s">
        <v>341</v>
      </c>
      <c r="C37" t="s">
        <v>363</v>
      </c>
      <c r="E37" s="1" t="str">
        <f t="shared" si="1"/>
        <v>Away</v>
      </c>
      <c r="F37" s="3">
        <f t="shared" si="2"/>
        <v>14</v>
      </c>
      <c r="G37" s="3">
        <f t="shared" si="3"/>
        <v>2</v>
      </c>
      <c r="H37" s="3">
        <f t="shared" si="0"/>
        <v>16</v>
      </c>
      <c r="I37" s="3" t="str">
        <f t="shared" si="4"/>
        <v>W</v>
      </c>
    </row>
    <row r="38" spans="1:9" x14ac:dyDescent="0.25">
      <c r="A38" t="s">
        <v>71</v>
      </c>
      <c r="B38" t="s">
        <v>341</v>
      </c>
      <c r="C38" t="s">
        <v>11</v>
      </c>
      <c r="E38" s="1" t="str">
        <f t="shared" si="1"/>
        <v>Away</v>
      </c>
      <c r="F38" s="3">
        <f t="shared" si="2"/>
        <v>3</v>
      </c>
      <c r="G38" s="3">
        <f t="shared" si="3"/>
        <v>12</v>
      </c>
      <c r="H38" s="3">
        <f t="shared" si="0"/>
        <v>15</v>
      </c>
      <c r="I38" s="3" t="str">
        <f t="shared" si="4"/>
        <v>L</v>
      </c>
    </row>
    <row r="39" spans="1:9" x14ac:dyDescent="0.25">
      <c r="A39" t="s">
        <v>73</v>
      </c>
      <c r="B39" t="s">
        <v>5</v>
      </c>
      <c r="C39" t="s">
        <v>270</v>
      </c>
      <c r="E39" s="1" t="str">
        <f t="shared" si="1"/>
        <v>Home</v>
      </c>
      <c r="F39" s="3">
        <f t="shared" si="2"/>
        <v>4</v>
      </c>
      <c r="G39" s="3">
        <f t="shared" si="3"/>
        <v>3</v>
      </c>
      <c r="H39" s="3">
        <f t="shared" si="0"/>
        <v>7</v>
      </c>
      <c r="I39" s="3" t="str">
        <f t="shared" si="4"/>
        <v>W</v>
      </c>
    </row>
    <row r="40" spans="1:9" x14ac:dyDescent="0.25">
      <c r="A40" t="s">
        <v>209</v>
      </c>
      <c r="B40" t="s">
        <v>5</v>
      </c>
      <c r="C40" t="s">
        <v>35</v>
      </c>
      <c r="E40" s="1" t="str">
        <f t="shared" si="1"/>
        <v>Home</v>
      </c>
      <c r="F40" s="3">
        <f t="shared" si="2"/>
        <v>4</v>
      </c>
      <c r="G40" s="3">
        <f t="shared" si="3"/>
        <v>1</v>
      </c>
      <c r="H40" s="3">
        <f t="shared" si="0"/>
        <v>5</v>
      </c>
      <c r="I40" s="3" t="str">
        <f t="shared" si="4"/>
        <v>W</v>
      </c>
    </row>
    <row r="41" spans="1:9" x14ac:dyDescent="0.25">
      <c r="A41" t="s">
        <v>76</v>
      </c>
      <c r="B41" t="s">
        <v>74</v>
      </c>
      <c r="C41" t="s">
        <v>320</v>
      </c>
      <c r="E41" s="1" t="str">
        <f t="shared" si="1"/>
        <v>Home</v>
      </c>
      <c r="F41" s="3">
        <f t="shared" si="2"/>
        <v>5</v>
      </c>
      <c r="G41" s="3">
        <f t="shared" si="3"/>
        <v>1</v>
      </c>
      <c r="H41" s="3">
        <f t="shared" si="0"/>
        <v>6</v>
      </c>
      <c r="I41" s="3" t="str">
        <f t="shared" si="4"/>
        <v>W</v>
      </c>
    </row>
    <row r="42" spans="1:9" x14ac:dyDescent="0.25">
      <c r="A42" t="s">
        <v>78</v>
      </c>
      <c r="B42" t="s">
        <v>74</v>
      </c>
      <c r="C42" t="s">
        <v>259</v>
      </c>
      <c r="E42" s="1" t="str">
        <f t="shared" si="1"/>
        <v>Home</v>
      </c>
      <c r="F42" s="3">
        <f t="shared" si="2"/>
        <v>0</v>
      </c>
      <c r="G42" s="3">
        <f t="shared" si="3"/>
        <v>5</v>
      </c>
      <c r="H42" s="3">
        <f t="shared" si="0"/>
        <v>5</v>
      </c>
      <c r="I42" s="3" t="str">
        <f t="shared" si="4"/>
        <v>L</v>
      </c>
    </row>
    <row r="43" spans="1:9" x14ac:dyDescent="0.25">
      <c r="A43" t="s">
        <v>80</v>
      </c>
      <c r="B43" t="s">
        <v>315</v>
      </c>
      <c r="C43" t="s">
        <v>351</v>
      </c>
      <c r="E43" s="1" t="str">
        <f t="shared" si="1"/>
        <v>Away</v>
      </c>
      <c r="F43" s="3">
        <f t="shared" si="2"/>
        <v>2</v>
      </c>
      <c r="G43" s="3">
        <f t="shared" si="3"/>
        <v>1</v>
      </c>
      <c r="H43" s="3">
        <f t="shared" si="0"/>
        <v>3</v>
      </c>
      <c r="I43" s="3" t="str">
        <f t="shared" si="4"/>
        <v>W</v>
      </c>
    </row>
    <row r="44" spans="1:9" x14ac:dyDescent="0.25">
      <c r="A44" t="s">
        <v>81</v>
      </c>
      <c r="B44" t="s">
        <v>315</v>
      </c>
      <c r="C44" t="s">
        <v>223</v>
      </c>
      <c r="E44" s="1" t="str">
        <f t="shared" si="1"/>
        <v>Away</v>
      </c>
      <c r="F44" s="3">
        <f t="shared" si="2"/>
        <v>10</v>
      </c>
      <c r="G44" s="3">
        <f t="shared" si="3"/>
        <v>4</v>
      </c>
      <c r="H44" s="3">
        <f t="shared" si="0"/>
        <v>14</v>
      </c>
      <c r="I44" s="3" t="str">
        <f t="shared" si="4"/>
        <v>W</v>
      </c>
    </row>
    <row r="45" spans="1:9" x14ac:dyDescent="0.25">
      <c r="A45" t="s">
        <v>82</v>
      </c>
      <c r="B45" t="s">
        <v>5</v>
      </c>
      <c r="C45" t="s">
        <v>302</v>
      </c>
      <c r="E45" s="1" t="str">
        <f t="shared" si="1"/>
        <v>Home</v>
      </c>
      <c r="F45" s="3">
        <f t="shared" si="2"/>
        <v>2</v>
      </c>
      <c r="G45" s="3">
        <f t="shared" si="3"/>
        <v>9</v>
      </c>
      <c r="H45" s="3">
        <f t="shared" si="0"/>
        <v>11</v>
      </c>
      <c r="I45" s="3" t="str">
        <f t="shared" si="4"/>
        <v>L</v>
      </c>
    </row>
    <row r="46" spans="1:9" x14ac:dyDescent="0.25">
      <c r="A46" t="s">
        <v>84</v>
      </c>
      <c r="B46" t="s">
        <v>5</v>
      </c>
      <c r="C46" t="s">
        <v>323</v>
      </c>
      <c r="E46" s="1" t="str">
        <f t="shared" si="1"/>
        <v>Home</v>
      </c>
      <c r="F46" s="3">
        <f t="shared" si="2"/>
        <v>7</v>
      </c>
      <c r="G46" s="3">
        <f t="shared" si="3"/>
        <v>6</v>
      </c>
      <c r="H46" s="3">
        <f t="shared" si="0"/>
        <v>13</v>
      </c>
      <c r="I46" s="3" t="str">
        <f t="shared" si="4"/>
        <v>W</v>
      </c>
    </row>
    <row r="47" spans="1:9" x14ac:dyDescent="0.25">
      <c r="A47" t="s">
        <v>86</v>
      </c>
      <c r="B47" t="s">
        <v>30</v>
      </c>
      <c r="C47" t="s">
        <v>269</v>
      </c>
      <c r="E47" s="1" t="str">
        <f t="shared" si="1"/>
        <v>Away</v>
      </c>
      <c r="F47" s="3">
        <f t="shared" si="2"/>
        <v>2</v>
      </c>
      <c r="G47" s="3">
        <f t="shared" si="3"/>
        <v>3</v>
      </c>
      <c r="H47" s="3">
        <f t="shared" si="0"/>
        <v>5</v>
      </c>
      <c r="I47" s="3" t="str">
        <f t="shared" si="4"/>
        <v>L</v>
      </c>
    </row>
    <row r="48" spans="1:9" x14ac:dyDescent="0.25">
      <c r="A48" t="s">
        <v>88</v>
      </c>
      <c r="B48" t="s">
        <v>30</v>
      </c>
      <c r="C48" t="s">
        <v>42</v>
      </c>
      <c r="E48" s="1" t="str">
        <f t="shared" si="1"/>
        <v>Away</v>
      </c>
      <c r="F48" s="3">
        <f t="shared" si="2"/>
        <v>0</v>
      </c>
      <c r="G48" s="3">
        <f t="shared" si="3"/>
        <v>3</v>
      </c>
      <c r="H48" s="3">
        <f t="shared" si="0"/>
        <v>3</v>
      </c>
      <c r="I48" s="3" t="str">
        <f t="shared" si="4"/>
        <v>L</v>
      </c>
    </row>
    <row r="49" spans="1:9" x14ac:dyDescent="0.25">
      <c r="A49" t="s">
        <v>88</v>
      </c>
      <c r="B49" t="s">
        <v>30</v>
      </c>
      <c r="C49" t="s">
        <v>242</v>
      </c>
      <c r="E49" s="1" t="str">
        <f t="shared" si="1"/>
        <v>Away</v>
      </c>
      <c r="F49" s="3">
        <f t="shared" si="2"/>
        <v>13</v>
      </c>
      <c r="G49" s="3">
        <f t="shared" si="3"/>
        <v>1</v>
      </c>
      <c r="H49" s="3">
        <f t="shared" si="0"/>
        <v>14</v>
      </c>
      <c r="I49" s="3" t="str">
        <f t="shared" si="4"/>
        <v>W</v>
      </c>
    </row>
    <row r="50" spans="1:9" x14ac:dyDescent="0.25">
      <c r="A50" t="s">
        <v>91</v>
      </c>
      <c r="B50" t="s">
        <v>30</v>
      </c>
      <c r="C50" t="s">
        <v>327</v>
      </c>
      <c r="E50" s="1" t="str">
        <f t="shared" si="1"/>
        <v>Away</v>
      </c>
      <c r="F50" s="3">
        <f t="shared" si="2"/>
        <v>9</v>
      </c>
      <c r="G50" s="3">
        <f t="shared" si="3"/>
        <v>7</v>
      </c>
      <c r="H50" s="3">
        <f t="shared" si="0"/>
        <v>16</v>
      </c>
      <c r="I50" s="3" t="str">
        <f t="shared" si="4"/>
        <v>W</v>
      </c>
    </row>
    <row r="51" spans="1:9" x14ac:dyDescent="0.25">
      <c r="A51" t="s">
        <v>93</v>
      </c>
      <c r="B51" t="s">
        <v>58</v>
      </c>
      <c r="C51" t="s">
        <v>104</v>
      </c>
      <c r="E51" s="1" t="str">
        <f t="shared" si="1"/>
        <v>Away</v>
      </c>
      <c r="F51" s="3">
        <f t="shared" si="2"/>
        <v>0</v>
      </c>
      <c r="G51" s="3">
        <f t="shared" si="3"/>
        <v>9</v>
      </c>
      <c r="H51" s="3">
        <f t="shared" si="0"/>
        <v>9</v>
      </c>
      <c r="I51" s="3" t="str">
        <f t="shared" si="4"/>
        <v>L</v>
      </c>
    </row>
    <row r="52" spans="1:9" x14ac:dyDescent="0.25">
      <c r="A52" t="s">
        <v>96</v>
      </c>
      <c r="B52" t="s">
        <v>58</v>
      </c>
      <c r="C52" t="s">
        <v>59</v>
      </c>
      <c r="E52" s="1" t="str">
        <f t="shared" si="1"/>
        <v>Away</v>
      </c>
      <c r="F52" s="3">
        <f t="shared" si="2"/>
        <v>11</v>
      </c>
      <c r="G52" s="3">
        <f t="shared" si="3"/>
        <v>7</v>
      </c>
      <c r="H52" s="3">
        <f t="shared" si="0"/>
        <v>18</v>
      </c>
      <c r="I52" s="3" t="str">
        <f t="shared" si="4"/>
        <v>W</v>
      </c>
    </row>
    <row r="53" spans="1:9" x14ac:dyDescent="0.25">
      <c r="A53" t="s">
        <v>97</v>
      </c>
      <c r="B53" t="s">
        <v>40</v>
      </c>
      <c r="C53" t="s">
        <v>329</v>
      </c>
      <c r="E53" s="1" t="str">
        <f t="shared" si="1"/>
        <v>Away</v>
      </c>
      <c r="F53" s="3">
        <f t="shared" si="2"/>
        <v>5</v>
      </c>
      <c r="G53" s="3">
        <f t="shared" si="3"/>
        <v>2</v>
      </c>
      <c r="H53" s="3">
        <f t="shared" si="0"/>
        <v>7</v>
      </c>
      <c r="I53" s="3" t="str">
        <f t="shared" si="4"/>
        <v>W</v>
      </c>
    </row>
    <row r="54" spans="1:9" x14ac:dyDescent="0.25">
      <c r="A54" t="s">
        <v>100</v>
      </c>
      <c r="B54" t="s">
        <v>40</v>
      </c>
      <c r="C54" t="s">
        <v>364</v>
      </c>
      <c r="E54" s="1" t="str">
        <f t="shared" si="1"/>
        <v>Away</v>
      </c>
      <c r="F54" s="3">
        <f t="shared" si="2"/>
        <v>11</v>
      </c>
      <c r="G54" s="3">
        <f t="shared" si="3"/>
        <v>9</v>
      </c>
      <c r="H54" s="3">
        <f t="shared" si="0"/>
        <v>20</v>
      </c>
      <c r="I54" s="3" t="str">
        <f t="shared" si="4"/>
        <v>W</v>
      </c>
    </row>
    <row r="55" spans="1:9" x14ac:dyDescent="0.25">
      <c r="A55" t="s">
        <v>215</v>
      </c>
      <c r="B55" t="s">
        <v>5</v>
      </c>
      <c r="C55" t="s">
        <v>323</v>
      </c>
      <c r="E55" s="1" t="str">
        <f t="shared" si="1"/>
        <v>Home</v>
      </c>
      <c r="F55" s="3">
        <f t="shared" si="2"/>
        <v>7</v>
      </c>
      <c r="G55" s="3">
        <f t="shared" si="3"/>
        <v>6</v>
      </c>
      <c r="H55" s="3">
        <f t="shared" si="0"/>
        <v>13</v>
      </c>
      <c r="I55" s="3" t="str">
        <f t="shared" si="4"/>
        <v>W</v>
      </c>
    </row>
    <row r="56" spans="1:9" x14ac:dyDescent="0.25">
      <c r="A56" t="s">
        <v>102</v>
      </c>
      <c r="B56" t="s">
        <v>5</v>
      </c>
      <c r="C56" t="s">
        <v>276</v>
      </c>
      <c r="E56" s="1" t="str">
        <f t="shared" si="1"/>
        <v>Home</v>
      </c>
      <c r="F56" s="3">
        <f t="shared" si="2"/>
        <v>2</v>
      </c>
      <c r="G56" s="3">
        <f t="shared" si="3"/>
        <v>4</v>
      </c>
      <c r="H56" s="3">
        <f t="shared" si="0"/>
        <v>6</v>
      </c>
      <c r="I56" s="3" t="str">
        <f t="shared" si="4"/>
        <v>L</v>
      </c>
    </row>
    <row r="57" spans="1:9" x14ac:dyDescent="0.25">
      <c r="A57" t="s">
        <v>105</v>
      </c>
      <c r="B57" t="s">
        <v>20</v>
      </c>
      <c r="C57" t="s">
        <v>21</v>
      </c>
      <c r="E57" s="1" t="str">
        <f t="shared" si="1"/>
        <v>Home</v>
      </c>
      <c r="F57" s="3">
        <f t="shared" si="2"/>
        <v>6</v>
      </c>
      <c r="G57" s="3">
        <f t="shared" si="3"/>
        <v>1</v>
      </c>
      <c r="H57" s="3">
        <f t="shared" si="0"/>
        <v>7</v>
      </c>
      <c r="I57" s="3" t="str">
        <f t="shared" si="4"/>
        <v>W</v>
      </c>
    </row>
    <row r="58" spans="1:9" x14ac:dyDescent="0.25">
      <c r="A58" t="s">
        <v>107</v>
      </c>
      <c r="B58" t="s">
        <v>20</v>
      </c>
      <c r="C58" t="s">
        <v>191</v>
      </c>
      <c r="E58" s="1" t="str">
        <f t="shared" si="1"/>
        <v>Home</v>
      </c>
      <c r="F58" s="3">
        <f t="shared" si="2"/>
        <v>12</v>
      </c>
      <c r="G58" s="3">
        <f t="shared" si="3"/>
        <v>4</v>
      </c>
      <c r="H58" s="3">
        <f t="shared" si="0"/>
        <v>16</v>
      </c>
      <c r="I58" s="3" t="str">
        <f t="shared" si="4"/>
        <v>W</v>
      </c>
    </row>
    <row r="59" spans="1:9" x14ac:dyDescent="0.25">
      <c r="A59" t="s">
        <v>108</v>
      </c>
      <c r="B59" t="s">
        <v>341</v>
      </c>
      <c r="C59" t="s">
        <v>293</v>
      </c>
      <c r="E59" s="1" t="str">
        <f t="shared" si="1"/>
        <v>Away</v>
      </c>
      <c r="F59" s="3">
        <f t="shared" si="2"/>
        <v>13</v>
      </c>
      <c r="G59" s="3">
        <f t="shared" si="3"/>
        <v>3</v>
      </c>
      <c r="H59" s="3">
        <f t="shared" si="0"/>
        <v>16</v>
      </c>
      <c r="I59" s="3" t="str">
        <f t="shared" si="4"/>
        <v>W</v>
      </c>
    </row>
    <row r="60" spans="1:9" x14ac:dyDescent="0.25">
      <c r="A60" t="s">
        <v>110</v>
      </c>
      <c r="B60" t="s">
        <v>341</v>
      </c>
      <c r="C60" t="s">
        <v>85</v>
      </c>
      <c r="E60" s="1" t="str">
        <f t="shared" si="1"/>
        <v>Away</v>
      </c>
      <c r="F60" s="3">
        <f t="shared" si="2"/>
        <v>5</v>
      </c>
      <c r="G60" s="3">
        <f t="shared" si="3"/>
        <v>3</v>
      </c>
      <c r="H60" s="3">
        <f t="shared" si="0"/>
        <v>8</v>
      </c>
      <c r="I60" s="3" t="str">
        <f t="shared" si="4"/>
        <v>W</v>
      </c>
    </row>
    <row r="61" spans="1:9" x14ac:dyDescent="0.25">
      <c r="A61" t="s">
        <v>111</v>
      </c>
      <c r="B61" t="s">
        <v>40</v>
      </c>
      <c r="C61" t="s">
        <v>224</v>
      </c>
      <c r="E61" s="1" t="str">
        <f t="shared" si="1"/>
        <v>Away</v>
      </c>
      <c r="F61" s="3">
        <f t="shared" si="2"/>
        <v>0</v>
      </c>
      <c r="G61" s="3">
        <f t="shared" si="3"/>
        <v>6</v>
      </c>
      <c r="H61" s="3">
        <f t="shared" si="0"/>
        <v>6</v>
      </c>
      <c r="I61" s="3" t="str">
        <f t="shared" si="4"/>
        <v>L</v>
      </c>
    </row>
    <row r="62" spans="1:9" x14ac:dyDescent="0.25">
      <c r="A62" t="s">
        <v>112</v>
      </c>
      <c r="B62" t="s">
        <v>40</v>
      </c>
      <c r="C62" t="s">
        <v>85</v>
      </c>
      <c r="E62" s="1" t="str">
        <f t="shared" si="1"/>
        <v>Away</v>
      </c>
      <c r="F62" s="3">
        <f t="shared" si="2"/>
        <v>5</v>
      </c>
      <c r="G62" s="3">
        <f t="shared" si="3"/>
        <v>3</v>
      </c>
      <c r="H62" s="3">
        <f t="shared" si="0"/>
        <v>8</v>
      </c>
      <c r="I62" s="3" t="str">
        <f t="shared" si="4"/>
        <v>W</v>
      </c>
    </row>
    <row r="63" spans="1:9" x14ac:dyDescent="0.25">
      <c r="A63" t="s">
        <v>114</v>
      </c>
      <c r="B63" t="s">
        <v>30</v>
      </c>
      <c r="C63" t="s">
        <v>266</v>
      </c>
      <c r="E63" s="1" t="str">
        <f t="shared" si="1"/>
        <v>Away</v>
      </c>
      <c r="F63" s="3">
        <f t="shared" si="2"/>
        <v>8</v>
      </c>
      <c r="G63" s="3">
        <f t="shared" si="3"/>
        <v>10</v>
      </c>
      <c r="H63" s="3">
        <f t="shared" si="0"/>
        <v>18</v>
      </c>
      <c r="I63" s="3" t="str">
        <f t="shared" si="4"/>
        <v>L</v>
      </c>
    </row>
    <row r="64" spans="1:9" x14ac:dyDescent="0.25">
      <c r="A64" t="s">
        <v>117</v>
      </c>
      <c r="B64" t="s">
        <v>30</v>
      </c>
      <c r="C64" t="s">
        <v>233</v>
      </c>
      <c r="E64" s="1" t="str">
        <f t="shared" si="1"/>
        <v>Away</v>
      </c>
      <c r="F64" s="3">
        <f t="shared" si="2"/>
        <v>10</v>
      </c>
      <c r="G64" s="3">
        <f t="shared" si="3"/>
        <v>1</v>
      </c>
      <c r="H64" s="3">
        <f t="shared" si="0"/>
        <v>11</v>
      </c>
      <c r="I64" s="3" t="str">
        <f t="shared" si="4"/>
        <v>W</v>
      </c>
    </row>
    <row r="65" spans="1:10" x14ac:dyDescent="0.25">
      <c r="A65" t="s">
        <v>119</v>
      </c>
      <c r="B65" t="s">
        <v>23</v>
      </c>
      <c r="C65" t="s">
        <v>50</v>
      </c>
      <c r="E65" s="1" t="str">
        <f t="shared" si="1"/>
        <v>Home</v>
      </c>
      <c r="F65" s="3">
        <f t="shared" si="2"/>
        <v>3</v>
      </c>
      <c r="G65" s="3">
        <f t="shared" si="3"/>
        <v>4</v>
      </c>
      <c r="H65" s="3">
        <f t="shared" si="0"/>
        <v>7</v>
      </c>
      <c r="I65" s="3" t="str">
        <f t="shared" si="4"/>
        <v>L</v>
      </c>
    </row>
    <row r="66" spans="1:10" x14ac:dyDescent="0.25">
      <c r="A66" t="s">
        <v>122</v>
      </c>
      <c r="B66" t="s">
        <v>23</v>
      </c>
      <c r="C66" t="s">
        <v>328</v>
      </c>
      <c r="E66" s="1" t="str">
        <f t="shared" si="1"/>
        <v>Home</v>
      </c>
      <c r="F66" s="3">
        <f t="shared" si="2"/>
        <v>14</v>
      </c>
      <c r="G66" s="3">
        <f t="shared" si="3"/>
        <v>5</v>
      </c>
      <c r="H66" s="3">
        <f t="shared" si="0"/>
        <v>19</v>
      </c>
      <c r="I66" s="3" t="str">
        <f t="shared" si="4"/>
        <v>W</v>
      </c>
    </row>
    <row r="67" spans="1:10" x14ac:dyDescent="0.25">
      <c r="A67" t="s">
        <v>218</v>
      </c>
      <c r="B67" t="s">
        <v>314</v>
      </c>
      <c r="C67" t="s">
        <v>335</v>
      </c>
      <c r="E67" s="1" t="str">
        <f t="shared" si="1"/>
        <v>Home</v>
      </c>
      <c r="F67" s="3">
        <f t="shared" si="2"/>
        <v>6</v>
      </c>
      <c r="G67" s="3">
        <f t="shared" si="3"/>
        <v>4</v>
      </c>
      <c r="H67" s="3">
        <f t="shared" ref="H67:H74" si="6">F67+G67</f>
        <v>10</v>
      </c>
      <c r="I67" s="3" t="str">
        <f t="shared" si="4"/>
        <v>W</v>
      </c>
    </row>
    <row r="68" spans="1:10" x14ac:dyDescent="0.25">
      <c r="A68" t="s">
        <v>123</v>
      </c>
      <c r="B68" t="s">
        <v>314</v>
      </c>
      <c r="C68" t="s">
        <v>116</v>
      </c>
      <c r="E68" s="1" t="str">
        <f t="shared" ref="E68:E74" si="7">IF(LEFT(B68,1)="@","Away","Home")</f>
        <v>Home</v>
      </c>
      <c r="F68" s="3">
        <f t="shared" ref="F68:F74" si="8">_xlfn.NUMBERVALUE(MID(LEFT(C68,FIND("-",C68)-1),FIND(" ",C68)+1,LEN(C68)))</f>
        <v>9</v>
      </c>
      <c r="G68" s="3">
        <f t="shared" ref="G68:G74" si="9">_xlfn.NUMBERVALUE(RIGHT(C68,LEN(C68)-FIND("-",C68)))</f>
        <v>3</v>
      </c>
      <c r="H68" s="3">
        <f t="shared" si="6"/>
        <v>12</v>
      </c>
      <c r="I68" s="3" t="str">
        <f t="shared" ref="I68:I74" si="10">LEFT(C68,1)</f>
        <v>W</v>
      </c>
    </row>
    <row r="69" spans="1:10" x14ac:dyDescent="0.25">
      <c r="A69" t="s">
        <v>126</v>
      </c>
      <c r="B69" t="s">
        <v>52</v>
      </c>
      <c r="C69" t="s">
        <v>363</v>
      </c>
      <c r="E69" s="1" t="str">
        <f t="shared" si="7"/>
        <v>Home</v>
      </c>
      <c r="F69" s="3">
        <f t="shared" si="8"/>
        <v>14</v>
      </c>
      <c r="G69" s="3">
        <f t="shared" si="9"/>
        <v>2</v>
      </c>
      <c r="H69" s="3">
        <f t="shared" si="6"/>
        <v>16</v>
      </c>
      <c r="I69" s="3" t="str">
        <f t="shared" si="10"/>
        <v>W</v>
      </c>
    </row>
    <row r="70" spans="1:10" x14ac:dyDescent="0.25">
      <c r="A70" t="s">
        <v>127</v>
      </c>
      <c r="B70" t="s">
        <v>52</v>
      </c>
      <c r="C70" t="s">
        <v>323</v>
      </c>
      <c r="E70" s="1" t="str">
        <f t="shared" si="7"/>
        <v>Home</v>
      </c>
      <c r="F70" s="3">
        <f t="shared" si="8"/>
        <v>7</v>
      </c>
      <c r="G70" s="3">
        <f t="shared" si="9"/>
        <v>6</v>
      </c>
      <c r="H70" s="3">
        <f t="shared" si="6"/>
        <v>13</v>
      </c>
      <c r="I70" s="3" t="str">
        <f t="shared" si="10"/>
        <v>W</v>
      </c>
    </row>
    <row r="71" spans="1:10" x14ac:dyDescent="0.25">
      <c r="A71" t="s">
        <v>129</v>
      </c>
      <c r="B71" t="s">
        <v>341</v>
      </c>
      <c r="C71" t="s">
        <v>302</v>
      </c>
      <c r="E71" s="1" t="str">
        <f t="shared" si="7"/>
        <v>Away</v>
      </c>
      <c r="F71" s="3">
        <f t="shared" si="8"/>
        <v>2</v>
      </c>
      <c r="G71" s="3">
        <f t="shared" si="9"/>
        <v>9</v>
      </c>
      <c r="H71" s="3">
        <f t="shared" si="6"/>
        <v>11</v>
      </c>
      <c r="I71" s="3" t="str">
        <f t="shared" si="10"/>
        <v>L</v>
      </c>
    </row>
    <row r="72" spans="1:10" x14ac:dyDescent="0.25">
      <c r="A72" t="s">
        <v>131</v>
      </c>
      <c r="B72" t="s">
        <v>341</v>
      </c>
      <c r="C72" t="s">
        <v>244</v>
      </c>
      <c r="E72" s="1" t="str">
        <f t="shared" si="7"/>
        <v>Away</v>
      </c>
      <c r="F72" s="3">
        <f t="shared" si="8"/>
        <v>6</v>
      </c>
      <c r="G72" s="3">
        <f t="shared" si="9"/>
        <v>3</v>
      </c>
      <c r="H72" s="3">
        <f t="shared" si="6"/>
        <v>9</v>
      </c>
      <c r="I72" s="3" t="str">
        <f t="shared" si="10"/>
        <v>W</v>
      </c>
    </row>
    <row r="73" spans="1:10" x14ac:dyDescent="0.25">
      <c r="A73" t="s">
        <v>133</v>
      </c>
      <c r="B73" t="s">
        <v>17</v>
      </c>
      <c r="C73" t="s">
        <v>264</v>
      </c>
      <c r="E73" s="1" t="str">
        <f t="shared" si="7"/>
        <v>Away</v>
      </c>
      <c r="F73" s="3">
        <f t="shared" si="8"/>
        <v>6</v>
      </c>
      <c r="G73" s="3">
        <f t="shared" si="9"/>
        <v>2</v>
      </c>
      <c r="H73" s="3">
        <f t="shared" si="6"/>
        <v>8</v>
      </c>
      <c r="I73" s="3" t="str">
        <f t="shared" si="10"/>
        <v>W</v>
      </c>
    </row>
    <row r="74" spans="1:10" x14ac:dyDescent="0.25">
      <c r="A74" t="s">
        <v>134</v>
      </c>
      <c r="B74" t="s">
        <v>17</v>
      </c>
      <c r="C74" t="s">
        <v>296</v>
      </c>
      <c r="E74" s="1" t="str">
        <f t="shared" si="7"/>
        <v>Away</v>
      </c>
      <c r="F74" s="3">
        <f t="shared" si="8"/>
        <v>3</v>
      </c>
      <c r="G74" s="3">
        <f t="shared" si="9"/>
        <v>10</v>
      </c>
      <c r="H74" s="3">
        <f t="shared" si="6"/>
        <v>13</v>
      </c>
      <c r="I74" s="3" t="str">
        <f t="shared" si="10"/>
        <v>L</v>
      </c>
    </row>
    <row r="76" spans="1:10" x14ac:dyDescent="0.25">
      <c r="A76" t="s">
        <v>1</v>
      </c>
      <c r="B76" t="s">
        <v>2</v>
      </c>
      <c r="C76" t="s">
        <v>469</v>
      </c>
      <c r="D76" t="s">
        <v>135</v>
      </c>
      <c r="E76" t="s">
        <v>136</v>
      </c>
      <c r="F76" t="s">
        <v>137</v>
      </c>
      <c r="G76" t="s">
        <v>138</v>
      </c>
      <c r="H76" t="s">
        <v>3</v>
      </c>
      <c r="I76" t="s">
        <v>494</v>
      </c>
      <c r="J76" t="s">
        <v>495</v>
      </c>
    </row>
    <row r="77" spans="1:10" x14ac:dyDescent="0.25">
      <c r="A77" t="s">
        <v>448</v>
      </c>
      <c r="B77" t="s">
        <v>58</v>
      </c>
      <c r="C77" t="s">
        <v>342</v>
      </c>
      <c r="D77" t="str">
        <f>IF(LEFT(Table9[[#This Row],[Opponent]],1)="@","Away","Home")</f>
        <v>Away</v>
      </c>
      <c r="E77">
        <f>_xlfn.NUMBERVALUE(MID(LEFT(Table9[[#This Row],[Score]],FIND("-",Table9[[#This Row],[Score]])-1),FIND(" ",Table9[[#This Row],[Score]])+1,LEN(Table9[[#This Row],[Score]])))</f>
        <v>5</v>
      </c>
      <c r="F77">
        <f>_xlfn.NUMBERVALUE(RIGHT(Table9[[#This Row],[Score]],LEN(Table9[[#This Row],[Score]])-FIND("-",Table9[[#This Row],[Score]])))</f>
        <v>19</v>
      </c>
      <c r="G77">
        <f t="shared" ref="G77" si="11">E77+F77</f>
        <v>24</v>
      </c>
      <c r="H77" t="str">
        <f>LEFT(Table9[[#This Row],[Score]],1)</f>
        <v>L</v>
      </c>
      <c r="I77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77" s="33">
        <f>VLOOKUP(Table9[[#This Row],[OPP]],Raw!$L$2:$S$23,7,FALSE)-Raw!$U$2</f>
        <v>0.83001328021248344</v>
      </c>
    </row>
    <row r="78" spans="1:10" x14ac:dyDescent="0.25">
      <c r="A78" t="s">
        <v>449</v>
      </c>
      <c r="B78" t="s">
        <v>58</v>
      </c>
      <c r="C78" t="s">
        <v>336</v>
      </c>
      <c r="D78" t="str">
        <f>IF(LEFT(Table9[[#This Row],[Opponent]],1)="@","Away","Home")</f>
        <v>Away</v>
      </c>
      <c r="E78">
        <f>_xlfn.NUMBERVALUE(MID(LEFT(Table9[[#This Row],[Score]],FIND("-",Table9[[#This Row],[Score]])-1),FIND(" ",Table9[[#This Row],[Score]])+1,LEN(Table9[[#This Row],[Score]])))</f>
        <v>8</v>
      </c>
      <c r="F78">
        <f>_xlfn.NUMBERVALUE(RIGHT(Table9[[#This Row],[Score]],LEN(Table9[[#This Row],[Score]])-FIND("-",Table9[[#This Row],[Score]])))</f>
        <v>4</v>
      </c>
      <c r="G78">
        <f t="shared" ref="G78:G99" si="12">E78+F78</f>
        <v>12</v>
      </c>
      <c r="H78" t="str">
        <f>LEFT(Table9[[#This Row],[Score]],1)</f>
        <v>W</v>
      </c>
      <c r="I78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78" s="33">
        <f>VLOOKUP(Table9[[#This Row],[OPP]],Raw!$L$2:$S$23,7,FALSE)-Raw!$U$2</f>
        <v>0.83001328021248344</v>
      </c>
    </row>
    <row r="79" spans="1:10" x14ac:dyDescent="0.25">
      <c r="A79" t="s">
        <v>450</v>
      </c>
      <c r="B79" t="s">
        <v>52</v>
      </c>
      <c r="C79" t="s">
        <v>232</v>
      </c>
      <c r="D79" t="str">
        <f>IF(LEFT(Table9[[#This Row],[Opponent]],1)="@","Away","Home")</f>
        <v>Home</v>
      </c>
      <c r="E79">
        <f>_xlfn.NUMBERVALUE(MID(LEFT(Table9[[#This Row],[Score]],FIND("-",Table9[[#This Row],[Score]])-1),FIND(" ",Table9[[#This Row],[Score]])+1,LEN(Table9[[#This Row],[Score]])))</f>
        <v>8</v>
      </c>
      <c r="F79">
        <f>_xlfn.NUMBERVALUE(RIGHT(Table9[[#This Row],[Score]],LEN(Table9[[#This Row],[Score]])-FIND("-",Table9[[#This Row],[Score]])))</f>
        <v>6</v>
      </c>
      <c r="G79">
        <f t="shared" si="12"/>
        <v>14</v>
      </c>
      <c r="H79" t="str">
        <f>LEFT(Table9[[#This Row],[Score]],1)</f>
        <v>W</v>
      </c>
      <c r="I79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79" s="33">
        <f>VLOOKUP(Table9[[#This Row],[OPP]],Raw!$L$2:$S$23,7,FALSE)-Raw!$U$2</f>
        <v>-3.3200531208499337E-3</v>
      </c>
    </row>
    <row r="80" spans="1:10" x14ac:dyDescent="0.25">
      <c r="A80" t="s">
        <v>451</v>
      </c>
      <c r="B80" t="s">
        <v>52</v>
      </c>
      <c r="C80" t="s">
        <v>292</v>
      </c>
      <c r="D80" t="str">
        <f>IF(LEFT(Table9[[#This Row],[Opponent]],1)="@","Away","Home")</f>
        <v>Home</v>
      </c>
      <c r="E80">
        <f>_xlfn.NUMBERVALUE(MID(LEFT(Table9[[#This Row],[Score]],FIND("-",Table9[[#This Row],[Score]])-1),FIND(" ",Table9[[#This Row],[Score]])+1,LEN(Table9[[#This Row],[Score]])))</f>
        <v>7</v>
      </c>
      <c r="F80">
        <f>_xlfn.NUMBERVALUE(RIGHT(Table9[[#This Row],[Score]],LEN(Table9[[#This Row],[Score]])-FIND("-",Table9[[#This Row],[Score]])))</f>
        <v>8</v>
      </c>
      <c r="G80">
        <f t="shared" si="12"/>
        <v>15</v>
      </c>
      <c r="H80" t="str">
        <f>LEFT(Table9[[#This Row],[Score]],1)</f>
        <v>L</v>
      </c>
      <c r="I80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80" s="33">
        <f>VLOOKUP(Table9[[#This Row],[OPP]],Raw!$L$2:$S$23,7,FALSE)-Raw!$U$2</f>
        <v>-3.3200531208499337E-3</v>
      </c>
    </row>
    <row r="81" spans="1:10" x14ac:dyDescent="0.25">
      <c r="A81" t="s">
        <v>453</v>
      </c>
      <c r="B81" t="s">
        <v>30</v>
      </c>
      <c r="C81" t="s">
        <v>260</v>
      </c>
      <c r="D81" t="str">
        <f>IF(LEFT(Table9[[#This Row],[Opponent]],1)="@","Away","Home")</f>
        <v>Away</v>
      </c>
      <c r="E81">
        <f>_xlfn.NUMBERVALUE(MID(LEFT(Table9[[#This Row],[Score]],FIND("-",Table9[[#This Row],[Score]])-1),FIND(" ",Table9[[#This Row],[Score]])+1,LEN(Table9[[#This Row],[Score]])))</f>
        <v>5</v>
      </c>
      <c r="F81">
        <f>_xlfn.NUMBERVALUE(RIGHT(Table9[[#This Row],[Score]],LEN(Table9[[#This Row],[Score]])-FIND("-",Table9[[#This Row],[Score]])))</f>
        <v>12</v>
      </c>
      <c r="G81">
        <f t="shared" si="12"/>
        <v>17</v>
      </c>
      <c r="H81" t="str">
        <f>LEFT(Table9[[#This Row],[Score]],1)</f>
        <v>L</v>
      </c>
      <c r="I81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81" s="33">
        <f>VLOOKUP(Table9[[#This Row],[OPP]],Raw!$L$2:$S$23,7,FALSE)-Raw!$U$2</f>
        <v>-3.3200531208499337E-3</v>
      </c>
    </row>
    <row r="82" spans="1:10" x14ac:dyDescent="0.25">
      <c r="A82" t="s">
        <v>454</v>
      </c>
      <c r="B82" t="s">
        <v>30</v>
      </c>
      <c r="C82" t="s">
        <v>197</v>
      </c>
      <c r="D82" t="str">
        <f>IF(LEFT(Table9[[#This Row],[Opponent]],1)="@","Away","Home")</f>
        <v>Away</v>
      </c>
      <c r="E82">
        <f>_xlfn.NUMBERVALUE(MID(LEFT(Table9[[#This Row],[Score]],FIND("-",Table9[[#This Row],[Score]])-1),FIND(" ",Table9[[#This Row],[Score]])+1,LEN(Table9[[#This Row],[Score]])))</f>
        <v>0</v>
      </c>
      <c r="F82">
        <f>_xlfn.NUMBERVALUE(RIGHT(Table9[[#This Row],[Score]],LEN(Table9[[#This Row],[Score]])-FIND("-",Table9[[#This Row],[Score]])))</f>
        <v>1</v>
      </c>
      <c r="G82">
        <f t="shared" si="12"/>
        <v>1</v>
      </c>
      <c r="H82" t="str">
        <f>LEFT(Table9[[#This Row],[Score]],1)</f>
        <v>L</v>
      </c>
      <c r="I82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82" s="33">
        <f>VLOOKUP(Table9[[#This Row],[OPP]],Raw!$L$2:$S$23,7,FALSE)-Raw!$U$2</f>
        <v>-3.3200531208499337E-3</v>
      </c>
    </row>
    <row r="83" spans="1:10" x14ac:dyDescent="0.25">
      <c r="A83" t="s">
        <v>455</v>
      </c>
      <c r="B83" t="s">
        <v>20</v>
      </c>
      <c r="C83" t="s">
        <v>270</v>
      </c>
      <c r="D83" t="str">
        <f>IF(LEFT(Table9[[#This Row],[Opponent]],1)="@","Away","Home")</f>
        <v>Home</v>
      </c>
      <c r="E83">
        <f>_xlfn.NUMBERVALUE(MID(LEFT(Table9[[#This Row],[Score]],FIND("-",Table9[[#This Row],[Score]])-1),FIND(" ",Table9[[#This Row],[Score]])+1,LEN(Table9[[#This Row],[Score]])))</f>
        <v>4</v>
      </c>
      <c r="F83">
        <f>_xlfn.NUMBERVALUE(RIGHT(Table9[[#This Row],[Score]],LEN(Table9[[#This Row],[Score]])-FIND("-",Table9[[#This Row],[Score]])))</f>
        <v>3</v>
      </c>
      <c r="G83">
        <f t="shared" si="12"/>
        <v>7</v>
      </c>
      <c r="H83" t="str">
        <f>LEFT(Table9[[#This Row],[Score]],1)</f>
        <v>W</v>
      </c>
      <c r="I83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83" s="33">
        <f>VLOOKUP(Table9[[#This Row],[OPP]],Raw!$L$2:$S$23,7,FALSE)-Raw!$U$2</f>
        <v>0.83001328021248344</v>
      </c>
    </row>
    <row r="84" spans="1:10" x14ac:dyDescent="0.25">
      <c r="A84" t="s">
        <v>456</v>
      </c>
      <c r="B84" t="s">
        <v>20</v>
      </c>
      <c r="C84" t="s">
        <v>31</v>
      </c>
      <c r="D84" t="str">
        <f>IF(LEFT(Table9[[#This Row],[Opponent]],1)="@","Away","Home")</f>
        <v>Home</v>
      </c>
      <c r="E84">
        <f>_xlfn.NUMBERVALUE(MID(LEFT(Table9[[#This Row],[Score]],FIND("-",Table9[[#This Row],[Score]])-1),FIND(" ",Table9[[#This Row],[Score]])+1,LEN(Table9[[#This Row],[Score]])))</f>
        <v>5</v>
      </c>
      <c r="F84">
        <f>_xlfn.NUMBERVALUE(RIGHT(Table9[[#This Row],[Score]],LEN(Table9[[#This Row],[Score]])-FIND("-",Table9[[#This Row],[Score]])))</f>
        <v>9</v>
      </c>
      <c r="G84">
        <f t="shared" si="12"/>
        <v>14</v>
      </c>
      <c r="H84" t="str">
        <f>LEFT(Table9[[#This Row],[Score]],1)</f>
        <v>L</v>
      </c>
      <c r="I84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84" s="33">
        <f>VLOOKUP(Table9[[#This Row],[OPP]],Raw!$L$2:$S$23,7,FALSE)-Raw!$U$2</f>
        <v>0.83001328021248344</v>
      </c>
    </row>
    <row r="85" spans="1:10" x14ac:dyDescent="0.25">
      <c r="A85" t="s">
        <v>457</v>
      </c>
      <c r="B85" t="s">
        <v>341</v>
      </c>
      <c r="C85" t="s">
        <v>207</v>
      </c>
      <c r="D85" t="str">
        <f>IF(LEFT(Table9[[#This Row],[Opponent]],1)="@","Away","Home")</f>
        <v>Away</v>
      </c>
      <c r="E85">
        <f>_xlfn.NUMBERVALUE(MID(LEFT(Table9[[#This Row],[Score]],FIND("-",Table9[[#This Row],[Score]])-1),FIND(" ",Table9[[#This Row],[Score]])+1,LEN(Table9[[#This Row],[Score]])))</f>
        <v>3</v>
      </c>
      <c r="F85">
        <f>_xlfn.NUMBERVALUE(RIGHT(Table9[[#This Row],[Score]],LEN(Table9[[#This Row],[Score]])-FIND("-",Table9[[#This Row],[Score]])))</f>
        <v>8</v>
      </c>
      <c r="G85">
        <f t="shared" si="12"/>
        <v>11</v>
      </c>
      <c r="H85" t="str">
        <f>LEFT(Table9[[#This Row],[Score]],1)</f>
        <v>L</v>
      </c>
      <c r="I85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85" s="33">
        <f>VLOOKUP(Table9[[#This Row],[OPP]],Raw!$L$2:$S$23,7,FALSE)-Raw!$U$2</f>
        <v>-0.61443116423196109</v>
      </c>
    </row>
    <row r="86" spans="1:10" x14ac:dyDescent="0.25">
      <c r="A86" t="s">
        <v>457</v>
      </c>
      <c r="B86" t="s">
        <v>341</v>
      </c>
      <c r="C86" t="s">
        <v>28</v>
      </c>
      <c r="D86" t="str">
        <f>IF(LEFT(Table9[[#This Row],[Opponent]],1)="@","Away","Home")</f>
        <v>Away</v>
      </c>
      <c r="E86">
        <f>_xlfn.NUMBERVALUE(MID(LEFT(Table9[[#This Row],[Score]],FIND("-",Table9[[#This Row],[Score]])-1),FIND(" ",Table9[[#This Row],[Score]])+1,LEN(Table9[[#This Row],[Score]])))</f>
        <v>4</v>
      </c>
      <c r="F86">
        <f>_xlfn.NUMBERVALUE(RIGHT(Table9[[#This Row],[Score]],LEN(Table9[[#This Row],[Score]])-FIND("-",Table9[[#This Row],[Score]])))</f>
        <v>2</v>
      </c>
      <c r="G86">
        <f t="shared" si="12"/>
        <v>6</v>
      </c>
      <c r="H86" t="str">
        <f>LEFT(Table9[[#This Row],[Score]],1)</f>
        <v>W</v>
      </c>
      <c r="I86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86" s="33">
        <f>VLOOKUP(Table9[[#This Row],[OPP]],Raw!$L$2:$S$23,7,FALSE)-Raw!$U$2</f>
        <v>-0.61443116423196109</v>
      </c>
    </row>
    <row r="87" spans="1:10" x14ac:dyDescent="0.25">
      <c r="A87" t="s">
        <v>458</v>
      </c>
      <c r="B87" t="s">
        <v>40</v>
      </c>
      <c r="C87" t="s">
        <v>50</v>
      </c>
      <c r="D87" t="str">
        <f>IF(LEFT(Table9[[#This Row],[Opponent]],1)="@","Away","Home")</f>
        <v>Away</v>
      </c>
      <c r="E87">
        <f>_xlfn.NUMBERVALUE(MID(LEFT(Table9[[#This Row],[Score]],FIND("-",Table9[[#This Row],[Score]])-1),FIND(" ",Table9[[#This Row],[Score]])+1,LEN(Table9[[#This Row],[Score]])))</f>
        <v>3</v>
      </c>
      <c r="F87">
        <f>_xlfn.NUMBERVALUE(RIGHT(Table9[[#This Row],[Score]],LEN(Table9[[#This Row],[Score]])-FIND("-",Table9[[#This Row],[Score]])))</f>
        <v>4</v>
      </c>
      <c r="G87">
        <f t="shared" si="12"/>
        <v>7</v>
      </c>
      <c r="H87" t="str">
        <f>LEFT(Table9[[#This Row],[Score]],1)</f>
        <v>L</v>
      </c>
      <c r="I87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87" s="33">
        <f>VLOOKUP(Table9[[#This Row],[OPP]],Raw!$L$2:$S$23,7,FALSE)-Raw!$U$2</f>
        <v>1.4411243913235945</v>
      </c>
    </row>
    <row r="88" spans="1:10" x14ac:dyDescent="0.25">
      <c r="A88" t="s">
        <v>459</v>
      </c>
      <c r="B88" t="s">
        <v>40</v>
      </c>
      <c r="C88" t="s">
        <v>269</v>
      </c>
      <c r="D88" t="str">
        <f>IF(LEFT(Table9[[#This Row],[Opponent]],1)="@","Away","Home")</f>
        <v>Away</v>
      </c>
      <c r="E88">
        <f>_xlfn.NUMBERVALUE(MID(LEFT(Table9[[#This Row],[Score]],FIND("-",Table9[[#This Row],[Score]])-1),FIND(" ",Table9[[#This Row],[Score]])+1,LEN(Table9[[#This Row],[Score]])))</f>
        <v>2</v>
      </c>
      <c r="F88">
        <f>_xlfn.NUMBERVALUE(RIGHT(Table9[[#This Row],[Score]],LEN(Table9[[#This Row],[Score]])-FIND("-",Table9[[#This Row],[Score]])))</f>
        <v>3</v>
      </c>
      <c r="G88">
        <f t="shared" si="12"/>
        <v>5</v>
      </c>
      <c r="H88" t="str">
        <f>LEFT(Table9[[#This Row],[Score]],1)</f>
        <v>L</v>
      </c>
      <c r="I88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88" s="33">
        <f>VLOOKUP(Table9[[#This Row],[OPP]],Raw!$L$2:$S$23,7,FALSE)-Raw!$U$2</f>
        <v>1.4411243913235945</v>
      </c>
    </row>
    <row r="89" spans="1:10" x14ac:dyDescent="0.25">
      <c r="A89" t="s">
        <v>460</v>
      </c>
      <c r="B89" t="s">
        <v>321</v>
      </c>
      <c r="C89" t="s">
        <v>89</v>
      </c>
      <c r="D89" t="str">
        <f>IF(LEFT(Table9[[#This Row],[Opponent]],1)="@","Away","Home")</f>
        <v>Home</v>
      </c>
      <c r="E89">
        <f>_xlfn.NUMBERVALUE(MID(LEFT(Table9[[#This Row],[Score]],FIND("-",Table9[[#This Row],[Score]])-1),FIND(" ",Table9[[#This Row],[Score]])+1,LEN(Table9[[#This Row],[Score]])))</f>
        <v>1</v>
      </c>
      <c r="F89">
        <f>_xlfn.NUMBERVALUE(RIGHT(Table9[[#This Row],[Score]],LEN(Table9[[#This Row],[Score]])-FIND("-",Table9[[#This Row],[Score]])))</f>
        <v>6</v>
      </c>
      <c r="G89">
        <f t="shared" si="12"/>
        <v>7</v>
      </c>
      <c r="H89" t="str">
        <f>LEFT(Table9[[#This Row],[Score]],1)</f>
        <v>L</v>
      </c>
      <c r="I89" s="17" t="str">
        <f>VLOOKUP(IF(Table9[[#This Row],[At]]="Home",Table9[[#This Row],[Opponent]],RIGHT(Table9[[#This Row],[Opponent]],LEN(Table9[[#This Row],[Opponent]])-1)),CHOOSE({1,2},[1]StandingsRAW!$J$1:$J$22,[1]StandingsRAW!$L$1:$L$22),2,FALSE)</f>
        <v>MAD</v>
      </c>
      <c r="J89" s="33">
        <f>VLOOKUP(Table9[[#This Row],[OPP]],Raw!$L$2:$S$23,7,FALSE)-Raw!$U$2</f>
        <v>-1.5172089420097388</v>
      </c>
    </row>
    <row r="90" spans="1:10" x14ac:dyDescent="0.25">
      <c r="A90" t="s">
        <v>471</v>
      </c>
      <c r="B90" t="s">
        <v>321</v>
      </c>
      <c r="C90" t="s">
        <v>386</v>
      </c>
      <c r="D90" t="str">
        <f>IF(LEFT(Table9[[#This Row],[Opponent]],1)="@","Away","Home")</f>
        <v>Home</v>
      </c>
      <c r="E90">
        <f>_xlfn.NUMBERVALUE(MID(LEFT(Table9[[#This Row],[Score]],FIND("-",Table9[[#This Row],[Score]])-1),FIND(" ",Table9[[#This Row],[Score]])+1,LEN(Table9[[#This Row],[Score]])))</f>
        <v>8</v>
      </c>
      <c r="F90">
        <f>_xlfn.NUMBERVALUE(RIGHT(Table9[[#This Row],[Score]],LEN(Table9[[#This Row],[Score]])-FIND("-",Table9[[#This Row],[Score]])))</f>
        <v>12</v>
      </c>
      <c r="G90">
        <f t="shared" si="12"/>
        <v>20</v>
      </c>
      <c r="H90" t="str">
        <f>LEFT(Table9[[#This Row],[Score]],1)</f>
        <v>L</v>
      </c>
      <c r="I90" s="17" t="str">
        <f>VLOOKUP(IF(Table9[[#This Row],[At]]="Home",Table9[[#This Row],[Opponent]],RIGHT(Table9[[#This Row],[Opponent]],LEN(Table9[[#This Row],[Opponent]])-1)),CHOOSE({1,2},[1]StandingsRAW!$J$1:$J$22,[1]StandingsRAW!$L$1:$L$22),2,FALSE)</f>
        <v>MAD</v>
      </c>
      <c r="J90" s="33">
        <f>VLOOKUP(Table9[[#This Row],[OPP]],Raw!$L$2:$S$23,7,FALSE)-Raw!$U$2</f>
        <v>-1.5172089420097388</v>
      </c>
    </row>
    <row r="91" spans="1:10" x14ac:dyDescent="0.25">
      <c r="A91" t="s">
        <v>461</v>
      </c>
      <c r="B91" t="s">
        <v>17</v>
      </c>
      <c r="C91" t="s">
        <v>244</v>
      </c>
      <c r="D91" t="str">
        <f>IF(LEFT(Table9[[#This Row],[Opponent]],1)="@","Away","Home")</f>
        <v>Away</v>
      </c>
      <c r="E91">
        <f>_xlfn.NUMBERVALUE(MID(LEFT(Table9[[#This Row],[Score]],FIND("-",Table9[[#This Row],[Score]])-1),FIND(" ",Table9[[#This Row],[Score]])+1,LEN(Table9[[#This Row],[Score]])))</f>
        <v>6</v>
      </c>
      <c r="F91">
        <f>_xlfn.NUMBERVALUE(RIGHT(Table9[[#This Row],[Score]],LEN(Table9[[#This Row],[Score]])-FIND("-",Table9[[#This Row],[Score]])))</f>
        <v>3</v>
      </c>
      <c r="G91">
        <f t="shared" si="12"/>
        <v>9</v>
      </c>
      <c r="H91" t="str">
        <f>LEFT(Table9[[#This Row],[Score]],1)</f>
        <v>W</v>
      </c>
      <c r="I91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91" s="33">
        <f>VLOOKUP(Table9[[#This Row],[OPP]],Raw!$L$2:$S$23,7,FALSE)-Raw!$U$2</f>
        <v>0.53189121448478383</v>
      </c>
    </row>
    <row r="92" spans="1:10" x14ac:dyDescent="0.25">
      <c r="A92" t="s">
        <v>462</v>
      </c>
      <c r="B92" t="s">
        <v>17</v>
      </c>
      <c r="C92" t="s">
        <v>6</v>
      </c>
      <c r="D92" t="str">
        <f>IF(LEFT(Table9[[#This Row],[Opponent]],1)="@","Away","Home")</f>
        <v>Away</v>
      </c>
      <c r="E92">
        <f>_xlfn.NUMBERVALUE(MID(LEFT(Table9[[#This Row],[Score]],FIND("-",Table9[[#This Row],[Score]])-1),FIND(" ",Table9[[#This Row],[Score]])+1,LEN(Table9[[#This Row],[Score]])))</f>
        <v>2</v>
      </c>
      <c r="F92">
        <f>_xlfn.NUMBERVALUE(RIGHT(Table9[[#This Row],[Score]],LEN(Table9[[#This Row],[Score]])-FIND("-",Table9[[#This Row],[Score]])))</f>
        <v>6</v>
      </c>
      <c r="G92">
        <f t="shared" si="12"/>
        <v>8</v>
      </c>
      <c r="H92" t="str">
        <f>LEFT(Table9[[#This Row],[Score]],1)</f>
        <v>L</v>
      </c>
      <c r="I92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92" s="33">
        <f>VLOOKUP(Table9[[#This Row],[OPP]],Raw!$L$2:$S$23,7,FALSE)-Raw!$U$2</f>
        <v>0.53189121448478383</v>
      </c>
    </row>
    <row r="93" spans="1:10" x14ac:dyDescent="0.25">
      <c r="A93" t="s">
        <v>462</v>
      </c>
      <c r="B93" t="s">
        <v>17</v>
      </c>
      <c r="C93" t="s">
        <v>355</v>
      </c>
      <c r="D93" t="str">
        <f>IF(LEFT(Table9[[#This Row],[Opponent]],1)="@","Away","Home")</f>
        <v>Away</v>
      </c>
      <c r="E93">
        <f>_xlfn.NUMBERVALUE(MID(LEFT(Table9[[#This Row],[Score]],FIND("-",Table9[[#This Row],[Score]])-1),FIND(" ",Table9[[#This Row],[Score]])+1,LEN(Table9[[#This Row],[Score]])))</f>
        <v>5</v>
      </c>
      <c r="F93">
        <f>_xlfn.NUMBERVALUE(RIGHT(Table9[[#This Row],[Score]],LEN(Table9[[#This Row],[Score]])-FIND("-",Table9[[#This Row],[Score]])))</f>
        <v>15</v>
      </c>
      <c r="G93">
        <f t="shared" si="12"/>
        <v>20</v>
      </c>
      <c r="H93" t="str">
        <f>LEFT(Table9[[#This Row],[Score]],1)</f>
        <v>L</v>
      </c>
      <c r="I93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93" s="33">
        <f>VLOOKUP(Table9[[#This Row],[OPP]],Raw!$L$2:$S$23,7,FALSE)-Raw!$U$2</f>
        <v>0.53189121448478383</v>
      </c>
    </row>
    <row r="94" spans="1:10" x14ac:dyDescent="0.25">
      <c r="A94" t="s">
        <v>463</v>
      </c>
      <c r="B94" t="s">
        <v>17</v>
      </c>
      <c r="C94" t="s">
        <v>355</v>
      </c>
      <c r="D94" t="str">
        <f>IF(LEFT(Table9[[#This Row],[Opponent]],1)="@","Away","Home")</f>
        <v>Away</v>
      </c>
      <c r="E94">
        <f>_xlfn.NUMBERVALUE(MID(LEFT(Table9[[#This Row],[Score]],FIND("-",Table9[[#This Row],[Score]])-1),FIND(" ",Table9[[#This Row],[Score]])+1,LEN(Table9[[#This Row],[Score]])))</f>
        <v>5</v>
      </c>
      <c r="F94">
        <f>_xlfn.NUMBERVALUE(RIGHT(Table9[[#This Row],[Score]],LEN(Table9[[#This Row],[Score]])-FIND("-",Table9[[#This Row],[Score]])))</f>
        <v>15</v>
      </c>
      <c r="G94">
        <f t="shared" si="12"/>
        <v>20</v>
      </c>
      <c r="H94" t="str">
        <f>LEFT(Table9[[#This Row],[Score]],1)</f>
        <v>L</v>
      </c>
      <c r="I94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94" s="33">
        <f>VLOOKUP(Table9[[#This Row],[OPP]],Raw!$L$2:$S$23,7,FALSE)-Raw!$U$2</f>
        <v>0.53189121448478383</v>
      </c>
    </row>
    <row r="95" spans="1:10" x14ac:dyDescent="0.25">
      <c r="A95" t="s">
        <v>464</v>
      </c>
      <c r="B95" t="s">
        <v>52</v>
      </c>
      <c r="C95" t="s">
        <v>393</v>
      </c>
      <c r="D95" t="str">
        <f>IF(LEFT(Table9[[#This Row],[Opponent]],1)="@","Away","Home")</f>
        <v>Home</v>
      </c>
      <c r="E95">
        <f>_xlfn.NUMBERVALUE(MID(LEFT(Table9[[#This Row],[Score]],FIND("-",Table9[[#This Row],[Score]])-1),FIND(" ",Table9[[#This Row],[Score]])+1,LEN(Table9[[#This Row],[Score]])))</f>
        <v>3</v>
      </c>
      <c r="F95">
        <f>_xlfn.NUMBERVALUE(RIGHT(Table9[[#This Row],[Score]],LEN(Table9[[#This Row],[Score]])-FIND("-",Table9[[#This Row],[Score]])))</f>
        <v>11</v>
      </c>
      <c r="G95">
        <f t="shared" si="12"/>
        <v>14</v>
      </c>
      <c r="H95" t="str">
        <f>LEFT(Table9[[#This Row],[Score]],1)</f>
        <v>L</v>
      </c>
      <c r="I95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95" s="33">
        <f>VLOOKUP(Table9[[#This Row],[OPP]],Raw!$L$2:$S$23,7,FALSE)-Raw!$U$2</f>
        <v>-3.3200531208499337E-3</v>
      </c>
    </row>
    <row r="96" spans="1:10" x14ac:dyDescent="0.25">
      <c r="A96" t="s">
        <v>465</v>
      </c>
      <c r="B96" t="s">
        <v>52</v>
      </c>
      <c r="C96" t="s">
        <v>226</v>
      </c>
      <c r="D96" t="str">
        <f>IF(LEFT(Table9[[#This Row],[Opponent]],1)="@","Away","Home")</f>
        <v>Home</v>
      </c>
      <c r="E96">
        <f>_xlfn.NUMBERVALUE(MID(LEFT(Table9[[#This Row],[Score]],FIND("-",Table9[[#This Row],[Score]])-1),FIND(" ",Table9[[#This Row],[Score]])+1,LEN(Table9[[#This Row],[Score]])))</f>
        <v>3</v>
      </c>
      <c r="F96">
        <f>_xlfn.NUMBERVALUE(RIGHT(Table9[[#This Row],[Score]],LEN(Table9[[#This Row],[Score]])-FIND("-",Table9[[#This Row],[Score]])))</f>
        <v>2</v>
      </c>
      <c r="G96">
        <f t="shared" si="12"/>
        <v>5</v>
      </c>
      <c r="H96" t="str">
        <f>LEFT(Table9[[#This Row],[Score]],1)</f>
        <v>W</v>
      </c>
      <c r="I96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96" s="33">
        <f>VLOOKUP(Table9[[#This Row],[OPP]],Raw!$L$2:$S$23,7,FALSE)-Raw!$U$2</f>
        <v>-3.3200531208499337E-3</v>
      </c>
    </row>
    <row r="97" spans="1:10" x14ac:dyDescent="0.25">
      <c r="A97" t="s">
        <v>466</v>
      </c>
      <c r="B97" t="s">
        <v>341</v>
      </c>
      <c r="C97" t="s">
        <v>31</v>
      </c>
      <c r="D97" t="str">
        <f>IF(LEFT(Table9[[#This Row],[Opponent]],1)="@","Away","Home")</f>
        <v>Away</v>
      </c>
      <c r="E97">
        <f>_xlfn.NUMBERVALUE(MID(LEFT(Table9[[#This Row],[Score]],FIND("-",Table9[[#This Row],[Score]])-1),FIND(" ",Table9[[#This Row],[Score]])+1,LEN(Table9[[#This Row],[Score]])))</f>
        <v>5</v>
      </c>
      <c r="F97">
        <f>_xlfn.NUMBERVALUE(RIGHT(Table9[[#This Row],[Score]],LEN(Table9[[#This Row],[Score]])-FIND("-",Table9[[#This Row],[Score]])))</f>
        <v>9</v>
      </c>
      <c r="G97">
        <f t="shared" si="12"/>
        <v>14</v>
      </c>
      <c r="H97" t="str">
        <f>LEFT(Table9[[#This Row],[Score]],1)</f>
        <v>L</v>
      </c>
      <c r="I97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97" s="33">
        <f>VLOOKUP(Table9[[#This Row],[OPP]],Raw!$L$2:$S$23,7,FALSE)-Raw!$U$2</f>
        <v>-0.61443116423196109</v>
      </c>
    </row>
    <row r="98" spans="1:10" x14ac:dyDescent="0.25">
      <c r="A98" t="s">
        <v>467</v>
      </c>
      <c r="B98" t="s">
        <v>341</v>
      </c>
      <c r="C98" t="s">
        <v>323</v>
      </c>
      <c r="D98" t="str">
        <f>IF(LEFT(Table9[[#This Row],[Opponent]],1)="@","Away","Home")</f>
        <v>Away</v>
      </c>
      <c r="E98">
        <f>_xlfn.NUMBERVALUE(MID(LEFT(Table9[[#This Row],[Score]],FIND("-",Table9[[#This Row],[Score]])-1),FIND(" ",Table9[[#This Row],[Score]])+1,LEN(Table9[[#This Row],[Score]])))</f>
        <v>7</v>
      </c>
      <c r="F98">
        <f>_xlfn.NUMBERVALUE(RIGHT(Table9[[#This Row],[Score]],LEN(Table9[[#This Row],[Score]])-FIND("-",Table9[[#This Row],[Score]])))</f>
        <v>6</v>
      </c>
      <c r="G98">
        <f t="shared" si="12"/>
        <v>13</v>
      </c>
      <c r="H98" t="str">
        <f>LEFT(Table9[[#This Row],[Score]],1)</f>
        <v>W</v>
      </c>
      <c r="I98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98" s="33">
        <f>VLOOKUP(Table9[[#This Row],[OPP]],Raw!$L$2:$S$23,7,FALSE)-Raw!$U$2</f>
        <v>-0.61443116423196109</v>
      </c>
    </row>
    <row r="99" spans="1:10" x14ac:dyDescent="0.25">
      <c r="A99" t="s">
        <v>468</v>
      </c>
      <c r="B99" t="s">
        <v>20</v>
      </c>
      <c r="C99" t="s">
        <v>199</v>
      </c>
      <c r="D99" t="str">
        <f>IF(LEFT(Table9[[#This Row],[Opponent]],1)="@","Away","Home")</f>
        <v>Home</v>
      </c>
      <c r="E99">
        <f>_xlfn.NUMBERVALUE(MID(LEFT(Table9[[#This Row],[Score]],FIND("-",Table9[[#This Row],[Score]])-1),FIND(" ",Table9[[#This Row],[Score]])+1,LEN(Table9[[#This Row],[Score]])))</f>
        <v>3</v>
      </c>
      <c r="F99">
        <f>_xlfn.NUMBERVALUE(RIGHT(Table9[[#This Row],[Score]],LEN(Table9[[#This Row],[Score]])-FIND("-",Table9[[#This Row],[Score]])))</f>
        <v>7</v>
      </c>
      <c r="G99">
        <f t="shared" si="12"/>
        <v>10</v>
      </c>
      <c r="H99" t="str">
        <f>LEFT(Table9[[#This Row],[Score]],1)</f>
        <v>L</v>
      </c>
      <c r="I99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99" s="33">
        <f>VLOOKUP(Table9[[#This Row],[OPP]],Raw!$L$2:$S$23,7,FALSE)-Raw!$U$2</f>
        <v>0.83001328021248344</v>
      </c>
    </row>
    <row r="100" spans="1:10" x14ac:dyDescent="0.25">
      <c r="A100" t="s">
        <v>498</v>
      </c>
      <c r="B100" t="s">
        <v>20</v>
      </c>
      <c r="C100" t="s">
        <v>50</v>
      </c>
      <c r="D100" t="str">
        <f>IF(LEFT(Table9[[#This Row],[Opponent]],1)="@","Away","Home")</f>
        <v>Home</v>
      </c>
      <c r="E100">
        <f>_xlfn.NUMBERVALUE(MID(LEFT(Table9[[#This Row],[Score]],FIND("-",Table9[[#This Row],[Score]])-1),FIND(" ",Table9[[#This Row],[Score]])+1,LEN(Table9[[#This Row],[Score]])))</f>
        <v>3</v>
      </c>
      <c r="F100">
        <f>_xlfn.NUMBERVALUE(RIGHT(Table9[[#This Row],[Score]],LEN(Table9[[#This Row],[Score]])-FIND("-",Table9[[#This Row],[Score]])))</f>
        <v>4</v>
      </c>
      <c r="G100">
        <f t="shared" ref="G100:G102" si="13">E100+F100</f>
        <v>7</v>
      </c>
      <c r="H100" t="str">
        <f>LEFT(Table9[[#This Row],[Score]],1)</f>
        <v>L</v>
      </c>
      <c r="I100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100" s="33">
        <f>VLOOKUP(Table9[[#This Row],[OPP]],Raw!$L$2:$S$23,7,FALSE)-Raw!$U$2</f>
        <v>0.83001328021248344</v>
      </c>
    </row>
    <row r="101" spans="1:10" x14ac:dyDescent="0.25">
      <c r="A101" t="s">
        <v>499</v>
      </c>
      <c r="B101" t="s">
        <v>23</v>
      </c>
      <c r="C101" t="s">
        <v>199</v>
      </c>
      <c r="D101" t="str">
        <f>IF(LEFT(Table9[[#This Row],[Opponent]],1)="@","Away","Home")</f>
        <v>Home</v>
      </c>
      <c r="E101">
        <f>_xlfn.NUMBERVALUE(MID(LEFT(Table9[[#This Row],[Score]],FIND("-",Table9[[#This Row],[Score]])-1),FIND(" ",Table9[[#This Row],[Score]])+1,LEN(Table9[[#This Row],[Score]])))</f>
        <v>3</v>
      </c>
      <c r="F101">
        <f>_xlfn.NUMBERVALUE(RIGHT(Table9[[#This Row],[Score]],LEN(Table9[[#This Row],[Score]])-FIND("-",Table9[[#This Row],[Score]])))</f>
        <v>7</v>
      </c>
      <c r="G101">
        <f t="shared" si="13"/>
        <v>10</v>
      </c>
      <c r="H101" t="str">
        <f>LEFT(Table9[[#This Row],[Score]],1)</f>
        <v>L</v>
      </c>
      <c r="I101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101" s="33">
        <f>VLOOKUP(Table9[[#This Row],[OPP]],Raw!$L$2:$S$23,7,FALSE)-Raw!$U$2</f>
        <v>1.4411243913235945</v>
      </c>
    </row>
    <row r="102" spans="1:10" x14ac:dyDescent="0.25">
      <c r="A102" t="s">
        <v>500</v>
      </c>
      <c r="B102" t="s">
        <v>23</v>
      </c>
      <c r="C102" t="s">
        <v>202</v>
      </c>
      <c r="D102" t="str">
        <f>IF(LEFT(Table9[[#This Row],[Opponent]],1)="@","Away","Home")</f>
        <v>Home</v>
      </c>
      <c r="E102">
        <f>_xlfn.NUMBERVALUE(MID(LEFT(Table9[[#This Row],[Score]],FIND("-",Table9[[#This Row],[Score]])-1),FIND(" ",Table9[[#This Row],[Score]])+1,LEN(Table9[[#This Row],[Score]])))</f>
        <v>4</v>
      </c>
      <c r="F102">
        <f>_xlfn.NUMBERVALUE(RIGHT(Table9[[#This Row],[Score]],LEN(Table9[[#This Row],[Score]])-FIND("-",Table9[[#This Row],[Score]])))</f>
        <v>11</v>
      </c>
      <c r="G102">
        <f t="shared" si="13"/>
        <v>15</v>
      </c>
      <c r="H102" t="str">
        <f>LEFT(Table9[[#This Row],[Score]],1)</f>
        <v>L</v>
      </c>
      <c r="I102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102" s="33">
        <f>VLOOKUP(Table9[[#This Row],[OPP]],Raw!$L$2:$S$23,7,FALSE)-Raw!$U$2</f>
        <v>1.4411243913235945</v>
      </c>
    </row>
    <row r="103" spans="1:10" x14ac:dyDescent="0.25">
      <c r="A103" t="s">
        <v>501</v>
      </c>
      <c r="B103" t="s">
        <v>319</v>
      </c>
      <c r="C103" t="s">
        <v>199</v>
      </c>
      <c r="D103" t="str">
        <f>IF(LEFT(Table9[[#This Row],[Opponent]],1)="@","Away","Home")</f>
        <v>Away</v>
      </c>
      <c r="E103">
        <f>_xlfn.NUMBERVALUE(MID(LEFT(Table9[[#This Row],[Score]],FIND("-",Table9[[#This Row],[Score]])-1),FIND(" ",Table9[[#This Row],[Score]])+1,LEN(Table9[[#This Row],[Score]])))</f>
        <v>3</v>
      </c>
      <c r="F103">
        <f>_xlfn.NUMBERVALUE(RIGHT(Table9[[#This Row],[Score]],LEN(Table9[[#This Row],[Score]])-FIND("-",Table9[[#This Row],[Score]])))</f>
        <v>7</v>
      </c>
      <c r="G103">
        <f t="shared" ref="G103:G104" si="14">E103+F103</f>
        <v>10</v>
      </c>
      <c r="H103" t="str">
        <f>LEFT(Table9[[#This Row],[Score]],1)</f>
        <v>L</v>
      </c>
      <c r="I103" s="17" t="str">
        <f>VLOOKUP(IF(Table9[[#This Row],[At]]="Home",Table9[[#This Row],[Opponent]],RIGHT(Table9[[#This Row],[Opponent]],LEN(Table9[[#This Row],[Opponent]])-1)),CHOOSE({1,2},[1]StandingsRAW!$J$1:$J$22,[1]StandingsRAW!$L$1:$L$22),2,FALSE)</f>
        <v>MAD</v>
      </c>
      <c r="J103" s="33">
        <f>VLOOKUP(Table9[[#This Row],[OPP]],Raw!$L$2:$S$23,7,FALSE)-Raw!$U$2</f>
        <v>-1.5172089420097388</v>
      </c>
    </row>
    <row r="104" spans="1:10" x14ac:dyDescent="0.25">
      <c r="A104" t="s">
        <v>502</v>
      </c>
      <c r="B104" t="s">
        <v>319</v>
      </c>
      <c r="C104" t="s">
        <v>85</v>
      </c>
      <c r="D104" t="str">
        <f>IF(LEFT(Table9[[#This Row],[Opponent]],1)="@","Away","Home")</f>
        <v>Away</v>
      </c>
      <c r="E104">
        <f>_xlfn.NUMBERVALUE(MID(LEFT(Table9[[#This Row],[Score]],FIND("-",Table9[[#This Row],[Score]])-1),FIND(" ",Table9[[#This Row],[Score]])+1,LEN(Table9[[#This Row],[Score]])))</f>
        <v>5</v>
      </c>
      <c r="F104">
        <f>_xlfn.NUMBERVALUE(RIGHT(Table9[[#This Row],[Score]],LEN(Table9[[#This Row],[Score]])-FIND("-",Table9[[#This Row],[Score]])))</f>
        <v>3</v>
      </c>
      <c r="G104">
        <f t="shared" si="14"/>
        <v>8</v>
      </c>
      <c r="H104" t="str">
        <f>LEFT(Table9[[#This Row],[Score]],1)</f>
        <v>W</v>
      </c>
      <c r="I104" s="17" t="str">
        <f>VLOOKUP(IF(Table9[[#This Row],[At]]="Home",Table9[[#This Row],[Opponent]],RIGHT(Table9[[#This Row],[Opponent]],LEN(Table9[[#This Row],[Opponent]])-1)),CHOOSE({1,2},[1]StandingsRAW!$J$1:$J$22,[1]StandingsRAW!$L$1:$L$22),2,FALSE)</f>
        <v>MAD</v>
      </c>
      <c r="J104" s="33">
        <f>VLOOKUP(Table9[[#This Row],[OPP]],Raw!$L$2:$S$23,7,FALSE)-Raw!$U$2</f>
        <v>-1.5172089420097388</v>
      </c>
    </row>
    <row r="105" spans="1:10" x14ac:dyDescent="0.25">
      <c r="A105" t="s">
        <v>505</v>
      </c>
      <c r="B105" t="s">
        <v>5</v>
      </c>
      <c r="C105" t="s">
        <v>374</v>
      </c>
      <c r="D105" t="str">
        <f>IF(LEFT(Table9[[#This Row],[Opponent]],1)="@","Away","Home")</f>
        <v>Home</v>
      </c>
      <c r="E105">
        <f>_xlfn.NUMBERVALUE(MID(LEFT(Table9[[#This Row],[Score]],FIND("-",Table9[[#This Row],[Score]])-1),FIND(" ",Table9[[#This Row],[Score]])+1,LEN(Table9[[#This Row],[Score]])))</f>
        <v>6</v>
      </c>
      <c r="F105">
        <f>_xlfn.NUMBERVALUE(RIGHT(Table9[[#This Row],[Score]],LEN(Table9[[#This Row],[Score]])-FIND("-",Table9[[#This Row],[Score]])))</f>
        <v>9</v>
      </c>
      <c r="G105">
        <f>E105+F105</f>
        <v>15</v>
      </c>
      <c r="H105" t="str">
        <f>LEFT(Table9[[#This Row],[Score]],1)</f>
        <v>L</v>
      </c>
      <c r="I105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105" s="33">
        <f>VLOOKUP(Table9[[#This Row],[OPP]],Raw!$L$2:$S$23,7,FALSE)-Raw!$U$2</f>
        <v>0.53189121448478383</v>
      </c>
    </row>
    <row r="106" spans="1:10" x14ac:dyDescent="0.25">
      <c r="A106" t="s">
        <v>508</v>
      </c>
      <c r="B106" t="s">
        <v>5</v>
      </c>
      <c r="C106" t="s">
        <v>90</v>
      </c>
      <c r="D106" t="str">
        <f>IF(LEFT(Table9[[#This Row],[Opponent]],1)="@","Away","Home")</f>
        <v>Home</v>
      </c>
      <c r="E106">
        <f>_xlfn.NUMBERVALUE(MID(LEFT(Table9[[#This Row],[Score]],FIND("-",Table9[[#This Row],[Score]])-1),FIND(" ",Table9[[#This Row],[Score]])+1,LEN(Table9[[#This Row],[Score]])))</f>
        <v>0</v>
      </c>
      <c r="F106">
        <f>_xlfn.NUMBERVALUE(RIGHT(Table9[[#This Row],[Score]],LEN(Table9[[#This Row],[Score]])-FIND("-",Table9[[#This Row],[Score]])))</f>
        <v>8</v>
      </c>
      <c r="G106">
        <f t="shared" ref="G106:G108" si="15">E106+F106</f>
        <v>8</v>
      </c>
      <c r="H106" t="str">
        <f>LEFT(Table9[[#This Row],[Score]],1)</f>
        <v>L</v>
      </c>
      <c r="I106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106" s="33">
        <f>VLOOKUP(Table9[[#This Row],[OPP]],Raw!$L$2:$S$23,7,FALSE)-Raw!$U$2</f>
        <v>0.53189121448478383</v>
      </c>
    </row>
    <row r="107" spans="1:10" x14ac:dyDescent="0.25">
      <c r="A107" t="s">
        <v>509</v>
      </c>
      <c r="B107" t="s">
        <v>103</v>
      </c>
      <c r="C107" t="s">
        <v>28</v>
      </c>
      <c r="D107" t="str">
        <f>IF(LEFT(Table9[[#This Row],[Opponent]],1)="@","Away","Home")</f>
        <v>Home</v>
      </c>
      <c r="E107">
        <f>_xlfn.NUMBERVALUE(MID(LEFT(Table9[[#This Row],[Score]],FIND("-",Table9[[#This Row],[Score]])-1),FIND(" ",Table9[[#This Row],[Score]])+1,LEN(Table9[[#This Row],[Score]])))</f>
        <v>4</v>
      </c>
      <c r="F107">
        <f>_xlfn.NUMBERVALUE(RIGHT(Table9[[#This Row],[Score]],LEN(Table9[[#This Row],[Score]])-FIND("-",Table9[[#This Row],[Score]])))</f>
        <v>2</v>
      </c>
      <c r="G107">
        <f t="shared" si="15"/>
        <v>6</v>
      </c>
      <c r="H107" t="str">
        <f>LEFT(Table9[[#This Row],[Score]],1)</f>
        <v>W</v>
      </c>
      <c r="I107" s="17" t="str">
        <f>VLOOKUP(IF(Table9[[#This Row],[At]]="Home",Table9[[#This Row],[Opponent]],RIGHT(Table9[[#This Row],[Opponent]],LEN(Table9[[#This Row],[Opponent]])-1)),CHOOSE({1,2},[1]StandingsRAW!$J$1:$J$22,[1]StandingsRAW!$L$1:$L$22),2,FALSE)</f>
        <v>WIR</v>
      </c>
      <c r="J107" s="33">
        <f>VLOOKUP(Table9[[#This Row],[OPP]],Raw!$L$2:$S$23,7,FALSE)-Raw!$U$2</f>
        <v>2.7744577246569277</v>
      </c>
    </row>
    <row r="108" spans="1:10" x14ac:dyDescent="0.25">
      <c r="A108" t="s">
        <v>510</v>
      </c>
      <c r="B108" t="s">
        <v>103</v>
      </c>
      <c r="C108" t="s">
        <v>251</v>
      </c>
      <c r="D108" t="str">
        <f>IF(LEFT(Table9[[#This Row],[Opponent]],1)="@","Away","Home")</f>
        <v>Home</v>
      </c>
      <c r="E108">
        <f>_xlfn.NUMBERVALUE(MID(LEFT(Table9[[#This Row],[Score]],FIND("-",Table9[[#This Row],[Score]])-1),FIND(" ",Table9[[#This Row],[Score]])+1,LEN(Table9[[#This Row],[Score]])))</f>
        <v>2</v>
      </c>
      <c r="F108">
        <f>_xlfn.NUMBERVALUE(RIGHT(Table9[[#This Row],[Score]],LEN(Table9[[#This Row],[Score]])-FIND("-",Table9[[#This Row],[Score]])))</f>
        <v>7</v>
      </c>
      <c r="G108">
        <f t="shared" si="15"/>
        <v>9</v>
      </c>
      <c r="H108" t="str">
        <f>LEFT(Table9[[#This Row],[Score]],1)</f>
        <v>L</v>
      </c>
      <c r="I108" s="17" t="str">
        <f>VLOOKUP(IF(Table9[[#This Row],[At]]="Home",Table9[[#This Row],[Opponent]],RIGHT(Table9[[#This Row],[Opponent]],LEN(Table9[[#This Row],[Opponent]])-1)),CHOOSE({1,2},[1]StandingsRAW!$J$1:$J$22,[1]StandingsRAW!$L$1:$L$22),2,FALSE)</f>
        <v>WIR</v>
      </c>
      <c r="J108" s="33">
        <f>VLOOKUP(Table9[[#This Row],[OPP]],Raw!$L$2:$S$23,7,FALSE)-Raw!$U$2</f>
        <v>2.7744577246569277</v>
      </c>
    </row>
    <row r="109" spans="1:10" x14ac:dyDescent="0.25">
      <c r="A109" t="s">
        <v>515</v>
      </c>
      <c r="B109" t="s">
        <v>332</v>
      </c>
      <c r="C109" t="s">
        <v>207</v>
      </c>
      <c r="D109" t="str">
        <f>IF(LEFT(Table9[[#This Row],[Opponent]],1)="@","Away","Home")</f>
        <v>Away</v>
      </c>
      <c r="E109">
        <f>_xlfn.NUMBERVALUE(MID(LEFT(Table9[[#This Row],[Score]],FIND("-",Table9[[#This Row],[Score]])-1),FIND(" ",Table9[[#This Row],[Score]])+1,LEN(Table9[[#This Row],[Score]])))</f>
        <v>3</v>
      </c>
      <c r="F109">
        <f>_xlfn.NUMBERVALUE(RIGHT(Table9[[#This Row],[Score]],LEN(Table9[[#This Row],[Score]])-FIND("-",Table9[[#This Row],[Score]])))</f>
        <v>8</v>
      </c>
      <c r="G109">
        <f>E109+F109</f>
        <v>11</v>
      </c>
      <c r="H109" t="str">
        <f>LEFT(Table9[[#This Row],[Score]],1)</f>
        <v>L</v>
      </c>
      <c r="I109" s="17" t="str">
        <f>VLOOKUP(IF(Table9[[#This Row],[At]]="Home",Table9[[#This Row],[Opponent]],RIGHT(Table9[[#This Row],[Opponent]],LEN(Table9[[#This Row],[Opponent]])-1)),CHOOSE({1,2},[1]StandingsRAW!$J$1:$J$22,[1]StandingsRAW!$L$1:$L$22),2,FALSE)</f>
        <v>FDL</v>
      </c>
      <c r="J109" s="33">
        <f>VLOOKUP(Table9[[#This Row],[OPP]],Raw!$L$2:$S$23,7,FALSE)-Raw!$U$2</f>
        <v>0.7572433271608402</v>
      </c>
    </row>
    <row r="110" spans="1:10" x14ac:dyDescent="0.25">
      <c r="A110" t="s">
        <v>518</v>
      </c>
      <c r="B110" t="s">
        <v>332</v>
      </c>
      <c r="C110" t="s">
        <v>330</v>
      </c>
      <c r="D110" t="str">
        <f>IF(LEFT(Table9[[#This Row],[Opponent]],1)="@","Away","Home")</f>
        <v>Away</v>
      </c>
      <c r="E110">
        <f>_xlfn.NUMBERVALUE(MID(LEFT(Table9[[#This Row],[Score]],FIND("-",Table9[[#This Row],[Score]])-1),FIND(" ",Table9[[#This Row],[Score]])+1,LEN(Table9[[#This Row],[Score]])))</f>
        <v>1</v>
      </c>
      <c r="F110">
        <f>_xlfn.NUMBERVALUE(RIGHT(Table9[[#This Row],[Score]],LEN(Table9[[#This Row],[Score]])-FIND("-",Table9[[#This Row],[Score]])))</f>
        <v>11</v>
      </c>
      <c r="G110">
        <f t="shared" ref="G110:G113" si="16">E110+F110</f>
        <v>12</v>
      </c>
      <c r="H110" t="str">
        <f>LEFT(Table9[[#This Row],[Score]],1)</f>
        <v>L</v>
      </c>
      <c r="I110" s="17" t="str">
        <f>VLOOKUP(IF(Table9[[#This Row],[At]]="Home",Table9[[#This Row],[Opponent]],RIGHT(Table9[[#This Row],[Opponent]],LEN(Table9[[#This Row],[Opponent]])-1)),CHOOSE({1,2},[1]StandingsRAW!$J$1:$J$22,[1]StandingsRAW!$L$1:$L$22),2,FALSE)</f>
        <v>FDL</v>
      </c>
      <c r="J110" s="33">
        <f>VLOOKUP(Table9[[#This Row],[OPP]],Raw!$L$2:$S$23,7,FALSE)-Raw!$U$2</f>
        <v>0.7572433271608402</v>
      </c>
    </row>
    <row r="111" spans="1:10" x14ac:dyDescent="0.25">
      <c r="A111" t="s">
        <v>519</v>
      </c>
      <c r="B111" t="s">
        <v>343</v>
      </c>
      <c r="C111" t="s">
        <v>320</v>
      </c>
      <c r="D111" t="str">
        <f>IF(LEFT(Table9[[#This Row],[Opponent]],1)="@","Away","Home")</f>
        <v>Home</v>
      </c>
      <c r="E111">
        <f>_xlfn.NUMBERVALUE(MID(LEFT(Table9[[#This Row],[Score]],FIND("-",Table9[[#This Row],[Score]])-1),FIND(" ",Table9[[#This Row],[Score]])+1,LEN(Table9[[#This Row],[Score]])))</f>
        <v>5</v>
      </c>
      <c r="F111">
        <f>_xlfn.NUMBERVALUE(RIGHT(Table9[[#This Row],[Score]],LEN(Table9[[#This Row],[Score]])-FIND("-",Table9[[#This Row],[Score]])))</f>
        <v>1</v>
      </c>
      <c r="G111">
        <f t="shared" si="16"/>
        <v>6</v>
      </c>
      <c r="H111" t="str">
        <f>LEFT(Table9[[#This Row],[Score]],1)</f>
        <v>W</v>
      </c>
      <c r="I111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111" s="33">
        <f>VLOOKUP(Table9[[#This Row],[OPP]],Raw!$L$2:$S$23,7,FALSE)-Raw!$U$2</f>
        <v>-0.61443116423196109</v>
      </c>
    </row>
    <row r="112" spans="1:10" x14ac:dyDescent="0.25">
      <c r="A112" t="s">
        <v>520</v>
      </c>
      <c r="B112" t="s">
        <v>343</v>
      </c>
      <c r="C112" t="s">
        <v>199</v>
      </c>
      <c r="D112" t="str">
        <f>IF(LEFT(Table9[[#This Row],[Opponent]],1)="@","Away","Home")</f>
        <v>Home</v>
      </c>
      <c r="E112">
        <f>_xlfn.NUMBERVALUE(MID(LEFT(Table9[[#This Row],[Score]],FIND("-",Table9[[#This Row],[Score]])-1),FIND(" ",Table9[[#This Row],[Score]])+1,LEN(Table9[[#This Row],[Score]])))</f>
        <v>3</v>
      </c>
      <c r="F112">
        <f>_xlfn.NUMBERVALUE(RIGHT(Table9[[#This Row],[Score]],LEN(Table9[[#This Row],[Score]])-FIND("-",Table9[[#This Row],[Score]])))</f>
        <v>7</v>
      </c>
      <c r="G112">
        <f t="shared" si="16"/>
        <v>10</v>
      </c>
      <c r="H112" t="str">
        <f>LEFT(Table9[[#This Row],[Score]],1)</f>
        <v>L</v>
      </c>
      <c r="I112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112" s="33">
        <f>VLOOKUP(Table9[[#This Row],[OPP]],Raw!$L$2:$S$23,7,FALSE)-Raw!$U$2</f>
        <v>-0.61443116423196109</v>
      </c>
    </row>
    <row r="113" spans="1:10" x14ac:dyDescent="0.25">
      <c r="A113" t="s">
        <v>521</v>
      </c>
      <c r="B113" t="s">
        <v>333</v>
      </c>
      <c r="C113" t="s">
        <v>212</v>
      </c>
      <c r="D113" t="str">
        <f>IF(LEFT(Table9[[#This Row],[Opponent]],1)="@","Away","Home")</f>
        <v>Home</v>
      </c>
      <c r="E113">
        <f>_xlfn.NUMBERVALUE(MID(LEFT(Table9[[#This Row],[Score]],FIND("-",Table9[[#This Row],[Score]])-1),FIND(" ",Table9[[#This Row],[Score]])+1,LEN(Table9[[#This Row],[Score]])))</f>
        <v>6</v>
      </c>
      <c r="F113">
        <f>_xlfn.NUMBERVALUE(RIGHT(Table9[[#This Row],[Score]],LEN(Table9[[#This Row],[Score]])-FIND("-",Table9[[#This Row],[Score]])))</f>
        <v>10</v>
      </c>
      <c r="G113">
        <f t="shared" si="16"/>
        <v>16</v>
      </c>
      <c r="H113" t="str">
        <f>LEFT(Table9[[#This Row],[Score]],1)</f>
        <v>L</v>
      </c>
      <c r="I113" s="17" t="str">
        <f>VLOOKUP(IF(Table9[[#This Row],[At]]="Home",Table9[[#This Row],[Opponent]],RIGHT(Table9[[#This Row],[Opponent]],LEN(Table9[[#This Row],[Opponent]])-1)),CHOOSE({1,2},[1]StandingsRAW!$J$1:$J$22,[1]StandingsRAW!$L$1:$L$22),2,FALSE)</f>
        <v>FDL</v>
      </c>
      <c r="J113" s="33">
        <f>VLOOKUP(Table9[[#This Row],[OPP]],Raw!$L$2:$S$23,7,FALSE)-Raw!$U$2</f>
        <v>0.7572433271608402</v>
      </c>
    </row>
    <row r="114" spans="1:10" x14ac:dyDescent="0.25">
      <c r="A114" t="s">
        <v>524</v>
      </c>
      <c r="B114" t="s">
        <v>333</v>
      </c>
      <c r="C114" t="s">
        <v>375</v>
      </c>
      <c r="D114" t="str">
        <f>IF(LEFT(Table9[[#This Row],[Opponent]],1)="@","Away","Home")</f>
        <v>Home</v>
      </c>
      <c r="E114">
        <f>_xlfn.NUMBERVALUE(MID(LEFT(Table9[[#This Row],[Score]],FIND("-",Table9[[#This Row],[Score]])-1),FIND(" ",Table9[[#This Row],[Score]])+1,LEN(Table9[[#This Row],[Score]])))</f>
        <v>6</v>
      </c>
      <c r="F114">
        <f>_xlfn.NUMBERVALUE(RIGHT(Table9[[#This Row],[Score]],LEN(Table9[[#This Row],[Score]])-FIND("-",Table9[[#This Row],[Score]])))</f>
        <v>13</v>
      </c>
      <c r="G114">
        <f t="shared" ref="G114:G120" si="17">E114+F114</f>
        <v>19</v>
      </c>
      <c r="H114" t="str">
        <f>LEFT(Table9[[#This Row],[Score]],1)</f>
        <v>L</v>
      </c>
      <c r="I114" s="17" t="str">
        <f>VLOOKUP(IF(Table9[[#This Row],[At]]="Home",Table9[[#This Row],[Opponent]],RIGHT(Table9[[#This Row],[Opponent]],LEN(Table9[[#This Row],[Opponent]])-1)),CHOOSE({1,2},[1]StandingsRAW!$J$1:$J$22,[1]StandingsRAW!$L$1:$L$22),2,FALSE)</f>
        <v>FDL</v>
      </c>
      <c r="J114" s="33">
        <f>VLOOKUP(Table9[[#This Row],[OPP]],Raw!$L$2:$S$23,7,FALSE)-Raw!$U$2</f>
        <v>0.7572433271608402</v>
      </c>
    </row>
    <row r="115" spans="1:10" x14ac:dyDescent="0.25">
      <c r="A115" t="s">
        <v>525</v>
      </c>
      <c r="B115" t="s">
        <v>23</v>
      </c>
      <c r="C115" t="s">
        <v>113</v>
      </c>
      <c r="D115" t="str">
        <f>IF(LEFT(Table9[[#This Row],[Opponent]],1)="@","Away","Home")</f>
        <v>Home</v>
      </c>
      <c r="E115">
        <f>_xlfn.NUMBERVALUE(MID(LEFT(Table9[[#This Row],[Score]],FIND("-",Table9[[#This Row],[Score]])-1),FIND(" ",Table9[[#This Row],[Score]])+1,LEN(Table9[[#This Row],[Score]])))</f>
        <v>7</v>
      </c>
      <c r="F115">
        <f>_xlfn.NUMBERVALUE(RIGHT(Table9[[#This Row],[Score]],LEN(Table9[[#This Row],[Score]])-FIND("-",Table9[[#This Row],[Score]])))</f>
        <v>9</v>
      </c>
      <c r="G115">
        <f t="shared" si="17"/>
        <v>16</v>
      </c>
      <c r="H115" t="str">
        <f>LEFT(Table9[[#This Row],[Score]],1)</f>
        <v>L</v>
      </c>
      <c r="I115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115" s="33">
        <f>VLOOKUP(Table9[[#This Row],[OPP]],Raw!$L$2:$S$23,7,FALSE)-Raw!$U$2</f>
        <v>1.4411243913235945</v>
      </c>
    </row>
    <row r="116" spans="1:10" x14ac:dyDescent="0.25">
      <c r="A116" t="s">
        <v>526</v>
      </c>
      <c r="B116" t="s">
        <v>23</v>
      </c>
      <c r="C116" t="s">
        <v>121</v>
      </c>
      <c r="D116" t="str">
        <f>IF(LEFT(Table9[[#This Row],[Opponent]],1)="@","Away","Home")</f>
        <v>Home</v>
      </c>
      <c r="E116">
        <f>_xlfn.NUMBERVALUE(MID(LEFT(Table9[[#This Row],[Score]],FIND("-",Table9[[#This Row],[Score]])-1),FIND(" ",Table9[[#This Row],[Score]])+1,LEN(Table9[[#This Row],[Score]])))</f>
        <v>2</v>
      </c>
      <c r="F116">
        <f>_xlfn.NUMBERVALUE(RIGHT(Table9[[#This Row],[Score]],LEN(Table9[[#This Row],[Score]])-FIND("-",Table9[[#This Row],[Score]])))</f>
        <v>11</v>
      </c>
      <c r="G116">
        <f t="shared" si="17"/>
        <v>13</v>
      </c>
      <c r="H116" t="str">
        <f>LEFT(Table9[[#This Row],[Score]],1)</f>
        <v>L</v>
      </c>
      <c r="I116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116" s="33">
        <f>VLOOKUP(Table9[[#This Row],[OPP]],Raw!$L$2:$S$23,7,FALSE)-Raw!$U$2</f>
        <v>1.4411243913235945</v>
      </c>
    </row>
    <row r="117" spans="1:10" x14ac:dyDescent="0.25">
      <c r="A117" t="s">
        <v>527</v>
      </c>
      <c r="B117" t="s">
        <v>40</v>
      </c>
      <c r="C117" t="s">
        <v>36</v>
      </c>
      <c r="D117" t="str">
        <f>IF(LEFT(Table9[[#This Row],[Opponent]],1)="@","Away","Home")</f>
        <v>Away</v>
      </c>
      <c r="E117">
        <f>_xlfn.NUMBERVALUE(MID(LEFT(Table9[[#This Row],[Score]],FIND("-",Table9[[#This Row],[Score]])-1),FIND(" ",Table9[[#This Row],[Score]])+1,LEN(Table9[[#This Row],[Score]])))</f>
        <v>1</v>
      </c>
      <c r="F117">
        <f>_xlfn.NUMBERVALUE(RIGHT(Table9[[#This Row],[Score]],LEN(Table9[[#This Row],[Score]])-FIND("-",Table9[[#This Row],[Score]])))</f>
        <v>5</v>
      </c>
      <c r="G117">
        <f t="shared" si="17"/>
        <v>6</v>
      </c>
      <c r="H117" t="str">
        <f>LEFT(Table9[[#This Row],[Score]],1)</f>
        <v>L</v>
      </c>
      <c r="I117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117" s="33">
        <f>VLOOKUP(Table9[[#This Row],[OPP]],Raw!$L$2:$S$23,7,FALSE)-Raw!$U$2</f>
        <v>1.4411243913235945</v>
      </c>
    </row>
    <row r="118" spans="1:10" x14ac:dyDescent="0.25">
      <c r="A118" t="s">
        <v>528</v>
      </c>
      <c r="B118" t="s">
        <v>40</v>
      </c>
      <c r="C118" t="s">
        <v>267</v>
      </c>
      <c r="D118" t="str">
        <f>IF(LEFT(Table9[[#This Row],[Opponent]],1)="@","Away","Home")</f>
        <v>Away</v>
      </c>
      <c r="E118">
        <f>_xlfn.NUMBERVALUE(MID(LEFT(Table9[[#This Row],[Score]],FIND("-",Table9[[#This Row],[Score]])-1),FIND(" ",Table9[[#This Row],[Score]])+1,LEN(Table9[[#This Row],[Score]])))</f>
        <v>8</v>
      </c>
      <c r="F118">
        <f>_xlfn.NUMBERVALUE(RIGHT(Table9[[#This Row],[Score]],LEN(Table9[[#This Row],[Score]])-FIND("-",Table9[[#This Row],[Score]])))</f>
        <v>7</v>
      </c>
      <c r="G118">
        <f t="shared" si="17"/>
        <v>15</v>
      </c>
      <c r="H118" t="str">
        <f>LEFT(Table9[[#This Row],[Score]],1)</f>
        <v>W</v>
      </c>
      <c r="I118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118" s="33">
        <f>VLOOKUP(Table9[[#This Row],[OPP]],Raw!$L$2:$S$23,7,FALSE)-Raw!$U$2</f>
        <v>1.4411243913235945</v>
      </c>
    </row>
    <row r="119" spans="1:10" x14ac:dyDescent="0.25">
      <c r="A119" t="s">
        <v>529</v>
      </c>
      <c r="B119" t="s">
        <v>58</v>
      </c>
      <c r="C119" t="s">
        <v>374</v>
      </c>
      <c r="D119" t="str">
        <f>IF(LEFT(Table9[[#This Row],[Opponent]],1)="@","Away","Home")</f>
        <v>Away</v>
      </c>
      <c r="E119">
        <f>_xlfn.NUMBERVALUE(MID(LEFT(Table9[[#This Row],[Score]],FIND("-",Table9[[#This Row],[Score]])-1),FIND(" ",Table9[[#This Row],[Score]])+1,LEN(Table9[[#This Row],[Score]])))</f>
        <v>6</v>
      </c>
      <c r="F119">
        <f>_xlfn.NUMBERVALUE(RIGHT(Table9[[#This Row],[Score]],LEN(Table9[[#This Row],[Score]])-FIND("-",Table9[[#This Row],[Score]])))</f>
        <v>9</v>
      </c>
      <c r="G119">
        <f t="shared" si="17"/>
        <v>15</v>
      </c>
      <c r="H119" t="str">
        <f>LEFT(Table9[[#This Row],[Score]],1)</f>
        <v>L</v>
      </c>
      <c r="I119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119" s="33">
        <f>VLOOKUP(Table9[[#This Row],[OPP]],Raw!$L$2:$S$23,7,FALSE)-Raw!$U$2</f>
        <v>0.83001328021248344</v>
      </c>
    </row>
    <row r="120" spans="1:10" x14ac:dyDescent="0.25">
      <c r="A120" t="s">
        <v>530</v>
      </c>
      <c r="B120" t="s">
        <v>58</v>
      </c>
      <c r="C120" t="s">
        <v>407</v>
      </c>
      <c r="D120" t="str">
        <f>IF(LEFT(Table9[[#This Row],[Opponent]],1)="@","Away","Home")</f>
        <v>Away</v>
      </c>
      <c r="E120">
        <f>_xlfn.NUMBERVALUE(MID(LEFT(Table9[[#This Row],[Score]],FIND("-",Table9[[#This Row],[Score]])-1),FIND(" ",Table9[[#This Row],[Score]])+1,LEN(Table9[[#This Row],[Score]])))</f>
        <v>10</v>
      </c>
      <c r="F120">
        <f>_xlfn.NUMBERVALUE(RIGHT(Table9[[#This Row],[Score]],LEN(Table9[[#This Row],[Score]])-FIND("-",Table9[[#This Row],[Score]])))</f>
        <v>11</v>
      </c>
      <c r="G120">
        <f t="shared" si="17"/>
        <v>21</v>
      </c>
      <c r="H120" t="str">
        <f>LEFT(Table9[[#This Row],[Score]],1)</f>
        <v>L</v>
      </c>
      <c r="I120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120" s="33">
        <f>VLOOKUP(Table9[[#This Row],[OPP]],Raw!$L$2:$S$23,7,FALSE)-Raw!$U$2</f>
        <v>0.83001328021248344</v>
      </c>
    </row>
    <row r="121" spans="1:10" x14ac:dyDescent="0.25">
      <c r="A121" t="s">
        <v>541</v>
      </c>
      <c r="B121" t="s">
        <v>341</v>
      </c>
      <c r="C121" t="s">
        <v>360</v>
      </c>
      <c r="D121" t="str">
        <f>IF(LEFT(Table9[[#This Row],[Opponent]],1)="@","Away","Home")</f>
        <v>Away</v>
      </c>
      <c r="E121">
        <f>_xlfn.NUMBERVALUE(MID(LEFT(Table9[[#This Row],[Score]],FIND("-",Table9[[#This Row],[Score]])-1),FIND(" ",Table9[[#This Row],[Score]])+1,LEN(Table9[[#This Row],[Score]])))</f>
        <v>0</v>
      </c>
      <c r="F121">
        <f>_xlfn.NUMBERVALUE(RIGHT(Table9[[#This Row],[Score]],LEN(Table9[[#This Row],[Score]])-FIND("-",Table9[[#This Row],[Score]])))</f>
        <v>10</v>
      </c>
      <c r="G121">
        <f>E121+F121</f>
        <v>10</v>
      </c>
      <c r="H121" t="str">
        <f>LEFT(Table9[[#This Row],[Score]],1)</f>
        <v>L</v>
      </c>
      <c r="I121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121" s="33">
        <f>VLOOKUP(Table9[[#This Row],[OPP]],Raw!$L$2:$S$23,7,FALSE)-Raw!$U$2</f>
        <v>-0.61443116423196109</v>
      </c>
    </row>
    <row r="122" spans="1:10" x14ac:dyDescent="0.25">
      <c r="A122" t="s">
        <v>543</v>
      </c>
      <c r="B122" t="s">
        <v>52</v>
      </c>
      <c r="C122" t="s">
        <v>297</v>
      </c>
      <c r="D122" t="str">
        <f>IF(LEFT(Table9[[#This Row],[Opponent]],1)="@","Away","Home")</f>
        <v>Home</v>
      </c>
      <c r="E122">
        <f>_xlfn.NUMBERVALUE(MID(LEFT(Table9[[#This Row],[Score]],FIND("-",Table9[[#This Row],[Score]])-1),FIND(" ",Table9[[#This Row],[Score]])+1,LEN(Table9[[#This Row],[Score]])))</f>
        <v>2</v>
      </c>
      <c r="F122">
        <f>_xlfn.NUMBERVALUE(RIGHT(Table9[[#This Row],[Score]],LEN(Table9[[#This Row],[Score]])-FIND("-",Table9[[#This Row],[Score]])))</f>
        <v>10</v>
      </c>
      <c r="G122">
        <f>E122+F122</f>
        <v>12</v>
      </c>
      <c r="H122" t="str">
        <f>LEFT(Table9[[#This Row],[Score]],1)</f>
        <v>L</v>
      </c>
      <c r="I122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122" s="33">
        <f>VLOOKUP(Table9[[#This Row],[OPP]],Raw!$L$2:$S$23,7,FALSE)-Raw!$U$2</f>
        <v>-3.3200531208499337E-3</v>
      </c>
    </row>
    <row r="123" spans="1:10" x14ac:dyDescent="0.25">
      <c r="A123" t="s">
        <v>546</v>
      </c>
      <c r="B123" t="s">
        <v>52</v>
      </c>
      <c r="C123" t="s">
        <v>254</v>
      </c>
      <c r="D123" t="str">
        <f>IF(LEFT(Table9[[#This Row],[Opponent]],1)="@","Away","Home")</f>
        <v>Home</v>
      </c>
      <c r="E123">
        <f>_xlfn.NUMBERVALUE(MID(LEFT(Table9[[#This Row],[Score]],FIND("-",Table9[[#This Row],[Score]])-1),FIND(" ",Table9[[#This Row],[Score]])+1,LEN(Table9[[#This Row],[Score]])))</f>
        <v>5</v>
      </c>
      <c r="F123">
        <f>_xlfn.NUMBERVALUE(RIGHT(Table9[[#This Row],[Score]],LEN(Table9[[#This Row],[Score]])-FIND("-",Table9[[#This Row],[Score]])))</f>
        <v>4</v>
      </c>
      <c r="G123">
        <f>E123+F123</f>
        <v>9</v>
      </c>
      <c r="H123" t="str">
        <f>LEFT(Table9[[#This Row],[Score]],1)</f>
        <v>W</v>
      </c>
      <c r="I123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123" s="33">
        <f>VLOOKUP(Table9[[#This Row],[OPP]],Raw!$L$2:$S$23,7,FALSE)-Raw!$U$2</f>
        <v>-3.3200531208499337E-3</v>
      </c>
    </row>
    <row r="124" spans="1:10" x14ac:dyDescent="0.25">
      <c r="A124" t="s">
        <v>549</v>
      </c>
      <c r="B124" t="s">
        <v>58</v>
      </c>
      <c r="C124" t="s">
        <v>260</v>
      </c>
      <c r="D124" t="str">
        <f>IF(LEFT(Table9[[#This Row],[Opponent]],1)="@","Away","Home")</f>
        <v>Away</v>
      </c>
      <c r="E124">
        <f>_xlfn.NUMBERVALUE(MID(LEFT(Table9[[#This Row],[Score]],FIND("-",Table9[[#This Row],[Score]])-1),FIND(" ",Table9[[#This Row],[Score]])+1,LEN(Table9[[#This Row],[Score]])))</f>
        <v>5</v>
      </c>
      <c r="F124">
        <f>_xlfn.NUMBERVALUE(RIGHT(Table9[[#This Row],[Score]],LEN(Table9[[#This Row],[Score]])-FIND("-",Table9[[#This Row],[Score]])))</f>
        <v>12</v>
      </c>
      <c r="G124">
        <f t="shared" ref="G124:G127" si="18">E124+F124</f>
        <v>17</v>
      </c>
      <c r="H124" t="str">
        <f>LEFT(Table9[[#This Row],[Score]],1)</f>
        <v>L</v>
      </c>
      <c r="I124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124" s="33">
        <f>VLOOKUP(Table9[[#This Row],[OPP]],Raw!$L$2:$S$23,7,FALSE)-Raw!$U$2</f>
        <v>0.83001328021248344</v>
      </c>
    </row>
    <row r="125" spans="1:10" x14ac:dyDescent="0.25">
      <c r="A125" t="s">
        <v>550</v>
      </c>
      <c r="B125" t="s">
        <v>58</v>
      </c>
      <c r="C125" t="s">
        <v>237</v>
      </c>
      <c r="D125" t="str">
        <f>IF(LEFT(Table9[[#This Row],[Opponent]],1)="@","Away","Home")</f>
        <v>Away</v>
      </c>
      <c r="E125">
        <f>_xlfn.NUMBERVALUE(MID(LEFT(Table9[[#This Row],[Score]],FIND("-",Table9[[#This Row],[Score]])-1),FIND(" ",Table9[[#This Row],[Score]])+1,LEN(Table9[[#This Row],[Score]])))</f>
        <v>6</v>
      </c>
      <c r="F125">
        <f>_xlfn.NUMBERVALUE(RIGHT(Table9[[#This Row],[Score]],LEN(Table9[[#This Row],[Score]])-FIND("-",Table9[[#This Row],[Score]])))</f>
        <v>11</v>
      </c>
      <c r="G125">
        <f t="shared" si="18"/>
        <v>17</v>
      </c>
      <c r="H125" t="str">
        <f>LEFT(Table9[[#This Row],[Score]],1)</f>
        <v>L</v>
      </c>
      <c r="I125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125" s="33">
        <f>VLOOKUP(Table9[[#This Row],[OPP]],Raw!$L$2:$S$23,7,FALSE)-Raw!$U$2</f>
        <v>0.83001328021248344</v>
      </c>
    </row>
    <row r="126" spans="1:10" x14ac:dyDescent="0.25">
      <c r="A126" t="s">
        <v>551</v>
      </c>
      <c r="B126" t="s">
        <v>30</v>
      </c>
      <c r="C126" t="s">
        <v>329</v>
      </c>
      <c r="D126" t="str">
        <f>IF(LEFT(Table9[[#This Row],[Opponent]],1)="@","Away","Home")</f>
        <v>Away</v>
      </c>
      <c r="E126">
        <f>_xlfn.NUMBERVALUE(MID(LEFT(Table9[[#This Row],[Score]],FIND("-",Table9[[#This Row],[Score]])-1),FIND(" ",Table9[[#This Row],[Score]])+1,LEN(Table9[[#This Row],[Score]])))</f>
        <v>5</v>
      </c>
      <c r="F126">
        <f>_xlfn.NUMBERVALUE(RIGHT(Table9[[#This Row],[Score]],LEN(Table9[[#This Row],[Score]])-FIND("-",Table9[[#This Row],[Score]])))</f>
        <v>2</v>
      </c>
      <c r="G126">
        <f t="shared" si="18"/>
        <v>7</v>
      </c>
      <c r="H126" t="str">
        <f>LEFT(Table9[[#This Row],[Score]],1)</f>
        <v>W</v>
      </c>
      <c r="I126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126" s="33">
        <f>VLOOKUP(Table9[[#This Row],[OPP]],Raw!$L$2:$S$23,7,FALSE)-Raw!$U$2</f>
        <v>-3.3200531208499337E-3</v>
      </c>
    </row>
    <row r="127" spans="1:10" x14ac:dyDescent="0.25">
      <c r="A127" t="s">
        <v>552</v>
      </c>
      <c r="B127" t="s">
        <v>30</v>
      </c>
      <c r="C127" t="s">
        <v>216</v>
      </c>
      <c r="D127" t="str">
        <f>IF(LEFT(Table9[[#This Row],[Opponent]],1)="@","Away","Home")</f>
        <v>Away</v>
      </c>
      <c r="E127">
        <f>_xlfn.NUMBERVALUE(MID(LEFT(Table9[[#This Row],[Score]],FIND("-",Table9[[#This Row],[Score]])-1),FIND(" ",Table9[[#This Row],[Score]])+1,LEN(Table9[[#This Row],[Score]])))</f>
        <v>13</v>
      </c>
      <c r="F127">
        <f>_xlfn.NUMBERVALUE(RIGHT(Table9[[#This Row],[Score]],LEN(Table9[[#This Row],[Score]])-FIND("-",Table9[[#This Row],[Score]])))</f>
        <v>9</v>
      </c>
      <c r="G127">
        <f t="shared" si="18"/>
        <v>22</v>
      </c>
      <c r="H127" t="str">
        <f>LEFT(Table9[[#This Row],[Score]],1)</f>
        <v>W</v>
      </c>
      <c r="I127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127" s="33">
        <f>VLOOKUP(Table9[[#This Row],[OPP]],Raw!$L$2:$S$23,7,FALSE)-Raw!$U$2</f>
        <v>-3.3200531208499337E-3</v>
      </c>
    </row>
    <row r="128" spans="1:10" x14ac:dyDescent="0.25">
      <c r="A128" t="s">
        <v>555</v>
      </c>
      <c r="B128" t="s">
        <v>23</v>
      </c>
      <c r="C128" t="s">
        <v>65</v>
      </c>
      <c r="D128" t="str">
        <f>IF(LEFT(Table9[[#This Row],[Opponent]],1)="@","Away","Home")</f>
        <v>Home</v>
      </c>
      <c r="E128">
        <f>_xlfn.NUMBERVALUE(MID(LEFT(Table9[[#This Row],[Score]],FIND("-",Table9[[#This Row],[Score]])-1),FIND(" ",Table9[[#This Row],[Score]])+1,LEN(Table9[[#This Row],[Score]])))</f>
        <v>1</v>
      </c>
      <c r="F128">
        <f>_xlfn.NUMBERVALUE(RIGHT(Table9[[#This Row],[Score]],LEN(Table9[[#This Row],[Score]])-FIND("-",Table9[[#This Row],[Score]])))</f>
        <v>4</v>
      </c>
      <c r="G128">
        <f>E128+F128</f>
        <v>5</v>
      </c>
      <c r="H128" t="str">
        <f>LEFT(Table9[[#This Row],[Score]],1)</f>
        <v>L</v>
      </c>
      <c r="I128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128" s="33">
        <f>VLOOKUP(Table9[[#This Row],[OPP]],Raw!$L$2:$S$23,7,FALSE)-Raw!$U$2</f>
        <v>1.4411243913235945</v>
      </c>
    </row>
    <row r="129" spans="1:10" x14ac:dyDescent="0.25">
      <c r="A129" t="s">
        <v>557</v>
      </c>
      <c r="B129" t="s">
        <v>23</v>
      </c>
      <c r="C129" t="s">
        <v>42</v>
      </c>
      <c r="D129" t="str">
        <f>IF(LEFT(Table9[[#This Row],[Opponent]],1)="@","Away","Home")</f>
        <v>Home</v>
      </c>
      <c r="E129">
        <f>_xlfn.NUMBERVALUE(MID(LEFT(Table9[[#This Row],[Score]],FIND("-",Table9[[#This Row],[Score]])-1),FIND(" ",Table9[[#This Row],[Score]])+1,LEN(Table9[[#This Row],[Score]])))</f>
        <v>0</v>
      </c>
      <c r="F129">
        <f>_xlfn.NUMBERVALUE(RIGHT(Table9[[#This Row],[Score]],LEN(Table9[[#This Row],[Score]])-FIND("-",Table9[[#This Row],[Score]])))</f>
        <v>3</v>
      </c>
      <c r="G129">
        <f>E129+F129</f>
        <v>3</v>
      </c>
      <c r="H129" t="str">
        <f>LEFT(Table9[[#This Row],[Score]],1)</f>
        <v>L</v>
      </c>
      <c r="I129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129" s="33">
        <f>VLOOKUP(Table9[[#This Row],[OPP]],Raw!$L$2:$S$23,7,FALSE)-Raw!$U$2</f>
        <v>1.4411243913235945</v>
      </c>
    </row>
    <row r="130" spans="1:10" x14ac:dyDescent="0.25">
      <c r="A130" t="s">
        <v>558</v>
      </c>
      <c r="B130" t="s">
        <v>5</v>
      </c>
      <c r="C130" t="s">
        <v>234</v>
      </c>
      <c r="D130" t="str">
        <f>IF(LEFT(Table9[[#This Row],[Opponent]],1)="@","Away","Home")</f>
        <v>Home</v>
      </c>
      <c r="E130">
        <f>_xlfn.NUMBERVALUE(MID(LEFT(Table9[[#This Row],[Score]],FIND("-",Table9[[#This Row],[Score]])-1),FIND(" ",Table9[[#This Row],[Score]])+1,LEN(Table9[[#This Row],[Score]])))</f>
        <v>2</v>
      </c>
      <c r="F130">
        <f>_xlfn.NUMBERVALUE(RIGHT(Table9[[#This Row],[Score]],LEN(Table9[[#This Row],[Score]])-FIND("-",Table9[[#This Row],[Score]])))</f>
        <v>5</v>
      </c>
      <c r="G130">
        <f>E130+F130</f>
        <v>7</v>
      </c>
      <c r="H130" t="str">
        <f>LEFT(Table9[[#This Row],[Score]],1)</f>
        <v>L</v>
      </c>
      <c r="I130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130" s="33">
        <f>VLOOKUP(Table9[[#This Row],[OPP]],Raw!$L$2:$S$23,7,FALSE)-Raw!$U$2</f>
        <v>0.53189121448478383</v>
      </c>
    </row>
    <row r="131" spans="1:10" x14ac:dyDescent="0.25">
      <c r="A131" t="s">
        <v>563</v>
      </c>
      <c r="B131" t="s">
        <v>5</v>
      </c>
      <c r="C131" t="s">
        <v>285</v>
      </c>
      <c r="D131" t="str">
        <f>IF(LEFT(Table9[[#This Row],[Opponent]],1)="@","Away","Home")</f>
        <v>Home</v>
      </c>
      <c r="E131">
        <f>_xlfn.NUMBERVALUE(MID(LEFT(Table9[[#This Row],[Score]],FIND("-",Table9[[#This Row],[Score]])-1),FIND(" ",Table9[[#This Row],[Score]])+1,LEN(Table9[[#This Row],[Score]])))</f>
        <v>10</v>
      </c>
      <c r="F131">
        <f>_xlfn.NUMBERVALUE(RIGHT(Table9[[#This Row],[Score]],LEN(Table9[[#This Row],[Score]])-FIND("-",Table9[[#This Row],[Score]])))</f>
        <v>7</v>
      </c>
      <c r="G131">
        <f t="shared" ref="G131:G132" si="19">E131+F131</f>
        <v>17</v>
      </c>
      <c r="H131" t="str">
        <f>LEFT(Table9[[#This Row],[Score]],1)</f>
        <v>W</v>
      </c>
      <c r="I131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131" s="33">
        <f>VLOOKUP(Table9[[#This Row],[OPP]],Raw!$L$2:$S$23,7,FALSE)-Raw!$U$2</f>
        <v>0.53189121448478383</v>
      </c>
    </row>
    <row r="132" spans="1:10" x14ac:dyDescent="0.25">
      <c r="A132" t="s">
        <v>563</v>
      </c>
      <c r="B132" t="s">
        <v>5</v>
      </c>
      <c r="C132" t="s">
        <v>202</v>
      </c>
      <c r="D132" t="str">
        <f>IF(LEFT(Table9[[#This Row],[Opponent]],1)="@","Away","Home")</f>
        <v>Home</v>
      </c>
      <c r="E132">
        <f>_xlfn.NUMBERVALUE(MID(LEFT(Table9[[#This Row],[Score]],FIND("-",Table9[[#This Row],[Score]])-1),FIND(" ",Table9[[#This Row],[Score]])+1,LEN(Table9[[#This Row],[Score]])))</f>
        <v>4</v>
      </c>
      <c r="F132">
        <f>_xlfn.NUMBERVALUE(RIGHT(Table9[[#This Row],[Score]],LEN(Table9[[#This Row],[Score]])-FIND("-",Table9[[#This Row],[Score]])))</f>
        <v>11</v>
      </c>
      <c r="G132">
        <f t="shared" si="19"/>
        <v>15</v>
      </c>
      <c r="H132" t="str">
        <f>LEFT(Table9[[#This Row],[Score]],1)</f>
        <v>L</v>
      </c>
      <c r="I132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132" s="33">
        <f>VLOOKUP(Table9[[#This Row],[OPP]],Raw!$L$2:$S$23,7,FALSE)-Raw!$U$2</f>
        <v>0.53189121448478383</v>
      </c>
    </row>
    <row r="133" spans="1:10" x14ac:dyDescent="0.25">
      <c r="A133" t="s">
        <v>564</v>
      </c>
      <c r="B133" t="s">
        <v>5</v>
      </c>
      <c r="C133" t="s">
        <v>316</v>
      </c>
      <c r="D133" t="str">
        <f>IF(LEFT(Table9[[#This Row],[Opponent]],1)="@","Away","Home")</f>
        <v>Home</v>
      </c>
      <c r="E133">
        <f>_xlfn.NUMBERVALUE(MID(LEFT(Table9[[#This Row],[Score]],FIND("-",Table9[[#This Row],[Score]])-1),FIND(" ",Table9[[#This Row],[Score]])+1,LEN(Table9[[#This Row],[Score]])))</f>
        <v>9</v>
      </c>
      <c r="F133">
        <f>_xlfn.NUMBERVALUE(RIGHT(Table9[[#This Row],[Score]],LEN(Table9[[#This Row],[Score]])-FIND("-",Table9[[#This Row],[Score]])))</f>
        <v>6</v>
      </c>
      <c r="G133">
        <f t="shared" ref="G133:G136" si="20">E133+F133</f>
        <v>15</v>
      </c>
      <c r="H133" t="str">
        <f>LEFT(Table9[[#This Row],[Score]],1)</f>
        <v>W</v>
      </c>
      <c r="I133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133" s="33">
        <f>VLOOKUP(Table9[[#This Row],[OPP]],Raw!$L$2:$S$23,7,FALSE)-Raw!$U$2</f>
        <v>0.53189121448478383</v>
      </c>
    </row>
    <row r="134" spans="1:10" x14ac:dyDescent="0.25">
      <c r="A134" t="s">
        <v>565</v>
      </c>
      <c r="B134" t="s">
        <v>30</v>
      </c>
      <c r="C134" t="s">
        <v>562</v>
      </c>
      <c r="D134" t="str">
        <f>IF(LEFT(Table9[[#This Row],[Opponent]],1)="@","Away","Home")</f>
        <v>Away</v>
      </c>
      <c r="E134">
        <f>_xlfn.NUMBERVALUE(MID(LEFT(Table9[[#This Row],[Score]],FIND("-",Table9[[#This Row],[Score]])-1),FIND(" ",Table9[[#This Row],[Score]])+1,LEN(Table9[[#This Row],[Score]])))</f>
        <v>3</v>
      </c>
      <c r="F134">
        <f>_xlfn.NUMBERVALUE(RIGHT(Table9[[#This Row],[Score]],LEN(Table9[[#This Row],[Score]])-FIND("-",Table9[[#This Row],[Score]])))</f>
        <v>14</v>
      </c>
      <c r="G134">
        <f t="shared" si="20"/>
        <v>17</v>
      </c>
      <c r="H134" t="str">
        <f>LEFT(Table9[[#This Row],[Score]],1)</f>
        <v>L</v>
      </c>
      <c r="I134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134" s="33">
        <f>VLOOKUP(Table9[[#This Row],[OPP]],Raw!$L$2:$S$23,7,FALSE)-Raw!$U$2</f>
        <v>-3.3200531208499337E-3</v>
      </c>
    </row>
    <row r="135" spans="1:10" x14ac:dyDescent="0.25">
      <c r="A135" t="s">
        <v>566</v>
      </c>
      <c r="B135" t="s">
        <v>30</v>
      </c>
      <c r="C135" t="s">
        <v>199</v>
      </c>
      <c r="D135" t="str">
        <f>IF(LEFT(Table9[[#This Row],[Opponent]],1)="@","Away","Home")</f>
        <v>Away</v>
      </c>
      <c r="E135">
        <f>_xlfn.NUMBERVALUE(MID(LEFT(Table9[[#This Row],[Score]],FIND("-",Table9[[#This Row],[Score]])-1),FIND(" ",Table9[[#This Row],[Score]])+1,LEN(Table9[[#This Row],[Score]])))</f>
        <v>3</v>
      </c>
      <c r="F135">
        <f>_xlfn.NUMBERVALUE(RIGHT(Table9[[#This Row],[Score]],LEN(Table9[[#This Row],[Score]])-FIND("-",Table9[[#This Row],[Score]])))</f>
        <v>7</v>
      </c>
      <c r="G135">
        <f t="shared" si="20"/>
        <v>10</v>
      </c>
      <c r="H135" t="str">
        <f>LEFT(Table9[[#This Row],[Score]],1)</f>
        <v>L</v>
      </c>
      <c r="I135" s="17" t="str">
        <f>VLOOKUP(IF(Table9[[#This Row],[At]]="Home",Table9[[#This Row],[Opponent]],RIGHT(Table9[[#This Row],[Opponent]],LEN(Table9[[#This Row],[Opponent]])-1)),CHOOSE({1,2},[1]StandingsRAW!$J$1:$J$22,[1]StandingsRAW!$L$1:$L$22),2,FALSE)</f>
        <v>KEN</v>
      </c>
      <c r="J135" s="33">
        <f>VLOOKUP(Table9[[#This Row],[OPP]],Raw!$L$2:$S$23,7,FALSE)-Raw!$U$2</f>
        <v>-3.3200531208499337E-3</v>
      </c>
    </row>
    <row r="136" spans="1:10" x14ac:dyDescent="0.25">
      <c r="A136" t="s">
        <v>568</v>
      </c>
      <c r="B136" t="s">
        <v>124</v>
      </c>
      <c r="C136" t="s">
        <v>274</v>
      </c>
      <c r="D136" t="str">
        <f>IF(LEFT(Table9[[#This Row],[Opponent]],1)="@","Away","Home")</f>
        <v>Away</v>
      </c>
      <c r="E136">
        <f>_xlfn.NUMBERVALUE(MID(LEFT(Table9[[#This Row],[Score]],FIND("-",Table9[[#This Row],[Score]])-1),FIND(" ",Table9[[#This Row],[Score]])+1,LEN(Table9[[#This Row],[Score]])))</f>
        <v>9</v>
      </c>
      <c r="F136">
        <f>_xlfn.NUMBERVALUE(RIGHT(Table9[[#This Row],[Score]],LEN(Table9[[#This Row],[Score]])-FIND("-",Table9[[#This Row],[Score]])))</f>
        <v>10</v>
      </c>
      <c r="G136">
        <f t="shared" si="20"/>
        <v>19</v>
      </c>
      <c r="H136" t="str">
        <f>LEFT(Table9[[#This Row],[Score]],1)</f>
        <v>L</v>
      </c>
      <c r="I136" s="17" t="str">
        <f>VLOOKUP(IF(Table9[[#This Row],[At]]="Home",Table9[[#This Row],[Opponent]],RIGHT(Table9[[#This Row],[Opponent]],LEN(Table9[[#This Row],[Opponent]])-1)),CHOOSE({1,2},[1]StandingsRAW!$J$1:$J$22,[1]StandingsRAW!$L$1:$L$22),2,FALSE)</f>
        <v>WIR</v>
      </c>
      <c r="J136" s="33">
        <f>VLOOKUP(Table9[[#This Row],[OPP]],Raw!$L$2:$S$23,7,FALSE)-Raw!$U$2</f>
        <v>2.7744577246569277</v>
      </c>
    </row>
    <row r="137" spans="1:10" x14ac:dyDescent="0.25">
      <c r="A137" t="s">
        <v>589</v>
      </c>
      <c r="B137" t="s">
        <v>124</v>
      </c>
      <c r="C137" t="s">
        <v>132</v>
      </c>
      <c r="D137" t="str">
        <f>IF(LEFT(Table9[[#This Row],[Opponent]],1)="@","Away","Home")</f>
        <v>Away</v>
      </c>
      <c r="E137">
        <f>_xlfn.NUMBERVALUE(MID(LEFT(Table9[[#This Row],[Score]],FIND("-",Table9[[#This Row],[Score]])-1),FIND(" ",Table9[[#This Row],[Score]])+1,LEN(Table9[[#This Row],[Score]])))</f>
        <v>3</v>
      </c>
      <c r="F137">
        <f>_xlfn.NUMBERVALUE(RIGHT(Table9[[#This Row],[Score]],LEN(Table9[[#This Row],[Score]])-FIND("-",Table9[[#This Row],[Score]])))</f>
        <v>6</v>
      </c>
      <c r="G137">
        <f>E137+F137</f>
        <v>9</v>
      </c>
      <c r="H137" t="str">
        <f>LEFT(Table9[[#This Row],[Score]],1)</f>
        <v>L</v>
      </c>
      <c r="I137" s="17" t="str">
        <f>VLOOKUP(IF(Table9[[#This Row],[At]]="Home",Table9[[#This Row],[Opponent]],RIGHT(Table9[[#This Row],[Opponent]],LEN(Table9[[#This Row],[Opponent]])-1)),CHOOSE({1,2},[1]StandingsRAW!$J$1:$J$22,[1]StandingsRAW!$L$1:$L$22),2,FALSE)</f>
        <v>WIR</v>
      </c>
      <c r="J137" s="33">
        <f>VLOOKUP(Table9[[#This Row],[OPP]],Raw!$L$2:$S$23,7,FALSE)-Raw!$U$2</f>
        <v>2.7744577246569277</v>
      </c>
    </row>
    <row r="138" spans="1:10" x14ac:dyDescent="0.25">
      <c r="A138" t="s">
        <v>592</v>
      </c>
      <c r="B138" t="s">
        <v>341</v>
      </c>
      <c r="C138" t="s">
        <v>281</v>
      </c>
      <c r="D138" t="str">
        <f>IF(LEFT(Table9[[#This Row],[Opponent]],1)="@","Away","Home")</f>
        <v>Away</v>
      </c>
      <c r="E138">
        <f>_xlfn.NUMBERVALUE(MID(LEFT(Table9[[#This Row],[Score]],FIND("-",Table9[[#This Row],[Score]])-1),FIND(" ",Table9[[#This Row],[Score]])+1,LEN(Table9[[#This Row],[Score]])))</f>
        <v>1</v>
      </c>
      <c r="F138">
        <f>_xlfn.NUMBERVALUE(RIGHT(Table9[[#This Row],[Score]],LEN(Table9[[#This Row],[Score]])-FIND("-",Table9[[#This Row],[Score]])))</f>
        <v>8</v>
      </c>
      <c r="G138">
        <f t="shared" ref="G138:G139" si="21">E138+F138</f>
        <v>9</v>
      </c>
      <c r="H138" t="str">
        <f>LEFT(Table9[[#This Row],[Score]],1)</f>
        <v>L</v>
      </c>
      <c r="I138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138" s="33">
        <f>VLOOKUP(Table9[[#This Row],[OPP]],Raw!$L$2:$S$23,7,FALSE)-Raw!$U$2</f>
        <v>-0.61443116423196109</v>
      </c>
    </row>
    <row r="139" spans="1:10" x14ac:dyDescent="0.25">
      <c r="A139" t="s">
        <v>592</v>
      </c>
      <c r="B139" t="s">
        <v>343</v>
      </c>
      <c r="C139" t="s">
        <v>306</v>
      </c>
      <c r="D139" t="str">
        <f>IF(LEFT(Table9[[#This Row],[Opponent]],1)="@","Away","Home")</f>
        <v>Home</v>
      </c>
      <c r="E139">
        <f>_xlfn.NUMBERVALUE(MID(LEFT(Table9[[#This Row],[Score]],FIND("-",Table9[[#This Row],[Score]])-1),FIND(" ",Table9[[#This Row],[Score]])+1,LEN(Table9[[#This Row],[Score]])))</f>
        <v>1</v>
      </c>
      <c r="F139">
        <f>_xlfn.NUMBERVALUE(RIGHT(Table9[[#This Row],[Score]],LEN(Table9[[#This Row],[Score]])-FIND("-",Table9[[#This Row],[Score]])))</f>
        <v>10</v>
      </c>
      <c r="G139">
        <f t="shared" si="21"/>
        <v>11</v>
      </c>
      <c r="H139" t="str">
        <f>LEFT(Table9[[#This Row],[Score]],1)</f>
        <v>L</v>
      </c>
      <c r="I139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139" s="33">
        <f>VLOOKUP(Table9[[#This Row],[OPP]],Raw!$L$2:$S$23,7,FALSE)-Raw!$U$2</f>
        <v>-0.61443116423196109</v>
      </c>
    </row>
    <row r="140" spans="1:10" x14ac:dyDescent="0.25">
      <c r="A140" t="s">
        <v>595</v>
      </c>
      <c r="B140" t="s">
        <v>343</v>
      </c>
      <c r="C140" t="s">
        <v>286</v>
      </c>
      <c r="D140" t="str">
        <f>IF(LEFT(Table9[[#This Row],[Opponent]],1)="@","Away","Home")</f>
        <v>Home</v>
      </c>
      <c r="E140">
        <f>_xlfn.NUMBERVALUE(MID(LEFT(Table9[[#This Row],[Score]],FIND("-",Table9[[#This Row],[Score]])-1),FIND(" ",Table9[[#This Row],[Score]])+1,LEN(Table9[[#This Row],[Score]])))</f>
        <v>4</v>
      </c>
      <c r="F140">
        <f>_xlfn.NUMBERVALUE(RIGHT(Table9[[#This Row],[Score]],LEN(Table9[[#This Row],[Score]])-FIND("-",Table9[[#This Row],[Score]])))</f>
        <v>13</v>
      </c>
      <c r="G140">
        <f>E140+F140</f>
        <v>17</v>
      </c>
      <c r="H140" t="str">
        <f>LEFT(Table9[[#This Row],[Score]],1)</f>
        <v>L</v>
      </c>
      <c r="I140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140" s="33">
        <f>VLOOKUP(Table9[[#This Row],[OPP]],Raw!$L$2:$S$23,7,FALSE)-Raw!$U$2</f>
        <v>-0.61443116423196109</v>
      </c>
    </row>
    <row r="141" spans="1:10" x14ac:dyDescent="0.25">
      <c r="A141" t="s">
        <v>598</v>
      </c>
      <c r="B141" t="s">
        <v>343</v>
      </c>
      <c r="C141" t="s">
        <v>322</v>
      </c>
      <c r="D141" t="str">
        <f>IF(LEFT(Table9[[#This Row],[Opponent]],1)="@","Away","Home")</f>
        <v>Home</v>
      </c>
      <c r="E141">
        <f>_xlfn.NUMBERVALUE(MID(LEFT(Table9[[#This Row],[Score]],FIND("-",Table9[[#This Row],[Score]])-1),FIND(" ",Table9[[#This Row],[Score]])+1,LEN(Table9[[#This Row],[Score]])))</f>
        <v>6</v>
      </c>
      <c r="F141">
        <f>_xlfn.NUMBERVALUE(RIGHT(Table9[[#This Row],[Score]],LEN(Table9[[#This Row],[Score]])-FIND("-",Table9[[#This Row],[Score]])))</f>
        <v>7</v>
      </c>
      <c r="G141">
        <f>E141+F141</f>
        <v>13</v>
      </c>
      <c r="H141" t="str">
        <f>LEFT(Table9[[#This Row],[Score]],1)</f>
        <v>L</v>
      </c>
      <c r="I141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141" s="33">
        <f>VLOOKUP(Table9[[#This Row],[OPP]],Raw!$L$2:$S$23,7,FALSE)-Raw!$U$2</f>
        <v>-0.61443116423196109</v>
      </c>
    </row>
    <row r="142" spans="1:10" x14ac:dyDescent="0.25">
      <c r="A142" t="s">
        <v>599</v>
      </c>
      <c r="B142" t="s">
        <v>343</v>
      </c>
      <c r="C142" t="s">
        <v>279</v>
      </c>
      <c r="D142" t="str">
        <f>IF(LEFT(Table9[[#This Row],[Opponent]],1)="@","Away","Home")</f>
        <v>Home</v>
      </c>
      <c r="E142">
        <f>_xlfn.NUMBERVALUE(MID(LEFT(Table9[[#This Row],[Score]],FIND("-",Table9[[#This Row],[Score]])-1),FIND(" ",Table9[[#This Row],[Score]])+1,LEN(Table9[[#This Row],[Score]])))</f>
        <v>7</v>
      </c>
      <c r="F142">
        <f>_xlfn.NUMBERVALUE(RIGHT(Table9[[#This Row],[Score]],LEN(Table9[[#This Row],[Score]])-FIND("-",Table9[[#This Row],[Score]])))</f>
        <v>2</v>
      </c>
      <c r="G142">
        <f>E142+F142</f>
        <v>9</v>
      </c>
      <c r="H142" t="str">
        <f>LEFT(Table9[[#This Row],[Score]],1)</f>
        <v>W</v>
      </c>
      <c r="I142" s="17" t="str">
        <f>VLOOKUP(IF(Table9[[#This Row],[At]]="Home",Table9[[#This Row],[Opponent]],RIGHT(Table9[[#This Row],[Opponent]],LEN(Table9[[#This Row],[Opponent]])-1)),CHOOSE({1,2},[1]StandingsRAW!$J$1:$J$22,[1]StandingsRAW!$L$1:$L$22),2,FALSE)</f>
        <v>BC</v>
      </c>
      <c r="J142" s="33">
        <f>VLOOKUP(Table9[[#This Row],[OPP]],Raw!$L$2:$S$23,7,FALSE)-Raw!$U$2</f>
        <v>-0.61443116423196109</v>
      </c>
    </row>
    <row r="143" spans="1:10" x14ac:dyDescent="0.25">
      <c r="A143" t="s">
        <v>600</v>
      </c>
      <c r="B143" t="s">
        <v>17</v>
      </c>
      <c r="C143" t="s">
        <v>31</v>
      </c>
      <c r="D143" t="str">
        <f>IF(LEFT(Table9[[#This Row],[Opponent]],1)="@","Away","Home")</f>
        <v>Away</v>
      </c>
      <c r="E143">
        <f>_xlfn.NUMBERVALUE(MID(LEFT(Table9[[#This Row],[Score]],FIND("-",Table9[[#This Row],[Score]])-1),FIND(" ",Table9[[#This Row],[Score]])+1,LEN(Table9[[#This Row],[Score]])))</f>
        <v>5</v>
      </c>
      <c r="F143">
        <f>_xlfn.NUMBERVALUE(RIGHT(Table9[[#This Row],[Score]],LEN(Table9[[#This Row],[Score]])-FIND("-",Table9[[#This Row],[Score]])))</f>
        <v>9</v>
      </c>
      <c r="G143">
        <f t="shared" ref="G143:G146" si="22">E143+F143</f>
        <v>14</v>
      </c>
      <c r="H143" t="str">
        <f>LEFT(Table9[[#This Row],[Score]],1)</f>
        <v>L</v>
      </c>
      <c r="I143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143" s="33">
        <f>VLOOKUP(Table9[[#This Row],[OPP]],Raw!$L$2:$S$23,7,FALSE)-Raw!$U$2</f>
        <v>0.53189121448478383</v>
      </c>
    </row>
    <row r="144" spans="1:10" x14ac:dyDescent="0.25">
      <c r="A144" t="s">
        <v>601</v>
      </c>
      <c r="B144" t="s">
        <v>17</v>
      </c>
      <c r="C144" t="s">
        <v>274</v>
      </c>
      <c r="D144" t="str">
        <f>IF(LEFT(Table9[[#This Row],[Opponent]],1)="@","Away","Home")</f>
        <v>Away</v>
      </c>
      <c r="E144">
        <f>_xlfn.NUMBERVALUE(MID(LEFT(Table9[[#This Row],[Score]],FIND("-",Table9[[#This Row],[Score]])-1),FIND(" ",Table9[[#This Row],[Score]])+1,LEN(Table9[[#This Row],[Score]])))</f>
        <v>9</v>
      </c>
      <c r="F144">
        <f>_xlfn.NUMBERVALUE(RIGHT(Table9[[#This Row],[Score]],LEN(Table9[[#This Row],[Score]])-FIND("-",Table9[[#This Row],[Score]])))</f>
        <v>10</v>
      </c>
      <c r="G144">
        <f t="shared" si="22"/>
        <v>19</v>
      </c>
      <c r="H144" t="str">
        <f>LEFT(Table9[[#This Row],[Score]],1)</f>
        <v>L</v>
      </c>
      <c r="I144" s="17" t="str">
        <f>VLOOKUP(IF(Table9[[#This Row],[At]]="Home",Table9[[#This Row],[Opponent]],RIGHT(Table9[[#This Row],[Opponent]],LEN(Table9[[#This Row],[Opponent]])-1)),CHOOSE({1,2},[1]StandingsRAW!$J$1:$J$22,[1]StandingsRAW!$L$1:$L$22),2,FALSE)</f>
        <v>KZO</v>
      </c>
      <c r="J144" s="33">
        <f>VLOOKUP(Table9[[#This Row],[OPP]],Raw!$L$2:$S$23,7,FALSE)-Raw!$U$2</f>
        <v>0.53189121448478383</v>
      </c>
    </row>
    <row r="145" spans="1:10" x14ac:dyDescent="0.25">
      <c r="A145" t="s">
        <v>602</v>
      </c>
      <c r="B145" t="s">
        <v>20</v>
      </c>
      <c r="C145" t="s">
        <v>336</v>
      </c>
      <c r="D145" t="str">
        <f>IF(LEFT(Table9[[#This Row],[Opponent]],1)="@","Away","Home")</f>
        <v>Home</v>
      </c>
      <c r="E145">
        <f>_xlfn.NUMBERVALUE(MID(LEFT(Table9[[#This Row],[Score]],FIND("-",Table9[[#This Row],[Score]])-1),FIND(" ",Table9[[#This Row],[Score]])+1,LEN(Table9[[#This Row],[Score]])))</f>
        <v>8</v>
      </c>
      <c r="F145">
        <f>_xlfn.NUMBERVALUE(RIGHT(Table9[[#This Row],[Score]],LEN(Table9[[#This Row],[Score]])-FIND("-",Table9[[#This Row],[Score]])))</f>
        <v>4</v>
      </c>
      <c r="G145">
        <f t="shared" si="22"/>
        <v>12</v>
      </c>
      <c r="H145" t="str">
        <f>LEFT(Table9[[#This Row],[Score]],1)</f>
        <v>W</v>
      </c>
      <c r="I145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145" s="33">
        <f>VLOOKUP(Table9[[#This Row],[OPP]],Raw!$L$2:$S$23,7,FALSE)-Raw!$U$2</f>
        <v>0.83001328021248344</v>
      </c>
    </row>
    <row r="146" spans="1:10" x14ac:dyDescent="0.25">
      <c r="A146" t="s">
        <v>603</v>
      </c>
      <c r="B146" t="s">
        <v>20</v>
      </c>
      <c r="C146" t="s">
        <v>77</v>
      </c>
      <c r="D146" t="str">
        <f>IF(LEFT(Table9[[#This Row],[Opponent]],1)="@","Away","Home")</f>
        <v>Home</v>
      </c>
      <c r="E146">
        <f>_xlfn.NUMBERVALUE(MID(LEFT(Table9[[#This Row],[Score]],FIND("-",Table9[[#This Row],[Score]])-1),FIND(" ",Table9[[#This Row],[Score]])+1,LEN(Table9[[#This Row],[Score]])))</f>
        <v>1</v>
      </c>
      <c r="F146">
        <f>_xlfn.NUMBERVALUE(RIGHT(Table9[[#This Row],[Score]],LEN(Table9[[#This Row],[Score]])-FIND("-",Table9[[#This Row],[Score]])))</f>
        <v>9</v>
      </c>
      <c r="G146">
        <f t="shared" si="22"/>
        <v>10</v>
      </c>
      <c r="H146" t="str">
        <f>LEFT(Table9[[#This Row],[Score]],1)</f>
        <v>L</v>
      </c>
      <c r="I146" s="17" t="str">
        <f>VLOOKUP(IF(Table9[[#This Row],[At]]="Home",Table9[[#This Row],[Opponent]],RIGHT(Table9[[#This Row],[Opponent]],LEN(Table9[[#This Row],[Opponent]])-1)),CHOOSE({1,2},[1]StandingsRAW!$J$1:$J$22,[1]StandingsRAW!$L$1:$L$22),2,FALSE)</f>
        <v>RFD</v>
      </c>
      <c r="J146" s="33">
        <f>VLOOKUP(Table9[[#This Row],[OPP]],Raw!$L$2:$S$23,7,FALSE)-Raw!$U$2</f>
        <v>0.83001328021248344</v>
      </c>
    </row>
    <row r="147" spans="1:10" x14ac:dyDescent="0.25">
      <c r="A147" t="s">
        <v>608</v>
      </c>
      <c r="B147" t="s">
        <v>40</v>
      </c>
      <c r="C147" t="s">
        <v>276</v>
      </c>
      <c r="D147" t="str">
        <f>IF(LEFT(Table9[[#This Row],[Opponent]],1)="@","Away","Home")</f>
        <v>Away</v>
      </c>
      <c r="E147">
        <f>_xlfn.NUMBERVALUE(MID(LEFT(Table9[[#This Row],[Score]],FIND("-",Table9[[#This Row],[Score]])-1),FIND(" ",Table9[[#This Row],[Score]])+1,LEN(Table9[[#This Row],[Score]])))</f>
        <v>2</v>
      </c>
      <c r="F147">
        <f>_xlfn.NUMBERVALUE(RIGHT(Table9[[#This Row],[Score]],LEN(Table9[[#This Row],[Score]])-FIND("-",Table9[[#This Row],[Score]])))</f>
        <v>4</v>
      </c>
      <c r="G147">
        <f t="shared" ref="G147:G148" si="23">E147+F147</f>
        <v>6</v>
      </c>
      <c r="H147" t="str">
        <f>LEFT(Table9[[#This Row],[Score]],1)</f>
        <v>L</v>
      </c>
      <c r="I147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147" s="33">
        <f>VLOOKUP(Table9[[#This Row],[OPP]],Raw!$L$2:$S$23,7,FALSE)-Raw!$U$2</f>
        <v>1.4411243913235945</v>
      </c>
    </row>
    <row r="148" spans="1:10" x14ac:dyDescent="0.25">
      <c r="A148" t="s">
        <v>609</v>
      </c>
      <c r="B148" t="s">
        <v>40</v>
      </c>
      <c r="C148" t="s">
        <v>59</v>
      </c>
      <c r="D148" t="str">
        <f>IF(LEFT(Table9[[#This Row],[Opponent]],1)="@","Away","Home")</f>
        <v>Away</v>
      </c>
      <c r="E148">
        <f>_xlfn.NUMBERVALUE(MID(LEFT(Table9[[#This Row],[Score]],FIND("-",Table9[[#This Row],[Score]])-1),FIND(" ",Table9[[#This Row],[Score]])+1,LEN(Table9[[#This Row],[Score]])))</f>
        <v>11</v>
      </c>
      <c r="F148">
        <f>_xlfn.NUMBERVALUE(RIGHT(Table9[[#This Row],[Score]],LEN(Table9[[#This Row],[Score]])-FIND("-",Table9[[#This Row],[Score]])))</f>
        <v>7</v>
      </c>
      <c r="G148">
        <f t="shared" si="23"/>
        <v>18</v>
      </c>
      <c r="H148" t="str">
        <f>LEFT(Table9[[#This Row],[Score]],1)</f>
        <v>W</v>
      </c>
      <c r="I148" s="17" t="str">
        <f>VLOOKUP(IF(Table9[[#This Row],[At]]="Home",Table9[[#This Row],[Opponent]],RIGHT(Table9[[#This Row],[Opponent]],LEN(Table9[[#This Row],[Opponent]])-1)),CHOOSE({1,2},[1]StandingsRAW!$J$1:$J$22,[1]StandingsRAW!$L$1:$L$22),2,FALSE)</f>
        <v>TVC</v>
      </c>
      <c r="J148" s="33">
        <f>VLOOKUP(Table9[[#This Row],[OPP]],Raw!$L$2:$S$23,7,FALSE)-Raw!$U$2</f>
        <v>1.4411243913235945</v>
      </c>
    </row>
  </sheetData>
  <conditionalFormatting sqref="L17">
    <cfRule type="cellIs" dxfId="74" priority="4" operator="greaterThan">
      <formula>100</formula>
    </cfRule>
    <cfRule type="cellIs" dxfId="73" priority="5" operator="lessThan">
      <formula>100</formula>
    </cfRule>
  </conditionalFormatting>
  <conditionalFormatting sqref="L18">
    <cfRule type="cellIs" dxfId="72" priority="2" operator="greaterThan">
      <formula>100</formula>
    </cfRule>
    <cfRule type="cellIs" dxfId="71" priority="3" operator="lessThan">
      <formula>100</formula>
    </cfRule>
  </conditionalFormatting>
  <conditionalFormatting sqref="L17:L18">
    <cfRule type="cellIs" dxfId="70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591E-11A1-4D3A-89FC-D6DE3A21FCFB}">
  <sheetPr codeName="Sheet11"/>
  <dimension ref="A1:P147"/>
  <sheetViews>
    <sheetView topLeftCell="A70" workbookViewId="0">
      <selection activeCell="A77" sqref="A77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365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341</v>
      </c>
      <c r="C3" t="s">
        <v>264</v>
      </c>
      <c r="E3" s="1" t="str">
        <f>IF(LEFT(B3,1)="@","Away","Home")</f>
        <v>Away</v>
      </c>
      <c r="F3" s="3">
        <f>_xlfn.NUMBERVALUE(MID(LEFT(C3,FIND("-",C3)-1),FIND(" ",C3)+1,LEN(C3)))</f>
        <v>6</v>
      </c>
      <c r="G3" s="3">
        <f>_xlfn.NUMBERVALUE(RIGHT(C3,LEN(C3)-FIND("-",C3)))</f>
        <v>2</v>
      </c>
      <c r="H3" s="3">
        <f t="shared" ref="H3:H66" si="0">F3+G3</f>
        <v>8</v>
      </c>
      <c r="I3" s="3" t="str">
        <f>LEFT(C3,1)</f>
        <v>W</v>
      </c>
      <c r="K3" s="4" t="s">
        <v>139</v>
      </c>
      <c r="L3" s="5">
        <f>(SUMIF($E$3:$E$74,$K3,F$3:F$74) + SUMIF(Table10[At],$K3,Table10[Scored]))/(COUNTIF($E$3:$E$74,$K3) + COUNTIF(Table10[At],$K3))</f>
        <v>6.28169014084507</v>
      </c>
      <c r="M3" s="5">
        <f>(SUMIF($E$3:$E$74,$K3,G$3:G$74) + SUMIF(Table10[At],$K3,Table10[Allowed]))/(COUNTIF($E$3:$E$74,$K3) + COUNTIF(Table10[At],$K3))</f>
        <v>6.253521126760563</v>
      </c>
      <c r="N3" s="5">
        <f>L3+M3</f>
        <v>12.535211267605632</v>
      </c>
      <c r="O3" s="5">
        <f>(COUNTIFS($E$3:$E$74,$K3,$I$3:$I$74,O$2) + COUNTIFS(Table10[At],$K3,Table10[Result],O$2))/(COUNTIF($E$3:$E$74,$K3) + COUNTIF(Table10[At],$K3))</f>
        <v>0.46478873239436619</v>
      </c>
      <c r="P3" s="5">
        <f>(COUNTIFS($E$3:$E$74,$K3,$I$3:$I$74,P$2) + COUNTIFS(Table10[At],$K3,Table10[Result],P$2))/(COUNTIF($E$3:$E$74,$K3) + COUNTIF(Table10[At],$K3))</f>
        <v>0.53521126760563376</v>
      </c>
    </row>
    <row r="4" spans="1:16" x14ac:dyDescent="0.25">
      <c r="A4" t="s">
        <v>7</v>
      </c>
      <c r="B4" t="s">
        <v>341</v>
      </c>
      <c r="C4" t="s">
        <v>242</v>
      </c>
      <c r="E4" s="1" t="str">
        <f t="shared" ref="E4:E67" si="1">IF(LEFT(B4,1)="@","Away","Home")</f>
        <v>Away</v>
      </c>
      <c r="F4" s="3">
        <f t="shared" ref="F4:F67" si="2">_xlfn.NUMBERVALUE(MID(LEFT(C4,FIND("-",C4)-1),FIND(" ",C4)+1,LEN(C4)))</f>
        <v>13</v>
      </c>
      <c r="G4" s="3">
        <f t="shared" ref="G4:G67" si="3">_xlfn.NUMBERVALUE(RIGHT(C4,LEN(C4)-FIND("-",C4)))</f>
        <v>1</v>
      </c>
      <c r="H4" s="3">
        <f t="shared" si="0"/>
        <v>14</v>
      </c>
      <c r="I4" s="3" t="str">
        <f t="shared" ref="I4:I67" si="4">LEFT(C4,1)</f>
        <v>W</v>
      </c>
      <c r="K4" s="4" t="s">
        <v>140</v>
      </c>
      <c r="L4" s="5">
        <f>(SUMIF($E$3:$E$74,$K4,F$3:F$74) + SUMIF(Table10[At],$K4,Table10[Scored]))/(COUNTIF($E$3:$E$74,$K4) + COUNTIF(Table10[At],$K4))</f>
        <v>5.958333333333333</v>
      </c>
      <c r="M4" s="5">
        <f>(SUMIF($E$3:$E$74,$K4,G$3:G$74) + SUMIF(Table10[At],$K4,Table10[Allowed]))/(COUNTIF($E$3:$E$74,$K4) + COUNTIF(Table10[At],$K4))</f>
        <v>6.4444444444444446</v>
      </c>
      <c r="N4" s="5">
        <f>L4+M4</f>
        <v>12.402777777777779</v>
      </c>
      <c r="O4" s="5">
        <f>(COUNTIFS($E$3:$E$74,$K4,$I$3:$I$74,O$2) + COUNTIFS(Table10[At],$K4,Table10[Result],O$2))/(COUNTIF($E$3:$E$74,$K4) + COUNTIF(Table10[At],$K4))</f>
        <v>0.40277777777777779</v>
      </c>
      <c r="P4" s="5">
        <f>(COUNTIFS($E$3:$E$74,$K4,$I$3:$I$74,P$2) + COUNTIFS(Table10[At],$K4,Table10[Result],P$2))/(COUNTIF($E$3:$E$74,$K4) + COUNTIF(Table10[At],$K4))</f>
        <v>0.59722222222222221</v>
      </c>
    </row>
    <row r="5" spans="1:16" x14ac:dyDescent="0.25">
      <c r="A5" t="s">
        <v>9</v>
      </c>
      <c r="B5" t="s">
        <v>52</v>
      </c>
      <c r="C5" t="s">
        <v>240</v>
      </c>
      <c r="E5" s="1" t="str">
        <f t="shared" si="1"/>
        <v>Home</v>
      </c>
      <c r="F5" s="3">
        <f t="shared" si="2"/>
        <v>1</v>
      </c>
      <c r="G5" s="3">
        <f t="shared" si="3"/>
        <v>3</v>
      </c>
      <c r="H5" s="3">
        <f t="shared" si="0"/>
        <v>4</v>
      </c>
      <c r="I5" s="3" t="str">
        <f t="shared" si="4"/>
        <v>L</v>
      </c>
    </row>
    <row r="6" spans="1:16" x14ac:dyDescent="0.25">
      <c r="A6" t="s">
        <v>12</v>
      </c>
      <c r="B6" t="s">
        <v>52</v>
      </c>
      <c r="C6" t="s">
        <v>292</v>
      </c>
      <c r="E6" s="1" t="str">
        <f t="shared" si="1"/>
        <v>Home</v>
      </c>
      <c r="F6" s="3">
        <f t="shared" si="2"/>
        <v>7</v>
      </c>
      <c r="G6" s="3">
        <f t="shared" si="3"/>
        <v>8</v>
      </c>
      <c r="H6" s="3">
        <f t="shared" si="0"/>
        <v>15</v>
      </c>
      <c r="I6" s="3" t="str">
        <f t="shared" si="4"/>
        <v>L</v>
      </c>
      <c r="K6" s="4" t="s">
        <v>144</v>
      </c>
      <c r="L6" s="5">
        <f>N3/N4</f>
        <v>1.0106777281832089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341</v>
      </c>
      <c r="C7" t="s">
        <v>240</v>
      </c>
      <c r="E7" s="1" t="str">
        <f t="shared" si="1"/>
        <v>Away</v>
      </c>
      <c r="F7" s="3">
        <f t="shared" si="2"/>
        <v>1</v>
      </c>
      <c r="G7" s="3">
        <f t="shared" si="3"/>
        <v>3</v>
      </c>
      <c r="H7" s="3">
        <f t="shared" si="0"/>
        <v>4</v>
      </c>
      <c r="I7" s="3" t="str">
        <f t="shared" si="4"/>
        <v>L</v>
      </c>
      <c r="K7" s="7" t="s">
        <v>143</v>
      </c>
      <c r="L7" s="5">
        <f>(18.5 - O3)/(18.5-P4)</f>
        <v>1.007397371037708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343</v>
      </c>
      <c r="C8" t="s">
        <v>118</v>
      </c>
      <c r="E8" s="1" t="str">
        <f t="shared" si="1"/>
        <v>Home</v>
      </c>
      <c r="F8" s="3">
        <f t="shared" si="2"/>
        <v>9</v>
      </c>
      <c r="G8" s="3">
        <f t="shared" si="3"/>
        <v>8</v>
      </c>
      <c r="H8" s="3">
        <f t="shared" si="0"/>
        <v>17</v>
      </c>
      <c r="I8" s="3" t="str">
        <f t="shared" si="4"/>
        <v>W</v>
      </c>
      <c r="K8" s="7" t="s">
        <v>146</v>
      </c>
      <c r="L8" s="5">
        <f>L6/L7</f>
        <v>1.0032562693131926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69</v>
      </c>
      <c r="C9" t="s">
        <v>306</v>
      </c>
      <c r="E9" s="1" t="str">
        <f t="shared" si="1"/>
        <v>Home</v>
      </c>
      <c r="F9" s="3">
        <f t="shared" si="2"/>
        <v>1</v>
      </c>
      <c r="G9" s="3">
        <f t="shared" si="3"/>
        <v>10</v>
      </c>
      <c r="H9" s="3">
        <f t="shared" si="0"/>
        <v>11</v>
      </c>
      <c r="I9" s="3" t="str">
        <f t="shared" si="4"/>
        <v>L</v>
      </c>
      <c r="K9" s="7" t="s">
        <v>145</v>
      </c>
      <c r="L9" s="5">
        <f>(P7)/(P7-1+L8)</f>
        <v>0.99972871783788231</v>
      </c>
      <c r="O9" s="4"/>
      <c r="P9" s="1"/>
    </row>
    <row r="10" spans="1:16" x14ac:dyDescent="0.25">
      <c r="A10" t="s">
        <v>193</v>
      </c>
      <c r="B10" t="s">
        <v>69</v>
      </c>
      <c r="C10" t="s">
        <v>366</v>
      </c>
      <c r="E10" s="1" t="str">
        <f t="shared" si="1"/>
        <v>Home</v>
      </c>
      <c r="F10" s="3">
        <f t="shared" si="2"/>
        <v>10</v>
      </c>
      <c r="G10" s="3">
        <f t="shared" si="3"/>
        <v>0</v>
      </c>
      <c r="H10" s="3">
        <f t="shared" si="0"/>
        <v>10</v>
      </c>
      <c r="I10" s="3" t="str">
        <f t="shared" si="4"/>
        <v>W</v>
      </c>
      <c r="K10" s="4" t="s">
        <v>149</v>
      </c>
      <c r="L10" s="5">
        <f>L8*L9</f>
        <v>1.0029841037832952</v>
      </c>
      <c r="O10" s="4"/>
      <c r="P10" s="1"/>
    </row>
    <row r="11" spans="1:16" x14ac:dyDescent="0.25">
      <c r="A11" t="s">
        <v>22</v>
      </c>
      <c r="B11" t="s">
        <v>314</v>
      </c>
      <c r="C11" t="s">
        <v>367</v>
      </c>
      <c r="E11" s="1" t="str">
        <f t="shared" si="1"/>
        <v>Home</v>
      </c>
      <c r="F11" s="3">
        <f t="shared" si="2"/>
        <v>9</v>
      </c>
      <c r="G11" s="3">
        <f t="shared" si="3"/>
        <v>13</v>
      </c>
      <c r="H11" s="3">
        <f t="shared" si="0"/>
        <v>22</v>
      </c>
      <c r="I11" s="3" t="str">
        <f t="shared" si="4"/>
        <v>L</v>
      </c>
      <c r="K11" s="4" t="s">
        <v>148</v>
      </c>
      <c r="L11" s="5">
        <f>1 - ((L10-1)/(P7-1))</f>
        <v>0.99972871783788231</v>
      </c>
      <c r="O11" s="4"/>
      <c r="P11" s="1"/>
    </row>
    <row r="12" spans="1:16" x14ac:dyDescent="0.25">
      <c r="A12" t="s">
        <v>25</v>
      </c>
      <c r="B12" t="s">
        <v>40</v>
      </c>
      <c r="C12" t="s">
        <v>368</v>
      </c>
      <c r="E12" s="1" t="str">
        <f t="shared" si="1"/>
        <v>Away</v>
      </c>
      <c r="F12" s="3">
        <f t="shared" si="2"/>
        <v>7</v>
      </c>
      <c r="G12" s="3">
        <f t="shared" si="3"/>
        <v>11</v>
      </c>
      <c r="H12" s="3">
        <f t="shared" si="0"/>
        <v>18</v>
      </c>
      <c r="I12" s="3" t="str">
        <f t="shared" si="4"/>
        <v>L</v>
      </c>
      <c r="K12" s="4" t="s">
        <v>150</v>
      </c>
      <c r="L12" s="5">
        <f>(($L4/$L11)+($L3/$L10)) * (1 + (L13-1)/($P7-1)) / $P8</f>
        <v>1.0688397866195274</v>
      </c>
      <c r="M12" s="5">
        <f t="shared" ref="M12:O12" si="5">(($L4/$L11)+($L3/$L10)) * (1 + (M13-1)/($P7-1)) / $P8</f>
        <v>1.0800959560193393</v>
      </c>
      <c r="N12" s="5">
        <f t="shared" si="5"/>
        <v>1.0802062144056446</v>
      </c>
      <c r="O12" s="8">
        <f t="shared" si="5"/>
        <v>1.0802072944277479</v>
      </c>
      <c r="P12" s="5"/>
    </row>
    <row r="13" spans="1:16" x14ac:dyDescent="0.25">
      <c r="A13" t="s">
        <v>27</v>
      </c>
      <c r="B13" t="s">
        <v>40</v>
      </c>
      <c r="C13" t="s">
        <v>50</v>
      </c>
      <c r="E13" s="1" t="str">
        <f t="shared" si="1"/>
        <v>Away</v>
      </c>
      <c r="F13" s="3">
        <f t="shared" si="2"/>
        <v>3</v>
      </c>
      <c r="G13" s="3">
        <f t="shared" si="3"/>
        <v>4</v>
      </c>
      <c r="H13" s="3">
        <f t="shared" si="0"/>
        <v>7</v>
      </c>
      <c r="I13" s="3" t="str">
        <f t="shared" si="4"/>
        <v>L</v>
      </c>
      <c r="K13" s="4" t="s">
        <v>182</v>
      </c>
      <c r="L13" s="5">
        <v>1</v>
      </c>
      <c r="M13" s="5">
        <f>(($M4/$L11)+($M3/$L10)) * (1 + (L12-1)/($P7-1)) / $P8</f>
        <v>1.1158432395088294</v>
      </c>
      <c r="N13" s="5">
        <f>(($M4/$L11)+($M3/$L10)) * (1 + (M12-1)/($P7-1)) / $P8</f>
        <v>1.1169779673366482</v>
      </c>
      <c r="O13" s="5">
        <f>(($M4/$L11)+($M3/$L10)) * (1 + (N12-1)/($P7-1)) / $P8</f>
        <v>1.1169890824198301</v>
      </c>
      <c r="P13" s="8">
        <f>(($M4/$L11)+($M3/$L10)) * (1 + (O12-1)/($P7-1)) / $P8</f>
        <v>1.1169891912962242</v>
      </c>
    </row>
    <row r="14" spans="1:16" x14ac:dyDescent="0.25">
      <c r="A14" t="s">
        <v>29</v>
      </c>
      <c r="B14" t="s">
        <v>23</v>
      </c>
      <c r="C14" t="s">
        <v>304</v>
      </c>
      <c r="E14" s="1" t="str">
        <f t="shared" si="1"/>
        <v>Home</v>
      </c>
      <c r="F14" s="3">
        <f t="shared" si="2"/>
        <v>2</v>
      </c>
      <c r="G14" s="3">
        <f t="shared" si="3"/>
        <v>0</v>
      </c>
      <c r="H14" s="3">
        <f t="shared" si="0"/>
        <v>2</v>
      </c>
      <c r="I14" s="3" t="str">
        <f t="shared" si="4"/>
        <v>W</v>
      </c>
      <c r="K14" s="4" t="s">
        <v>183</v>
      </c>
      <c r="L14" s="5">
        <f xml:space="preserve"> (L10+L11) / (2 * (1 + ((P13-1)/(P7-1))))</f>
        <v>0.99081867665575674</v>
      </c>
      <c r="N14" s="5"/>
    </row>
    <row r="15" spans="1:16" x14ac:dyDescent="0.25">
      <c r="A15" t="s">
        <v>32</v>
      </c>
      <c r="B15" t="s">
        <v>23</v>
      </c>
      <c r="C15" t="s">
        <v>251</v>
      </c>
      <c r="E15" s="1" t="str">
        <f t="shared" si="1"/>
        <v>Home</v>
      </c>
      <c r="F15" s="3">
        <f t="shared" si="2"/>
        <v>2</v>
      </c>
      <c r="G15" s="3">
        <f t="shared" si="3"/>
        <v>7</v>
      </c>
      <c r="H15" s="3">
        <f t="shared" si="0"/>
        <v>9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0.99410780197730564</v>
      </c>
    </row>
    <row r="16" spans="1:16" ht="15.75" thickBot="1" x14ac:dyDescent="0.3">
      <c r="A16" t="s">
        <v>34</v>
      </c>
      <c r="B16" t="s">
        <v>30</v>
      </c>
      <c r="C16" t="s">
        <v>369</v>
      </c>
      <c r="E16" s="1" t="str">
        <f t="shared" si="1"/>
        <v>Away</v>
      </c>
      <c r="F16" s="3">
        <f t="shared" si="2"/>
        <v>11</v>
      </c>
      <c r="G16" s="3">
        <f t="shared" si="3"/>
        <v>13</v>
      </c>
      <c r="H16" s="3">
        <f t="shared" si="0"/>
        <v>24</v>
      </c>
      <c r="I16" s="3" t="str">
        <f t="shared" si="4"/>
        <v>L</v>
      </c>
    </row>
    <row r="17" spans="1:14" x14ac:dyDescent="0.25">
      <c r="A17" t="s">
        <v>37</v>
      </c>
      <c r="B17" t="s">
        <v>30</v>
      </c>
      <c r="C17" t="s">
        <v>6</v>
      </c>
      <c r="E17" s="1" t="str">
        <f t="shared" si="1"/>
        <v>Away</v>
      </c>
      <c r="F17" s="3">
        <f t="shared" si="2"/>
        <v>2</v>
      </c>
      <c r="G17" s="3">
        <f t="shared" si="3"/>
        <v>6</v>
      </c>
      <c r="H17" s="3">
        <f t="shared" si="0"/>
        <v>8</v>
      </c>
      <c r="I17" s="3" t="str">
        <f t="shared" si="4"/>
        <v>L</v>
      </c>
      <c r="K17" s="9" t="s">
        <v>185</v>
      </c>
      <c r="L17" s="10">
        <f>L14*100</f>
        <v>99.081867665575672</v>
      </c>
    </row>
    <row r="18" spans="1:14" ht="15.75" thickBot="1" x14ac:dyDescent="0.3">
      <c r="A18" t="s">
        <v>39</v>
      </c>
      <c r="B18" t="s">
        <v>103</v>
      </c>
      <c r="C18" t="s">
        <v>284</v>
      </c>
      <c r="E18" s="1" t="str">
        <f t="shared" si="1"/>
        <v>Home</v>
      </c>
      <c r="F18" s="3">
        <f t="shared" si="2"/>
        <v>2</v>
      </c>
      <c r="G18" s="3">
        <f t="shared" si="3"/>
        <v>13</v>
      </c>
      <c r="H18" s="3">
        <f t="shared" si="0"/>
        <v>15</v>
      </c>
      <c r="I18" s="3" t="str">
        <f t="shared" si="4"/>
        <v>L</v>
      </c>
      <c r="K18" s="11" t="s">
        <v>186</v>
      </c>
      <c r="L18" s="12">
        <f>L15*100</f>
        <v>99.41078019773056</v>
      </c>
    </row>
    <row r="19" spans="1:14" x14ac:dyDescent="0.25">
      <c r="A19" t="s">
        <v>41</v>
      </c>
      <c r="B19" t="s">
        <v>103</v>
      </c>
      <c r="C19" t="s">
        <v>368</v>
      </c>
      <c r="E19" s="1" t="str">
        <f t="shared" si="1"/>
        <v>Home</v>
      </c>
      <c r="F19" s="3">
        <f t="shared" si="2"/>
        <v>7</v>
      </c>
      <c r="G19" s="3">
        <f t="shared" si="3"/>
        <v>11</v>
      </c>
      <c r="H19" s="3">
        <f t="shared" si="0"/>
        <v>18</v>
      </c>
      <c r="I19" s="3" t="str">
        <f t="shared" si="4"/>
        <v>L</v>
      </c>
    </row>
    <row r="20" spans="1:14" x14ac:dyDescent="0.25">
      <c r="A20" t="s">
        <v>43</v>
      </c>
      <c r="B20" t="s">
        <v>314</v>
      </c>
      <c r="C20" t="s">
        <v>226</v>
      </c>
      <c r="E20" s="1" t="str">
        <f t="shared" si="1"/>
        <v>Home</v>
      </c>
      <c r="F20" s="3">
        <f t="shared" si="2"/>
        <v>3</v>
      </c>
      <c r="G20" s="3">
        <f t="shared" si="3"/>
        <v>2</v>
      </c>
      <c r="H20" s="3">
        <f t="shared" si="0"/>
        <v>5</v>
      </c>
      <c r="I20" s="3" t="str">
        <f t="shared" si="4"/>
        <v>W</v>
      </c>
    </row>
    <row r="21" spans="1:14" x14ac:dyDescent="0.25">
      <c r="A21" t="s">
        <v>43</v>
      </c>
      <c r="B21" t="s">
        <v>315</v>
      </c>
      <c r="C21" t="s">
        <v>295</v>
      </c>
      <c r="E21" s="1" t="str">
        <f t="shared" si="1"/>
        <v>Away</v>
      </c>
      <c r="F21" s="3">
        <f t="shared" si="2"/>
        <v>1</v>
      </c>
      <c r="G21" s="3">
        <f t="shared" si="3"/>
        <v>0</v>
      </c>
      <c r="H21" s="3">
        <f t="shared" si="0"/>
        <v>1</v>
      </c>
      <c r="I21" s="3" t="str">
        <f t="shared" si="4"/>
        <v>W</v>
      </c>
    </row>
    <row r="22" spans="1:14" x14ac:dyDescent="0.25">
      <c r="A22" t="s">
        <v>45</v>
      </c>
      <c r="B22" t="s">
        <v>315</v>
      </c>
      <c r="C22" t="s">
        <v>320</v>
      </c>
      <c r="E22" s="1" t="str">
        <f t="shared" si="1"/>
        <v>Away</v>
      </c>
      <c r="F22" s="3">
        <f t="shared" si="2"/>
        <v>5</v>
      </c>
      <c r="G22" s="3">
        <f t="shared" si="3"/>
        <v>1</v>
      </c>
      <c r="H22" s="3">
        <f t="shared" si="0"/>
        <v>6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341</v>
      </c>
      <c r="C23" t="s">
        <v>254</v>
      </c>
      <c r="E23" s="1" t="str">
        <f t="shared" si="1"/>
        <v>Away</v>
      </c>
      <c r="F23" s="3">
        <f t="shared" si="2"/>
        <v>5</v>
      </c>
      <c r="G23" s="3">
        <f t="shared" si="3"/>
        <v>4</v>
      </c>
      <c r="H23" s="3">
        <f t="shared" si="0"/>
        <v>9</v>
      </c>
      <c r="I23" s="3" t="str">
        <f t="shared" si="4"/>
        <v>W</v>
      </c>
      <c r="K23" s="1">
        <f>COUNTIFS(Table10[At], "Home",Table10[Result], "W")</f>
        <v>18</v>
      </c>
      <c r="L23" s="1">
        <f>COUNTIFS(Table10[At], "Home",Table10[Result], "L")</f>
        <v>17</v>
      </c>
      <c r="M23" s="1">
        <f>COUNTIFS(Table10[At], "Away",Table10[Result], "W")</f>
        <v>18</v>
      </c>
      <c r="N23" s="1">
        <f>COUNTIFS(Table10[At], "Away",Table10[Result], "L")</f>
        <v>18</v>
      </c>
    </row>
    <row r="24" spans="1:14" x14ac:dyDescent="0.25">
      <c r="A24" t="s">
        <v>49</v>
      </c>
      <c r="B24" t="s">
        <v>343</v>
      </c>
      <c r="C24" t="s">
        <v>270</v>
      </c>
      <c r="E24" s="1" t="str">
        <f t="shared" si="1"/>
        <v>Home</v>
      </c>
      <c r="F24" s="3">
        <f t="shared" si="2"/>
        <v>4</v>
      </c>
      <c r="G24" s="3">
        <f t="shared" si="3"/>
        <v>3</v>
      </c>
      <c r="H24" s="3">
        <f t="shared" si="0"/>
        <v>7</v>
      </c>
      <c r="I24" s="3" t="str">
        <f t="shared" si="4"/>
        <v>W</v>
      </c>
      <c r="K24" s="1"/>
      <c r="M24" s="1"/>
      <c r="N24" s="1"/>
    </row>
    <row r="25" spans="1:14" x14ac:dyDescent="0.25">
      <c r="A25" t="s">
        <v>51</v>
      </c>
      <c r="B25" t="s">
        <v>58</v>
      </c>
      <c r="C25" t="s">
        <v>292</v>
      </c>
      <c r="E25" s="1" t="str">
        <f t="shared" si="1"/>
        <v>Away</v>
      </c>
      <c r="F25" s="3">
        <f t="shared" si="2"/>
        <v>7</v>
      </c>
      <c r="G25" s="3">
        <f t="shared" si="3"/>
        <v>8</v>
      </c>
      <c r="H25" s="3">
        <f t="shared" si="0"/>
        <v>15</v>
      </c>
      <c r="I25" s="3" t="str">
        <f t="shared" si="4"/>
        <v>L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53</v>
      </c>
      <c r="B26" t="s">
        <v>58</v>
      </c>
      <c r="C26" t="s">
        <v>18</v>
      </c>
      <c r="E26" s="1" t="str">
        <f t="shared" si="1"/>
        <v>Away</v>
      </c>
      <c r="F26" s="3">
        <f t="shared" si="2"/>
        <v>8</v>
      </c>
      <c r="G26" s="3">
        <f t="shared" si="3"/>
        <v>9</v>
      </c>
      <c r="H26" s="3">
        <f t="shared" si="0"/>
        <v>17</v>
      </c>
      <c r="I26" s="3" t="str">
        <f t="shared" si="4"/>
        <v>L</v>
      </c>
      <c r="K26" s="1">
        <f>COUNTIFS(Table10[oR/G], "&gt;0",Table10[Result], "W")</f>
        <v>11</v>
      </c>
      <c r="L26" s="1">
        <f>COUNTIFS(Table10[oR/G], "&gt;0",Table10[Result], "l")</f>
        <v>21</v>
      </c>
      <c r="M26" s="1">
        <f>COUNTIFS(Table10[oR/G], "&lt;0",Table10[Result], "W")</f>
        <v>25</v>
      </c>
      <c r="N26" s="1">
        <f>COUNTIFS(Table10[oR/G], "&lt;0",Table10[Result], "l")</f>
        <v>14</v>
      </c>
    </row>
    <row r="27" spans="1:14" x14ac:dyDescent="0.25">
      <c r="A27" t="s">
        <v>53</v>
      </c>
      <c r="B27" t="s">
        <v>58</v>
      </c>
      <c r="C27" t="s">
        <v>48</v>
      </c>
      <c r="E27" s="1" t="str">
        <f t="shared" si="1"/>
        <v>Away</v>
      </c>
      <c r="F27" s="3">
        <f t="shared" si="2"/>
        <v>4</v>
      </c>
      <c r="G27" s="3">
        <f t="shared" si="3"/>
        <v>5</v>
      </c>
      <c r="H27" s="3">
        <f t="shared" si="0"/>
        <v>9</v>
      </c>
      <c r="I27" s="3" t="str">
        <f t="shared" si="4"/>
        <v>L</v>
      </c>
    </row>
    <row r="28" spans="1:14" x14ac:dyDescent="0.25">
      <c r="A28" t="s">
        <v>208</v>
      </c>
      <c r="B28" t="s">
        <v>58</v>
      </c>
      <c r="C28" t="s">
        <v>101</v>
      </c>
      <c r="E28" s="1" t="str">
        <f t="shared" si="1"/>
        <v>Away</v>
      </c>
      <c r="F28" s="3">
        <f t="shared" si="2"/>
        <v>0</v>
      </c>
      <c r="G28" s="3">
        <f t="shared" si="3"/>
        <v>7</v>
      </c>
      <c r="H28" s="3">
        <f t="shared" si="0"/>
        <v>7</v>
      </c>
      <c r="I28" s="3" t="str">
        <f t="shared" si="4"/>
        <v>L</v>
      </c>
    </row>
    <row r="29" spans="1:14" x14ac:dyDescent="0.25">
      <c r="A29" t="s">
        <v>247</v>
      </c>
      <c r="B29" t="s">
        <v>30</v>
      </c>
      <c r="C29" t="s">
        <v>336</v>
      </c>
      <c r="E29" s="1" t="str">
        <f t="shared" si="1"/>
        <v>Away</v>
      </c>
      <c r="F29" s="3">
        <f t="shared" si="2"/>
        <v>8</v>
      </c>
      <c r="G29" s="3">
        <f t="shared" si="3"/>
        <v>4</v>
      </c>
      <c r="H29" s="3">
        <f t="shared" si="0"/>
        <v>12</v>
      </c>
      <c r="I29" s="3" t="str">
        <f t="shared" si="4"/>
        <v>W</v>
      </c>
    </row>
    <row r="30" spans="1:14" x14ac:dyDescent="0.25">
      <c r="A30" t="s">
        <v>54</v>
      </c>
      <c r="B30" t="s">
        <v>30</v>
      </c>
      <c r="C30" t="s">
        <v>370</v>
      </c>
      <c r="E30" s="1" t="str">
        <f t="shared" si="1"/>
        <v>Away</v>
      </c>
      <c r="F30" s="3">
        <f t="shared" si="2"/>
        <v>7</v>
      </c>
      <c r="G30" s="3">
        <f t="shared" si="3"/>
        <v>17</v>
      </c>
      <c r="H30" s="3">
        <f t="shared" si="0"/>
        <v>24</v>
      </c>
      <c r="I30" s="3" t="str">
        <f t="shared" si="4"/>
        <v>L</v>
      </c>
    </row>
    <row r="31" spans="1:14" x14ac:dyDescent="0.25">
      <c r="A31" t="s">
        <v>57</v>
      </c>
      <c r="B31" t="s">
        <v>69</v>
      </c>
      <c r="C31" t="s">
        <v>251</v>
      </c>
      <c r="E31" s="1" t="str">
        <f t="shared" si="1"/>
        <v>Home</v>
      </c>
      <c r="F31" s="3">
        <f t="shared" si="2"/>
        <v>2</v>
      </c>
      <c r="G31" s="3">
        <f t="shared" si="3"/>
        <v>7</v>
      </c>
      <c r="H31" s="3">
        <f t="shared" si="0"/>
        <v>9</v>
      </c>
      <c r="I31" s="3" t="str">
        <f t="shared" si="4"/>
        <v>L</v>
      </c>
    </row>
    <row r="32" spans="1:14" x14ac:dyDescent="0.25">
      <c r="A32" t="s">
        <v>60</v>
      </c>
      <c r="B32" t="s">
        <v>69</v>
      </c>
      <c r="C32" t="s">
        <v>207</v>
      </c>
      <c r="E32" s="1" t="str">
        <f t="shared" si="1"/>
        <v>Home</v>
      </c>
      <c r="F32" s="3">
        <f t="shared" si="2"/>
        <v>3</v>
      </c>
      <c r="G32" s="3">
        <f t="shared" si="3"/>
        <v>8</v>
      </c>
      <c r="H32" s="3">
        <f t="shared" si="0"/>
        <v>11</v>
      </c>
      <c r="I32" s="3" t="str">
        <f t="shared" si="4"/>
        <v>L</v>
      </c>
    </row>
    <row r="33" spans="1:9" x14ac:dyDescent="0.25">
      <c r="A33" t="s">
        <v>62</v>
      </c>
      <c r="B33" t="s">
        <v>40</v>
      </c>
      <c r="C33" t="s">
        <v>65</v>
      </c>
      <c r="E33" s="1" t="str">
        <f t="shared" si="1"/>
        <v>Away</v>
      </c>
      <c r="F33" s="3">
        <f t="shared" si="2"/>
        <v>1</v>
      </c>
      <c r="G33" s="3">
        <f t="shared" si="3"/>
        <v>4</v>
      </c>
      <c r="H33" s="3">
        <f t="shared" si="0"/>
        <v>5</v>
      </c>
      <c r="I33" s="3" t="str">
        <f t="shared" si="4"/>
        <v>L</v>
      </c>
    </row>
    <row r="34" spans="1:9" x14ac:dyDescent="0.25">
      <c r="A34" t="s">
        <v>64</v>
      </c>
      <c r="B34" t="s">
        <v>40</v>
      </c>
      <c r="C34" t="s">
        <v>351</v>
      </c>
      <c r="E34" s="1" t="str">
        <f t="shared" si="1"/>
        <v>Away</v>
      </c>
      <c r="F34" s="3">
        <f t="shared" si="2"/>
        <v>2</v>
      </c>
      <c r="G34" s="3">
        <f t="shared" si="3"/>
        <v>1</v>
      </c>
      <c r="H34" s="3">
        <f t="shared" si="0"/>
        <v>3</v>
      </c>
      <c r="I34" s="3" t="str">
        <f t="shared" si="4"/>
        <v>W</v>
      </c>
    </row>
    <row r="35" spans="1:9" x14ac:dyDescent="0.25">
      <c r="A35" t="s">
        <v>66</v>
      </c>
      <c r="B35" t="s">
        <v>20</v>
      </c>
      <c r="C35" t="s">
        <v>28</v>
      </c>
      <c r="E35" s="1" t="str">
        <f t="shared" si="1"/>
        <v>Home</v>
      </c>
      <c r="F35" s="3">
        <f t="shared" si="2"/>
        <v>4</v>
      </c>
      <c r="G35" s="3">
        <f t="shared" si="3"/>
        <v>2</v>
      </c>
      <c r="H35" s="3">
        <f t="shared" si="0"/>
        <v>6</v>
      </c>
      <c r="I35" s="3" t="str">
        <f t="shared" si="4"/>
        <v>W</v>
      </c>
    </row>
    <row r="36" spans="1:9" x14ac:dyDescent="0.25">
      <c r="A36" t="s">
        <v>67</v>
      </c>
      <c r="B36" t="s">
        <v>20</v>
      </c>
      <c r="C36" t="s">
        <v>15</v>
      </c>
      <c r="E36" s="1" t="str">
        <f t="shared" si="1"/>
        <v>Home</v>
      </c>
      <c r="F36" s="3">
        <f t="shared" si="2"/>
        <v>3</v>
      </c>
      <c r="G36" s="3">
        <f t="shared" si="3"/>
        <v>1</v>
      </c>
      <c r="H36" s="3">
        <f t="shared" si="0"/>
        <v>4</v>
      </c>
      <c r="I36" s="3" t="str">
        <f t="shared" si="4"/>
        <v>W</v>
      </c>
    </row>
    <row r="37" spans="1:9" x14ac:dyDescent="0.25">
      <c r="A37" t="s">
        <v>68</v>
      </c>
      <c r="B37" t="s">
        <v>23</v>
      </c>
      <c r="C37" t="s">
        <v>359</v>
      </c>
      <c r="E37" s="1" t="str">
        <f t="shared" si="1"/>
        <v>Home</v>
      </c>
      <c r="F37" s="3">
        <f t="shared" si="2"/>
        <v>2</v>
      </c>
      <c r="G37" s="3">
        <f t="shared" si="3"/>
        <v>16</v>
      </c>
      <c r="H37" s="3">
        <f t="shared" si="0"/>
        <v>18</v>
      </c>
      <c r="I37" s="3" t="str">
        <f t="shared" si="4"/>
        <v>L</v>
      </c>
    </row>
    <row r="38" spans="1:9" x14ac:dyDescent="0.25">
      <c r="A38" t="s">
        <v>71</v>
      </c>
      <c r="B38" t="s">
        <v>23</v>
      </c>
      <c r="C38" t="s">
        <v>371</v>
      </c>
      <c r="E38" s="1" t="str">
        <f t="shared" si="1"/>
        <v>Home</v>
      </c>
      <c r="F38" s="3">
        <f t="shared" si="2"/>
        <v>18</v>
      </c>
      <c r="G38" s="3">
        <f t="shared" si="3"/>
        <v>2</v>
      </c>
      <c r="H38" s="3">
        <f t="shared" si="0"/>
        <v>20</v>
      </c>
      <c r="I38" s="3" t="str">
        <f t="shared" si="4"/>
        <v>W</v>
      </c>
    </row>
    <row r="39" spans="1:9" x14ac:dyDescent="0.25">
      <c r="A39" t="s">
        <v>73</v>
      </c>
      <c r="B39" t="s">
        <v>10</v>
      </c>
      <c r="C39" t="s">
        <v>50</v>
      </c>
      <c r="E39" s="1" t="str">
        <f t="shared" si="1"/>
        <v>Away</v>
      </c>
      <c r="F39" s="3">
        <f t="shared" si="2"/>
        <v>3</v>
      </c>
      <c r="G39" s="3">
        <f t="shared" si="3"/>
        <v>4</v>
      </c>
      <c r="H39" s="3">
        <f t="shared" si="0"/>
        <v>7</v>
      </c>
      <c r="I39" s="3" t="str">
        <f t="shared" si="4"/>
        <v>L</v>
      </c>
    </row>
    <row r="40" spans="1:9" x14ac:dyDescent="0.25">
      <c r="A40" t="s">
        <v>209</v>
      </c>
      <c r="B40" t="s">
        <v>10</v>
      </c>
      <c r="C40" t="s">
        <v>65</v>
      </c>
      <c r="E40" s="1" t="str">
        <f t="shared" si="1"/>
        <v>Away</v>
      </c>
      <c r="F40" s="3">
        <f t="shared" si="2"/>
        <v>1</v>
      </c>
      <c r="G40" s="3">
        <f t="shared" si="3"/>
        <v>4</v>
      </c>
      <c r="H40" s="3">
        <f t="shared" si="0"/>
        <v>5</v>
      </c>
      <c r="I40" s="3" t="str">
        <f t="shared" si="4"/>
        <v>L</v>
      </c>
    </row>
    <row r="41" spans="1:9" x14ac:dyDescent="0.25">
      <c r="A41" t="s">
        <v>76</v>
      </c>
      <c r="B41" t="s">
        <v>321</v>
      </c>
      <c r="C41" t="s">
        <v>322</v>
      </c>
      <c r="E41" s="1" t="str">
        <f t="shared" si="1"/>
        <v>Home</v>
      </c>
      <c r="F41" s="3">
        <f t="shared" si="2"/>
        <v>6</v>
      </c>
      <c r="G41" s="3">
        <f t="shared" si="3"/>
        <v>7</v>
      </c>
      <c r="H41" s="3">
        <f t="shared" si="0"/>
        <v>13</v>
      </c>
      <c r="I41" s="3" t="str">
        <f t="shared" si="4"/>
        <v>L</v>
      </c>
    </row>
    <row r="42" spans="1:9" x14ac:dyDescent="0.25">
      <c r="A42" t="s">
        <v>78</v>
      </c>
      <c r="B42" t="s">
        <v>321</v>
      </c>
      <c r="C42" t="s">
        <v>83</v>
      </c>
      <c r="E42" s="1" t="str">
        <f t="shared" si="1"/>
        <v>Home</v>
      </c>
      <c r="F42" s="3">
        <f t="shared" si="2"/>
        <v>4</v>
      </c>
      <c r="G42" s="3">
        <f t="shared" si="3"/>
        <v>7</v>
      </c>
      <c r="H42" s="3">
        <f t="shared" si="0"/>
        <v>11</v>
      </c>
      <c r="I42" s="3" t="str">
        <f t="shared" si="4"/>
        <v>L</v>
      </c>
    </row>
    <row r="43" spans="1:9" x14ac:dyDescent="0.25">
      <c r="A43" t="s">
        <v>80</v>
      </c>
      <c r="B43" t="s">
        <v>343</v>
      </c>
      <c r="C43" t="s">
        <v>240</v>
      </c>
      <c r="E43" s="1" t="str">
        <f t="shared" si="1"/>
        <v>Home</v>
      </c>
      <c r="F43" s="3">
        <f t="shared" si="2"/>
        <v>1</v>
      </c>
      <c r="G43" s="3">
        <f t="shared" si="3"/>
        <v>3</v>
      </c>
      <c r="H43" s="3">
        <f t="shared" si="0"/>
        <v>4</v>
      </c>
      <c r="I43" s="3" t="str">
        <f t="shared" si="4"/>
        <v>L</v>
      </c>
    </row>
    <row r="44" spans="1:9" x14ac:dyDescent="0.25">
      <c r="A44" t="s">
        <v>81</v>
      </c>
      <c r="B44" t="s">
        <v>343</v>
      </c>
      <c r="C44" t="s">
        <v>372</v>
      </c>
      <c r="E44" s="1" t="str">
        <f t="shared" si="1"/>
        <v>Home</v>
      </c>
      <c r="F44" s="3">
        <f t="shared" si="2"/>
        <v>9</v>
      </c>
      <c r="G44" s="3">
        <f t="shared" si="3"/>
        <v>1</v>
      </c>
      <c r="H44" s="3">
        <f t="shared" si="0"/>
        <v>10</v>
      </c>
      <c r="I44" s="3" t="str">
        <f t="shared" si="4"/>
        <v>W</v>
      </c>
    </row>
    <row r="45" spans="1:9" x14ac:dyDescent="0.25">
      <c r="A45" t="s">
        <v>82</v>
      </c>
      <c r="B45" t="s">
        <v>10</v>
      </c>
      <c r="C45" t="s">
        <v>130</v>
      </c>
      <c r="E45" s="1" t="str">
        <f t="shared" si="1"/>
        <v>Away</v>
      </c>
      <c r="F45" s="3">
        <f t="shared" si="2"/>
        <v>9</v>
      </c>
      <c r="G45" s="3">
        <f t="shared" si="3"/>
        <v>2</v>
      </c>
      <c r="H45" s="3">
        <f t="shared" si="0"/>
        <v>11</v>
      </c>
      <c r="I45" s="3" t="str">
        <f t="shared" si="4"/>
        <v>W</v>
      </c>
    </row>
    <row r="46" spans="1:9" x14ac:dyDescent="0.25">
      <c r="A46" t="s">
        <v>84</v>
      </c>
      <c r="B46" t="s">
        <v>10</v>
      </c>
      <c r="C46" t="s">
        <v>322</v>
      </c>
      <c r="E46" s="1" t="str">
        <f t="shared" si="1"/>
        <v>Away</v>
      </c>
      <c r="F46" s="3">
        <f t="shared" si="2"/>
        <v>6</v>
      </c>
      <c r="G46" s="3">
        <f t="shared" si="3"/>
        <v>7</v>
      </c>
      <c r="H46" s="3">
        <f t="shared" si="0"/>
        <v>13</v>
      </c>
      <c r="I46" s="3" t="str">
        <f t="shared" si="4"/>
        <v>L</v>
      </c>
    </row>
    <row r="47" spans="1:9" x14ac:dyDescent="0.25">
      <c r="A47" t="s">
        <v>86</v>
      </c>
      <c r="B47" t="s">
        <v>20</v>
      </c>
      <c r="C47" t="s">
        <v>281</v>
      </c>
      <c r="E47" s="1" t="str">
        <f t="shared" si="1"/>
        <v>Home</v>
      </c>
      <c r="F47" s="3">
        <f t="shared" si="2"/>
        <v>1</v>
      </c>
      <c r="G47" s="3">
        <f t="shared" si="3"/>
        <v>8</v>
      </c>
      <c r="H47" s="3">
        <f t="shared" si="0"/>
        <v>9</v>
      </c>
      <c r="I47" s="3" t="str">
        <f t="shared" si="4"/>
        <v>L</v>
      </c>
    </row>
    <row r="48" spans="1:9" x14ac:dyDescent="0.25">
      <c r="A48" t="s">
        <v>88</v>
      </c>
      <c r="B48" t="s">
        <v>20</v>
      </c>
      <c r="C48" t="s">
        <v>254</v>
      </c>
      <c r="E48" s="1" t="str">
        <f t="shared" si="1"/>
        <v>Home</v>
      </c>
      <c r="F48" s="3">
        <f t="shared" si="2"/>
        <v>5</v>
      </c>
      <c r="G48" s="3">
        <f t="shared" si="3"/>
        <v>4</v>
      </c>
      <c r="H48" s="3">
        <f t="shared" si="0"/>
        <v>9</v>
      </c>
      <c r="I48" s="3" t="str">
        <f t="shared" si="4"/>
        <v>W</v>
      </c>
    </row>
    <row r="49" spans="1:9" x14ac:dyDescent="0.25">
      <c r="A49" t="s">
        <v>88</v>
      </c>
      <c r="B49" t="s">
        <v>20</v>
      </c>
      <c r="C49" t="s">
        <v>373</v>
      </c>
      <c r="E49" s="1" t="str">
        <f t="shared" si="1"/>
        <v>Home</v>
      </c>
      <c r="F49" s="3">
        <f t="shared" si="2"/>
        <v>11</v>
      </c>
      <c r="G49" s="3">
        <f t="shared" si="3"/>
        <v>1</v>
      </c>
      <c r="H49" s="3">
        <f t="shared" si="0"/>
        <v>12</v>
      </c>
      <c r="I49" s="3" t="str">
        <f t="shared" si="4"/>
        <v>W</v>
      </c>
    </row>
    <row r="50" spans="1:9" x14ac:dyDescent="0.25">
      <c r="A50" t="s">
        <v>91</v>
      </c>
      <c r="B50" t="s">
        <v>20</v>
      </c>
      <c r="C50" t="s">
        <v>55</v>
      </c>
      <c r="E50" s="1" t="str">
        <f t="shared" si="1"/>
        <v>Home</v>
      </c>
      <c r="F50" s="3">
        <f t="shared" si="2"/>
        <v>5</v>
      </c>
      <c r="G50" s="3">
        <f t="shared" si="3"/>
        <v>7</v>
      </c>
      <c r="H50" s="3">
        <f t="shared" si="0"/>
        <v>12</v>
      </c>
      <c r="I50" s="3" t="str">
        <f t="shared" si="4"/>
        <v>L</v>
      </c>
    </row>
    <row r="51" spans="1:9" x14ac:dyDescent="0.25">
      <c r="A51" t="s">
        <v>93</v>
      </c>
      <c r="B51" t="s">
        <v>23</v>
      </c>
      <c r="C51" t="s">
        <v>15</v>
      </c>
      <c r="E51" s="1" t="str">
        <f t="shared" si="1"/>
        <v>Home</v>
      </c>
      <c r="F51" s="3">
        <f t="shared" si="2"/>
        <v>3</v>
      </c>
      <c r="G51" s="3">
        <f t="shared" si="3"/>
        <v>1</v>
      </c>
      <c r="H51" s="3">
        <f t="shared" si="0"/>
        <v>4</v>
      </c>
      <c r="I51" s="3" t="str">
        <f t="shared" si="4"/>
        <v>W</v>
      </c>
    </row>
    <row r="52" spans="1:9" x14ac:dyDescent="0.25">
      <c r="A52" t="s">
        <v>96</v>
      </c>
      <c r="B52" t="s">
        <v>23</v>
      </c>
      <c r="C52" t="s">
        <v>249</v>
      </c>
      <c r="E52" s="1" t="str">
        <f t="shared" si="1"/>
        <v>Home</v>
      </c>
      <c r="F52" s="3">
        <f t="shared" si="2"/>
        <v>9</v>
      </c>
      <c r="G52" s="3">
        <f t="shared" si="3"/>
        <v>11</v>
      </c>
      <c r="H52" s="3">
        <f t="shared" si="0"/>
        <v>20</v>
      </c>
      <c r="I52" s="3" t="str">
        <f t="shared" si="4"/>
        <v>L</v>
      </c>
    </row>
    <row r="53" spans="1:9" x14ac:dyDescent="0.25">
      <c r="A53" t="s">
        <v>97</v>
      </c>
      <c r="B53" t="s">
        <v>319</v>
      </c>
      <c r="C53" t="s">
        <v>48</v>
      </c>
      <c r="E53" s="1" t="str">
        <f t="shared" si="1"/>
        <v>Away</v>
      </c>
      <c r="F53" s="3">
        <f t="shared" si="2"/>
        <v>4</v>
      </c>
      <c r="G53" s="3">
        <f t="shared" si="3"/>
        <v>5</v>
      </c>
      <c r="H53" s="3">
        <f t="shared" si="0"/>
        <v>9</v>
      </c>
      <c r="I53" s="3" t="str">
        <f t="shared" si="4"/>
        <v>L</v>
      </c>
    </row>
    <row r="54" spans="1:9" x14ac:dyDescent="0.25">
      <c r="A54" t="s">
        <v>100</v>
      </c>
      <c r="B54" t="s">
        <v>319</v>
      </c>
      <c r="C54" t="s">
        <v>254</v>
      </c>
      <c r="E54" s="1" t="str">
        <f t="shared" si="1"/>
        <v>Away</v>
      </c>
      <c r="F54" s="3">
        <f t="shared" si="2"/>
        <v>5</v>
      </c>
      <c r="G54" s="3">
        <f t="shared" si="3"/>
        <v>4</v>
      </c>
      <c r="H54" s="3">
        <f t="shared" si="0"/>
        <v>9</v>
      </c>
      <c r="I54" s="3" t="str">
        <f t="shared" si="4"/>
        <v>W</v>
      </c>
    </row>
    <row r="55" spans="1:9" x14ac:dyDescent="0.25">
      <c r="A55" t="s">
        <v>215</v>
      </c>
      <c r="B55" t="s">
        <v>10</v>
      </c>
      <c r="C55" t="s">
        <v>322</v>
      </c>
      <c r="E55" s="1" t="str">
        <f t="shared" si="1"/>
        <v>Away</v>
      </c>
      <c r="F55" s="3">
        <f t="shared" si="2"/>
        <v>6</v>
      </c>
      <c r="G55" s="3">
        <f t="shared" si="3"/>
        <v>7</v>
      </c>
      <c r="H55" s="3">
        <f t="shared" si="0"/>
        <v>13</v>
      </c>
      <c r="I55" s="3" t="str">
        <f t="shared" si="4"/>
        <v>L</v>
      </c>
    </row>
    <row r="56" spans="1:9" x14ac:dyDescent="0.25">
      <c r="A56" t="s">
        <v>102</v>
      </c>
      <c r="B56" t="s">
        <v>10</v>
      </c>
      <c r="C56" t="s">
        <v>28</v>
      </c>
      <c r="E56" s="1" t="str">
        <f t="shared" si="1"/>
        <v>Away</v>
      </c>
      <c r="F56" s="3">
        <f t="shared" si="2"/>
        <v>4</v>
      </c>
      <c r="G56" s="3">
        <f t="shared" si="3"/>
        <v>2</v>
      </c>
      <c r="H56" s="3">
        <f t="shared" si="0"/>
        <v>6</v>
      </c>
      <c r="I56" s="3" t="str">
        <f t="shared" si="4"/>
        <v>W</v>
      </c>
    </row>
    <row r="57" spans="1:9" x14ac:dyDescent="0.25">
      <c r="A57" t="s">
        <v>105</v>
      </c>
      <c r="B57" t="s">
        <v>343</v>
      </c>
      <c r="C57" t="s">
        <v>260</v>
      </c>
      <c r="E57" s="1" t="str">
        <f t="shared" si="1"/>
        <v>Home</v>
      </c>
      <c r="F57" s="3">
        <f t="shared" si="2"/>
        <v>5</v>
      </c>
      <c r="G57" s="3">
        <f t="shared" si="3"/>
        <v>12</v>
      </c>
      <c r="H57" s="3">
        <f t="shared" si="0"/>
        <v>17</v>
      </c>
      <c r="I57" s="3" t="str">
        <f t="shared" si="4"/>
        <v>L</v>
      </c>
    </row>
    <row r="58" spans="1:9" x14ac:dyDescent="0.25">
      <c r="A58" t="s">
        <v>107</v>
      </c>
      <c r="B58" t="s">
        <v>343</v>
      </c>
      <c r="C58" t="s">
        <v>83</v>
      </c>
      <c r="E58" s="1" t="str">
        <f t="shared" si="1"/>
        <v>Home</v>
      </c>
      <c r="F58" s="3">
        <f t="shared" si="2"/>
        <v>4</v>
      </c>
      <c r="G58" s="3">
        <f t="shared" si="3"/>
        <v>7</v>
      </c>
      <c r="H58" s="3">
        <f t="shared" si="0"/>
        <v>11</v>
      </c>
      <c r="I58" s="3" t="str">
        <f t="shared" si="4"/>
        <v>L</v>
      </c>
    </row>
    <row r="59" spans="1:9" x14ac:dyDescent="0.25">
      <c r="A59" t="s">
        <v>108</v>
      </c>
      <c r="B59" t="s">
        <v>58</v>
      </c>
      <c r="C59" t="s">
        <v>132</v>
      </c>
      <c r="E59" s="1" t="str">
        <f t="shared" si="1"/>
        <v>Away</v>
      </c>
      <c r="F59" s="3">
        <f t="shared" si="2"/>
        <v>3</v>
      </c>
      <c r="G59" s="3">
        <f t="shared" si="3"/>
        <v>6</v>
      </c>
      <c r="H59" s="3">
        <f t="shared" si="0"/>
        <v>9</v>
      </c>
      <c r="I59" s="3" t="str">
        <f t="shared" si="4"/>
        <v>L</v>
      </c>
    </row>
    <row r="60" spans="1:9" x14ac:dyDescent="0.25">
      <c r="A60" t="s">
        <v>110</v>
      </c>
      <c r="B60" t="s">
        <v>58</v>
      </c>
      <c r="C60" t="s">
        <v>85</v>
      </c>
      <c r="E60" s="1" t="str">
        <f t="shared" si="1"/>
        <v>Away</v>
      </c>
      <c r="F60" s="3">
        <f t="shared" si="2"/>
        <v>5</v>
      </c>
      <c r="G60" s="3">
        <f t="shared" si="3"/>
        <v>3</v>
      </c>
      <c r="H60" s="3">
        <f t="shared" si="0"/>
        <v>8</v>
      </c>
      <c r="I60" s="3" t="str">
        <f t="shared" si="4"/>
        <v>W</v>
      </c>
    </row>
    <row r="61" spans="1:9" x14ac:dyDescent="0.25">
      <c r="A61" t="s">
        <v>111</v>
      </c>
      <c r="B61" t="s">
        <v>30</v>
      </c>
      <c r="C61" t="s">
        <v>18</v>
      </c>
      <c r="E61" s="1" t="str">
        <f t="shared" si="1"/>
        <v>Away</v>
      </c>
      <c r="F61" s="3">
        <f t="shared" si="2"/>
        <v>8</v>
      </c>
      <c r="G61" s="3">
        <f t="shared" si="3"/>
        <v>9</v>
      </c>
      <c r="H61" s="3">
        <f t="shared" si="0"/>
        <v>17</v>
      </c>
      <c r="I61" s="3" t="str">
        <f t="shared" si="4"/>
        <v>L</v>
      </c>
    </row>
    <row r="62" spans="1:9" x14ac:dyDescent="0.25">
      <c r="A62" t="s">
        <v>112</v>
      </c>
      <c r="B62" t="s">
        <v>30</v>
      </c>
      <c r="C62" t="s">
        <v>374</v>
      </c>
      <c r="E62" s="1" t="str">
        <f t="shared" si="1"/>
        <v>Away</v>
      </c>
      <c r="F62" s="3">
        <f t="shared" si="2"/>
        <v>6</v>
      </c>
      <c r="G62" s="3">
        <f t="shared" si="3"/>
        <v>9</v>
      </c>
      <c r="H62" s="3">
        <f t="shared" si="0"/>
        <v>15</v>
      </c>
      <c r="I62" s="3" t="str">
        <f t="shared" si="4"/>
        <v>L</v>
      </c>
    </row>
    <row r="63" spans="1:9" x14ac:dyDescent="0.25">
      <c r="A63" t="s">
        <v>114</v>
      </c>
      <c r="B63" t="s">
        <v>124</v>
      </c>
      <c r="C63" t="s">
        <v>276</v>
      </c>
      <c r="E63" s="1" t="str">
        <f t="shared" si="1"/>
        <v>Away</v>
      </c>
      <c r="F63" s="3">
        <f t="shared" si="2"/>
        <v>2</v>
      </c>
      <c r="G63" s="3">
        <f t="shared" si="3"/>
        <v>4</v>
      </c>
      <c r="H63" s="3">
        <f t="shared" si="0"/>
        <v>6</v>
      </c>
      <c r="I63" s="3" t="str">
        <f t="shared" si="4"/>
        <v>L</v>
      </c>
    </row>
    <row r="64" spans="1:9" x14ac:dyDescent="0.25">
      <c r="A64" t="s">
        <v>117</v>
      </c>
      <c r="B64" t="s">
        <v>124</v>
      </c>
      <c r="C64" t="s">
        <v>310</v>
      </c>
      <c r="E64" s="1" t="str">
        <f t="shared" si="1"/>
        <v>Away</v>
      </c>
      <c r="F64" s="3">
        <f t="shared" si="2"/>
        <v>2</v>
      </c>
      <c r="G64" s="3">
        <f t="shared" si="3"/>
        <v>17</v>
      </c>
      <c r="H64" s="3">
        <f t="shared" si="0"/>
        <v>19</v>
      </c>
      <c r="I64" s="3" t="str">
        <f t="shared" si="4"/>
        <v>L</v>
      </c>
    </row>
    <row r="65" spans="1:10" x14ac:dyDescent="0.25">
      <c r="A65" t="s">
        <v>119</v>
      </c>
      <c r="B65" t="s">
        <v>52</v>
      </c>
      <c r="C65" t="s">
        <v>373</v>
      </c>
      <c r="E65" s="1" t="str">
        <f t="shared" si="1"/>
        <v>Home</v>
      </c>
      <c r="F65" s="3">
        <f t="shared" si="2"/>
        <v>11</v>
      </c>
      <c r="G65" s="3">
        <f t="shared" si="3"/>
        <v>1</v>
      </c>
      <c r="H65" s="3">
        <f t="shared" si="0"/>
        <v>12</v>
      </c>
      <c r="I65" s="3" t="str">
        <f t="shared" si="4"/>
        <v>W</v>
      </c>
    </row>
    <row r="66" spans="1:10" x14ac:dyDescent="0.25">
      <c r="A66" t="s">
        <v>122</v>
      </c>
      <c r="B66" t="s">
        <v>52</v>
      </c>
      <c r="C66" t="s">
        <v>290</v>
      </c>
      <c r="E66" s="1" t="str">
        <f t="shared" si="1"/>
        <v>Home</v>
      </c>
      <c r="F66" s="3">
        <f t="shared" si="2"/>
        <v>5</v>
      </c>
      <c r="G66" s="3">
        <f t="shared" si="3"/>
        <v>0</v>
      </c>
      <c r="H66" s="3">
        <f t="shared" si="0"/>
        <v>5</v>
      </c>
      <c r="I66" s="3" t="str">
        <f t="shared" si="4"/>
        <v>W</v>
      </c>
    </row>
    <row r="67" spans="1:10" x14ac:dyDescent="0.25">
      <c r="A67" t="s">
        <v>218</v>
      </c>
      <c r="B67" t="s">
        <v>52</v>
      </c>
      <c r="C67" t="s">
        <v>375</v>
      </c>
      <c r="E67" s="1" t="str">
        <f t="shared" si="1"/>
        <v>Home</v>
      </c>
      <c r="F67" s="3">
        <f t="shared" si="2"/>
        <v>6</v>
      </c>
      <c r="G67" s="3">
        <f t="shared" si="3"/>
        <v>13</v>
      </c>
      <c r="H67" s="3">
        <f t="shared" ref="H67:H74" si="6">F67+G67</f>
        <v>19</v>
      </c>
      <c r="I67" s="3" t="str">
        <f t="shared" si="4"/>
        <v>L</v>
      </c>
    </row>
    <row r="68" spans="1:10" x14ac:dyDescent="0.25">
      <c r="A68" t="s">
        <v>123</v>
      </c>
      <c r="B68" t="s">
        <v>52</v>
      </c>
      <c r="C68" t="s">
        <v>92</v>
      </c>
      <c r="E68" s="1" t="str">
        <f t="shared" ref="E68:E74" si="7">IF(LEFT(B68,1)="@","Away","Home")</f>
        <v>Home</v>
      </c>
      <c r="F68" s="3">
        <f t="shared" ref="F68:F74" si="8">_xlfn.NUMBERVALUE(MID(LEFT(C68,FIND("-",C68)-1),FIND(" ",C68)+1,LEN(C68)))</f>
        <v>5</v>
      </c>
      <c r="G68" s="3">
        <f t="shared" ref="G68:G74" si="9">_xlfn.NUMBERVALUE(RIGHT(C68,LEN(C68)-FIND("-",C68)))</f>
        <v>10</v>
      </c>
      <c r="H68" s="3">
        <f t="shared" si="6"/>
        <v>15</v>
      </c>
      <c r="I68" s="3" t="str">
        <f t="shared" ref="I68:I74" si="10">LEFT(C68,1)</f>
        <v>L</v>
      </c>
    </row>
    <row r="69" spans="1:10" x14ac:dyDescent="0.25">
      <c r="A69" t="s">
        <v>126</v>
      </c>
      <c r="B69" t="s">
        <v>341</v>
      </c>
      <c r="C69" t="s">
        <v>65</v>
      </c>
      <c r="E69" s="1" t="str">
        <f t="shared" si="7"/>
        <v>Away</v>
      </c>
      <c r="F69" s="3">
        <f t="shared" si="8"/>
        <v>1</v>
      </c>
      <c r="G69" s="3">
        <f t="shared" si="9"/>
        <v>4</v>
      </c>
      <c r="H69" s="3">
        <f t="shared" si="6"/>
        <v>5</v>
      </c>
      <c r="I69" s="3" t="str">
        <f t="shared" si="10"/>
        <v>L</v>
      </c>
    </row>
    <row r="70" spans="1:10" x14ac:dyDescent="0.25">
      <c r="A70" t="s">
        <v>127</v>
      </c>
      <c r="B70" t="s">
        <v>341</v>
      </c>
      <c r="C70" t="s">
        <v>205</v>
      </c>
      <c r="E70" s="1" t="str">
        <f t="shared" si="7"/>
        <v>Away</v>
      </c>
      <c r="F70" s="3">
        <f t="shared" si="8"/>
        <v>5</v>
      </c>
      <c r="G70" s="3">
        <f t="shared" si="9"/>
        <v>6</v>
      </c>
      <c r="H70" s="3">
        <f t="shared" si="6"/>
        <v>11</v>
      </c>
      <c r="I70" s="3" t="str">
        <f t="shared" si="10"/>
        <v>L</v>
      </c>
    </row>
    <row r="71" spans="1:10" x14ac:dyDescent="0.25">
      <c r="A71" t="s">
        <v>129</v>
      </c>
      <c r="B71" t="s">
        <v>40</v>
      </c>
      <c r="C71" t="s">
        <v>286</v>
      </c>
      <c r="E71" s="1" t="str">
        <f t="shared" si="7"/>
        <v>Away</v>
      </c>
      <c r="F71" s="3">
        <f t="shared" si="8"/>
        <v>4</v>
      </c>
      <c r="G71" s="3">
        <f t="shared" si="9"/>
        <v>13</v>
      </c>
      <c r="H71" s="3">
        <f t="shared" si="6"/>
        <v>17</v>
      </c>
      <c r="I71" s="3" t="str">
        <f t="shared" si="10"/>
        <v>L</v>
      </c>
    </row>
    <row r="72" spans="1:10" x14ac:dyDescent="0.25">
      <c r="A72" t="s">
        <v>131</v>
      </c>
      <c r="B72" t="s">
        <v>40</v>
      </c>
      <c r="C72" t="s">
        <v>38</v>
      </c>
      <c r="E72" s="1" t="str">
        <f t="shared" si="7"/>
        <v>Away</v>
      </c>
      <c r="F72" s="3">
        <f t="shared" si="8"/>
        <v>3</v>
      </c>
      <c r="G72" s="3">
        <f t="shared" si="9"/>
        <v>5</v>
      </c>
      <c r="H72" s="3">
        <f t="shared" si="6"/>
        <v>8</v>
      </c>
      <c r="I72" s="3" t="str">
        <f t="shared" si="10"/>
        <v>L</v>
      </c>
    </row>
    <row r="73" spans="1:10" x14ac:dyDescent="0.25">
      <c r="A73" t="s">
        <v>133</v>
      </c>
      <c r="B73" t="s">
        <v>69</v>
      </c>
      <c r="C73" t="s">
        <v>6</v>
      </c>
      <c r="E73" s="1" t="str">
        <f t="shared" si="7"/>
        <v>Home</v>
      </c>
      <c r="F73" s="3">
        <f t="shared" si="8"/>
        <v>2</v>
      </c>
      <c r="G73" s="3">
        <f t="shared" si="9"/>
        <v>6</v>
      </c>
      <c r="H73" s="3">
        <f t="shared" si="6"/>
        <v>8</v>
      </c>
      <c r="I73" s="3" t="str">
        <f t="shared" si="10"/>
        <v>L</v>
      </c>
    </row>
    <row r="74" spans="1:10" x14ac:dyDescent="0.25">
      <c r="A74" t="s">
        <v>134</v>
      </c>
      <c r="B74" t="s">
        <v>69</v>
      </c>
      <c r="C74" t="s">
        <v>228</v>
      </c>
      <c r="E74" s="1" t="str">
        <f t="shared" si="7"/>
        <v>Home</v>
      </c>
      <c r="F74" s="3">
        <f t="shared" si="8"/>
        <v>10</v>
      </c>
      <c r="G74" s="3">
        <f t="shared" si="9"/>
        <v>3</v>
      </c>
      <c r="H74" s="3">
        <f t="shared" si="6"/>
        <v>13</v>
      </c>
      <c r="I74" s="3" t="str">
        <f t="shared" si="10"/>
        <v>W</v>
      </c>
    </row>
    <row r="76" spans="1:10" x14ac:dyDescent="0.25">
      <c r="A76" t="s">
        <v>1</v>
      </c>
      <c r="B76" t="s">
        <v>2</v>
      </c>
      <c r="C76" t="s">
        <v>469</v>
      </c>
      <c r="D76" t="s">
        <v>135</v>
      </c>
      <c r="E76" t="s">
        <v>136</v>
      </c>
      <c r="F76" t="s">
        <v>137</v>
      </c>
      <c r="G76" t="s">
        <v>138</v>
      </c>
      <c r="H76" t="s">
        <v>3</v>
      </c>
      <c r="I76" t="s">
        <v>494</v>
      </c>
      <c r="J76" t="s">
        <v>495</v>
      </c>
    </row>
    <row r="77" spans="1:10" x14ac:dyDescent="0.25">
      <c r="A77" t="s">
        <v>448</v>
      </c>
      <c r="B77" t="s">
        <v>30</v>
      </c>
      <c r="C77" t="s">
        <v>113</v>
      </c>
      <c r="D77" t="str">
        <f>IF(LEFT(Table10[[#This Row],[Opponent]],1)="@","Away","Home")</f>
        <v>Away</v>
      </c>
      <c r="E77">
        <f>_xlfn.NUMBERVALUE(MID(LEFT(Table10[[#This Row],[Score]],FIND("-",Table10[[#This Row],[Score]])-1),FIND(" ",Table10[[#This Row],[Score]])+1,LEN(Table10[[#This Row],[Score]])))</f>
        <v>7</v>
      </c>
      <c r="F77">
        <f>_xlfn.NUMBERVALUE(RIGHT(Table10[[#This Row],[Score]],LEN(Table10[[#This Row],[Score]])-FIND("-",Table10[[#This Row],[Score]])))</f>
        <v>9</v>
      </c>
      <c r="G77">
        <f t="shared" ref="G77" si="11">E77+F77</f>
        <v>16</v>
      </c>
      <c r="H77" t="str">
        <f>LEFT(Table10[[#This Row],[Score]],1)</f>
        <v>L</v>
      </c>
      <c r="I77" s="17" t="str">
        <f>VLOOKUP(IF(Table10[[#This Row],[At]]="Home",Table10[[#This Row],[Opponent]],RIGHT(Table10[[#This Row],[Opponent]],LEN(Table10[[#This Row],[Opponent]])-1)),CHOOSE({1,2},[1]StandingsRAW!$J$1:$J$22,[1]StandingsRAW!$L$1:$L$22),2,FALSE)</f>
        <v>KEN</v>
      </c>
      <c r="J77" s="33">
        <f>VLOOKUP(Table10[[#This Row],[OPP]],Raw!$L$2:$S$23,7,FALSE)-Raw!$U$2</f>
        <v>-3.3200531208499337E-3</v>
      </c>
    </row>
    <row r="78" spans="1:10" x14ac:dyDescent="0.25">
      <c r="A78" t="s">
        <v>449</v>
      </c>
      <c r="B78" t="s">
        <v>30</v>
      </c>
      <c r="C78" t="s">
        <v>94</v>
      </c>
      <c r="D78" t="str">
        <f>IF(LEFT(Table10[[#This Row],[Opponent]],1)="@","Away","Home")</f>
        <v>Away</v>
      </c>
      <c r="E78">
        <f>_xlfn.NUMBERVALUE(MID(LEFT(Table10[[#This Row],[Score]],FIND("-",Table10[[#This Row],[Score]])-1),FIND(" ",Table10[[#This Row],[Score]])+1,LEN(Table10[[#This Row],[Score]])))</f>
        <v>4</v>
      </c>
      <c r="F78">
        <f>_xlfn.NUMBERVALUE(RIGHT(Table10[[#This Row],[Score]],LEN(Table10[[#This Row],[Score]])-FIND("-",Table10[[#This Row],[Score]])))</f>
        <v>8</v>
      </c>
      <c r="G78">
        <f t="shared" ref="G78:G98" si="12">E78+F78</f>
        <v>12</v>
      </c>
      <c r="H78" t="str">
        <f>LEFT(Table10[[#This Row],[Score]],1)</f>
        <v>L</v>
      </c>
      <c r="I78" s="17" t="str">
        <f>VLOOKUP(IF(Table10[[#This Row],[At]]="Home",Table10[[#This Row],[Opponent]],RIGHT(Table10[[#This Row],[Opponent]],LEN(Table10[[#This Row],[Opponent]])-1)),CHOOSE({1,2},[1]StandingsRAW!$J$1:$J$22,[1]StandingsRAW!$L$1:$L$22),2,FALSE)</f>
        <v>KEN</v>
      </c>
      <c r="J78" s="33">
        <f>VLOOKUP(Table10[[#This Row],[OPP]],Raw!$L$2:$S$23,7,FALSE)-Raw!$U$2</f>
        <v>-3.3200531208499337E-3</v>
      </c>
    </row>
    <row r="79" spans="1:10" x14ac:dyDescent="0.25">
      <c r="A79" t="s">
        <v>450</v>
      </c>
      <c r="B79" t="s">
        <v>343</v>
      </c>
      <c r="C79" t="s">
        <v>6</v>
      </c>
      <c r="D79" t="str">
        <f>IF(LEFT(Table10[[#This Row],[Opponent]],1)="@","Away","Home")</f>
        <v>Home</v>
      </c>
      <c r="E79">
        <f>_xlfn.NUMBERVALUE(MID(LEFT(Table10[[#This Row],[Score]],FIND("-",Table10[[#This Row],[Score]])-1),FIND(" ",Table10[[#This Row],[Score]])+1,LEN(Table10[[#This Row],[Score]])))</f>
        <v>2</v>
      </c>
      <c r="F79">
        <f>_xlfn.NUMBERVALUE(RIGHT(Table10[[#This Row],[Score]],LEN(Table10[[#This Row],[Score]])-FIND("-",Table10[[#This Row],[Score]])))</f>
        <v>6</v>
      </c>
      <c r="G79">
        <f t="shared" si="12"/>
        <v>8</v>
      </c>
      <c r="H79" t="str">
        <f>LEFT(Table10[[#This Row],[Score]],1)</f>
        <v>L</v>
      </c>
      <c r="I79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79" s="33">
        <f>VLOOKUP(Table10[[#This Row],[OPP]],Raw!$L$2:$S$23,7,FALSE)-Raw!$U$2</f>
        <v>-0.61443116423196109</v>
      </c>
    </row>
    <row r="80" spans="1:10" x14ac:dyDescent="0.25">
      <c r="A80" t="s">
        <v>451</v>
      </c>
      <c r="B80" t="s">
        <v>343</v>
      </c>
      <c r="C80" t="s">
        <v>476</v>
      </c>
      <c r="D80" t="str">
        <f>IF(LEFT(Table10[[#This Row],[Opponent]],1)="@","Away","Home")</f>
        <v>Home</v>
      </c>
      <c r="E80">
        <f>_xlfn.NUMBERVALUE(MID(LEFT(Table10[[#This Row],[Score]],FIND("-",Table10[[#This Row],[Score]])-1),FIND(" ",Table10[[#This Row],[Score]])+1,LEN(Table10[[#This Row],[Score]])))</f>
        <v>19</v>
      </c>
      <c r="F80">
        <f>_xlfn.NUMBERVALUE(RIGHT(Table10[[#This Row],[Score]],LEN(Table10[[#This Row],[Score]])-FIND("-",Table10[[#This Row],[Score]])))</f>
        <v>10</v>
      </c>
      <c r="G80">
        <f t="shared" si="12"/>
        <v>29</v>
      </c>
      <c r="H80" t="str">
        <f>LEFT(Table10[[#This Row],[Score]],1)</f>
        <v>W</v>
      </c>
      <c r="I80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80" s="33">
        <f>VLOOKUP(Table10[[#This Row],[OPP]],Raw!$L$2:$S$23,7,FALSE)-Raw!$U$2</f>
        <v>-0.61443116423196109</v>
      </c>
    </row>
    <row r="81" spans="1:10" x14ac:dyDescent="0.25">
      <c r="A81" t="s">
        <v>453</v>
      </c>
      <c r="B81" t="s">
        <v>20</v>
      </c>
      <c r="C81" t="s">
        <v>118</v>
      </c>
      <c r="D81" t="str">
        <f>IF(LEFT(Table10[[#This Row],[Opponent]],1)="@","Away","Home")</f>
        <v>Home</v>
      </c>
      <c r="E81">
        <f>_xlfn.NUMBERVALUE(MID(LEFT(Table10[[#This Row],[Score]],FIND("-",Table10[[#This Row],[Score]])-1),FIND(" ",Table10[[#This Row],[Score]])+1,LEN(Table10[[#This Row],[Score]])))</f>
        <v>9</v>
      </c>
      <c r="F81">
        <f>_xlfn.NUMBERVALUE(RIGHT(Table10[[#This Row],[Score]],LEN(Table10[[#This Row],[Score]])-FIND("-",Table10[[#This Row],[Score]])))</f>
        <v>8</v>
      </c>
      <c r="G81">
        <f t="shared" si="12"/>
        <v>17</v>
      </c>
      <c r="H81" t="str">
        <f>LEFT(Table10[[#This Row],[Score]],1)</f>
        <v>W</v>
      </c>
      <c r="I81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81" s="33">
        <f>VLOOKUP(Table10[[#This Row],[OPP]],Raw!$L$2:$S$23,7,FALSE)-Raw!$U$2</f>
        <v>0.83001328021248344</v>
      </c>
    </row>
    <row r="82" spans="1:10" x14ac:dyDescent="0.25">
      <c r="A82" t="s">
        <v>454</v>
      </c>
      <c r="B82" t="s">
        <v>20</v>
      </c>
      <c r="C82" t="s">
        <v>118</v>
      </c>
      <c r="D82" t="str">
        <f>IF(LEFT(Table10[[#This Row],[Opponent]],1)="@","Away","Home")</f>
        <v>Home</v>
      </c>
      <c r="E82">
        <f>_xlfn.NUMBERVALUE(MID(LEFT(Table10[[#This Row],[Score]],FIND("-",Table10[[#This Row],[Score]])-1),FIND(" ",Table10[[#This Row],[Score]])+1,LEN(Table10[[#This Row],[Score]])))</f>
        <v>9</v>
      </c>
      <c r="F82">
        <f>_xlfn.NUMBERVALUE(RIGHT(Table10[[#This Row],[Score]],LEN(Table10[[#This Row],[Score]])-FIND("-",Table10[[#This Row],[Score]])))</f>
        <v>8</v>
      </c>
      <c r="G82">
        <f t="shared" si="12"/>
        <v>17</v>
      </c>
      <c r="H82" t="str">
        <f>LEFT(Table10[[#This Row],[Score]],1)</f>
        <v>W</v>
      </c>
      <c r="I82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82" s="33">
        <f>VLOOKUP(Table10[[#This Row],[OPP]],Raw!$L$2:$S$23,7,FALSE)-Raw!$U$2</f>
        <v>0.83001328021248344</v>
      </c>
    </row>
    <row r="83" spans="1:10" x14ac:dyDescent="0.25">
      <c r="A83" t="s">
        <v>455</v>
      </c>
      <c r="B83" t="s">
        <v>23</v>
      </c>
      <c r="C83" t="s">
        <v>276</v>
      </c>
      <c r="D83" t="str">
        <f>IF(LEFT(Table10[[#This Row],[Opponent]],1)="@","Away","Home")</f>
        <v>Home</v>
      </c>
      <c r="E83">
        <f>_xlfn.NUMBERVALUE(MID(LEFT(Table10[[#This Row],[Score]],FIND("-",Table10[[#This Row],[Score]])-1),FIND(" ",Table10[[#This Row],[Score]])+1,LEN(Table10[[#This Row],[Score]])))</f>
        <v>2</v>
      </c>
      <c r="F83">
        <f>_xlfn.NUMBERVALUE(RIGHT(Table10[[#This Row],[Score]],LEN(Table10[[#This Row],[Score]])-FIND("-",Table10[[#This Row],[Score]])))</f>
        <v>4</v>
      </c>
      <c r="G83">
        <f t="shared" si="12"/>
        <v>6</v>
      </c>
      <c r="H83" t="str">
        <f>LEFT(Table10[[#This Row],[Score]],1)</f>
        <v>L</v>
      </c>
      <c r="I83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83" s="33">
        <f>VLOOKUP(Table10[[#This Row],[OPP]],Raw!$L$2:$S$23,7,FALSE)-Raw!$U$2</f>
        <v>1.4411243913235945</v>
      </c>
    </row>
    <row r="84" spans="1:10" x14ac:dyDescent="0.25">
      <c r="A84" t="s">
        <v>456</v>
      </c>
      <c r="B84" t="s">
        <v>23</v>
      </c>
      <c r="C84" t="s">
        <v>191</v>
      </c>
      <c r="D84" t="str">
        <f>IF(LEFT(Table10[[#This Row],[Opponent]],1)="@","Away","Home")</f>
        <v>Home</v>
      </c>
      <c r="E84">
        <f>_xlfn.NUMBERVALUE(MID(LEFT(Table10[[#This Row],[Score]],FIND("-",Table10[[#This Row],[Score]])-1),FIND(" ",Table10[[#This Row],[Score]])+1,LEN(Table10[[#This Row],[Score]])))</f>
        <v>12</v>
      </c>
      <c r="F84">
        <f>_xlfn.NUMBERVALUE(RIGHT(Table10[[#This Row],[Score]],LEN(Table10[[#This Row],[Score]])-FIND("-",Table10[[#This Row],[Score]])))</f>
        <v>4</v>
      </c>
      <c r="G84">
        <f t="shared" si="12"/>
        <v>16</v>
      </c>
      <c r="H84" t="str">
        <f>LEFT(Table10[[#This Row],[Score]],1)</f>
        <v>W</v>
      </c>
      <c r="I84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84" s="33">
        <f>VLOOKUP(Table10[[#This Row],[OPP]],Raw!$L$2:$S$23,7,FALSE)-Raw!$U$2</f>
        <v>1.4411243913235945</v>
      </c>
    </row>
    <row r="85" spans="1:10" x14ac:dyDescent="0.25">
      <c r="A85" t="s">
        <v>470</v>
      </c>
      <c r="B85" t="s">
        <v>40</v>
      </c>
      <c r="C85" t="s">
        <v>240</v>
      </c>
      <c r="D85" t="str">
        <f>IF(LEFT(Table10[[#This Row],[Opponent]],1)="@","Away","Home")</f>
        <v>Away</v>
      </c>
      <c r="E85">
        <f>_xlfn.NUMBERVALUE(MID(LEFT(Table10[[#This Row],[Score]],FIND("-",Table10[[#This Row],[Score]])-1),FIND(" ",Table10[[#This Row],[Score]])+1,LEN(Table10[[#This Row],[Score]])))</f>
        <v>1</v>
      </c>
      <c r="F85">
        <f>_xlfn.NUMBERVALUE(RIGHT(Table10[[#This Row],[Score]],LEN(Table10[[#This Row],[Score]])-FIND("-",Table10[[#This Row],[Score]])))</f>
        <v>3</v>
      </c>
      <c r="G85">
        <f t="shared" si="12"/>
        <v>4</v>
      </c>
      <c r="H85" t="str">
        <f>LEFT(Table10[[#This Row],[Score]],1)</f>
        <v>L</v>
      </c>
      <c r="I85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85" s="33">
        <f>VLOOKUP(Table10[[#This Row],[OPP]],Raw!$L$2:$S$23,7,FALSE)-Raw!$U$2</f>
        <v>1.4411243913235945</v>
      </c>
    </row>
    <row r="86" spans="1:10" x14ac:dyDescent="0.25">
      <c r="A86" t="s">
        <v>457</v>
      </c>
      <c r="B86" t="s">
        <v>40</v>
      </c>
      <c r="C86" t="s">
        <v>246</v>
      </c>
      <c r="D86" t="str">
        <f>IF(LEFT(Table10[[#This Row],[Opponent]],1)="@","Away","Home")</f>
        <v>Away</v>
      </c>
      <c r="E86">
        <f>_xlfn.NUMBERVALUE(MID(LEFT(Table10[[#This Row],[Score]],FIND("-",Table10[[#This Row],[Score]])-1),FIND(" ",Table10[[#This Row],[Score]])+1,LEN(Table10[[#This Row],[Score]])))</f>
        <v>4</v>
      </c>
      <c r="F86">
        <f>_xlfn.NUMBERVALUE(RIGHT(Table10[[#This Row],[Score]],LEN(Table10[[#This Row],[Score]])-FIND("-",Table10[[#This Row],[Score]])))</f>
        <v>6</v>
      </c>
      <c r="G86">
        <f t="shared" si="12"/>
        <v>10</v>
      </c>
      <c r="H86" t="str">
        <f>LEFT(Table10[[#This Row],[Score]],1)</f>
        <v>L</v>
      </c>
      <c r="I86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86" s="33">
        <f>VLOOKUP(Table10[[#This Row],[OPP]],Raw!$L$2:$S$23,7,FALSE)-Raw!$U$2</f>
        <v>1.4411243913235945</v>
      </c>
    </row>
    <row r="87" spans="1:10" x14ac:dyDescent="0.25">
      <c r="A87" t="s">
        <v>458</v>
      </c>
      <c r="B87" t="s">
        <v>58</v>
      </c>
      <c r="C87" t="s">
        <v>65</v>
      </c>
      <c r="D87" t="str">
        <f>IF(LEFT(Table10[[#This Row],[Opponent]],1)="@","Away","Home")</f>
        <v>Away</v>
      </c>
      <c r="E87">
        <f>_xlfn.NUMBERVALUE(MID(LEFT(Table10[[#This Row],[Score]],FIND("-",Table10[[#This Row],[Score]])-1),FIND(" ",Table10[[#This Row],[Score]])+1,LEN(Table10[[#This Row],[Score]])))</f>
        <v>1</v>
      </c>
      <c r="F87">
        <f>_xlfn.NUMBERVALUE(RIGHT(Table10[[#This Row],[Score]],LEN(Table10[[#This Row],[Score]])-FIND("-",Table10[[#This Row],[Score]])))</f>
        <v>4</v>
      </c>
      <c r="G87">
        <f t="shared" si="12"/>
        <v>5</v>
      </c>
      <c r="H87" t="str">
        <f>LEFT(Table10[[#This Row],[Score]],1)</f>
        <v>L</v>
      </c>
      <c r="I87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87" s="33">
        <f>VLOOKUP(Table10[[#This Row],[OPP]],Raw!$L$2:$S$23,7,FALSE)-Raw!$U$2</f>
        <v>0.83001328021248344</v>
      </c>
    </row>
    <row r="88" spans="1:10" x14ac:dyDescent="0.25">
      <c r="A88" t="s">
        <v>459</v>
      </c>
      <c r="B88" t="s">
        <v>58</v>
      </c>
      <c r="C88" t="s">
        <v>359</v>
      </c>
      <c r="D88" t="str">
        <f>IF(LEFT(Table10[[#This Row],[Opponent]],1)="@","Away","Home")</f>
        <v>Away</v>
      </c>
      <c r="E88">
        <f>_xlfn.NUMBERVALUE(MID(LEFT(Table10[[#This Row],[Score]],FIND("-",Table10[[#This Row],[Score]])-1),FIND(" ",Table10[[#This Row],[Score]])+1,LEN(Table10[[#This Row],[Score]])))</f>
        <v>2</v>
      </c>
      <c r="F88">
        <f>_xlfn.NUMBERVALUE(RIGHT(Table10[[#This Row],[Score]],LEN(Table10[[#This Row],[Score]])-FIND("-",Table10[[#This Row],[Score]])))</f>
        <v>16</v>
      </c>
      <c r="G88">
        <f t="shared" si="12"/>
        <v>18</v>
      </c>
      <c r="H88" t="str">
        <f>LEFT(Table10[[#This Row],[Score]],1)</f>
        <v>L</v>
      </c>
      <c r="I88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88" s="33">
        <f>VLOOKUP(Table10[[#This Row],[OPP]],Raw!$L$2:$S$23,7,FALSE)-Raw!$U$2</f>
        <v>0.83001328021248344</v>
      </c>
    </row>
    <row r="89" spans="1:10" x14ac:dyDescent="0.25">
      <c r="A89" t="s">
        <v>460</v>
      </c>
      <c r="B89" t="s">
        <v>341</v>
      </c>
      <c r="C89" t="s">
        <v>279</v>
      </c>
      <c r="D89" t="str">
        <f>IF(LEFT(Table10[[#This Row],[Opponent]],1)="@","Away","Home")</f>
        <v>Away</v>
      </c>
      <c r="E89">
        <f>_xlfn.NUMBERVALUE(MID(LEFT(Table10[[#This Row],[Score]],FIND("-",Table10[[#This Row],[Score]])-1),FIND(" ",Table10[[#This Row],[Score]])+1,LEN(Table10[[#This Row],[Score]])))</f>
        <v>7</v>
      </c>
      <c r="F89">
        <f>_xlfn.NUMBERVALUE(RIGHT(Table10[[#This Row],[Score]],LEN(Table10[[#This Row],[Score]])-FIND("-",Table10[[#This Row],[Score]])))</f>
        <v>2</v>
      </c>
      <c r="G89">
        <f t="shared" si="12"/>
        <v>9</v>
      </c>
      <c r="H89" t="str">
        <f>LEFT(Table10[[#This Row],[Score]],1)</f>
        <v>W</v>
      </c>
      <c r="I89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89" s="33">
        <f>VLOOKUP(Table10[[#This Row],[OPP]],Raw!$L$2:$S$23,7,FALSE)-Raw!$U$2</f>
        <v>-0.61443116423196109</v>
      </c>
    </row>
    <row r="90" spans="1:10" x14ac:dyDescent="0.25">
      <c r="A90" t="s">
        <v>461</v>
      </c>
      <c r="B90" t="s">
        <v>69</v>
      </c>
      <c r="C90" t="s">
        <v>132</v>
      </c>
      <c r="D90" t="str">
        <f>IF(LEFT(Table10[[#This Row],[Opponent]],1)="@","Away","Home")</f>
        <v>Home</v>
      </c>
      <c r="E90">
        <f>_xlfn.NUMBERVALUE(MID(LEFT(Table10[[#This Row],[Score]],FIND("-",Table10[[#This Row],[Score]])-1),FIND(" ",Table10[[#This Row],[Score]])+1,LEN(Table10[[#This Row],[Score]])))</f>
        <v>3</v>
      </c>
      <c r="F90">
        <f>_xlfn.NUMBERVALUE(RIGHT(Table10[[#This Row],[Score]],LEN(Table10[[#This Row],[Score]])-FIND("-",Table10[[#This Row],[Score]])))</f>
        <v>6</v>
      </c>
      <c r="G90">
        <f t="shared" si="12"/>
        <v>9</v>
      </c>
      <c r="H90" t="str">
        <f>LEFT(Table10[[#This Row],[Score]],1)</f>
        <v>L</v>
      </c>
      <c r="I90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90" s="33">
        <f>VLOOKUP(Table10[[#This Row],[OPP]],Raw!$L$2:$S$23,7,FALSE)-Raw!$U$2</f>
        <v>-3.1019116024166244</v>
      </c>
    </row>
    <row r="91" spans="1:10" x14ac:dyDescent="0.25">
      <c r="A91" t="s">
        <v>462</v>
      </c>
      <c r="B91" t="s">
        <v>69</v>
      </c>
      <c r="C91" t="s">
        <v>264</v>
      </c>
      <c r="D91" t="str">
        <f>IF(LEFT(Table10[[#This Row],[Opponent]],1)="@","Away","Home")</f>
        <v>Home</v>
      </c>
      <c r="E91">
        <f>_xlfn.NUMBERVALUE(MID(LEFT(Table10[[#This Row],[Score]],FIND("-",Table10[[#This Row],[Score]])-1),FIND(" ",Table10[[#This Row],[Score]])+1,LEN(Table10[[#This Row],[Score]])))</f>
        <v>6</v>
      </c>
      <c r="F91">
        <f>_xlfn.NUMBERVALUE(RIGHT(Table10[[#This Row],[Score]],LEN(Table10[[#This Row],[Score]])-FIND("-",Table10[[#This Row],[Score]])))</f>
        <v>2</v>
      </c>
      <c r="G91">
        <f t="shared" si="12"/>
        <v>8</v>
      </c>
      <c r="H91" t="str">
        <f>LEFT(Table10[[#This Row],[Score]],1)</f>
        <v>W</v>
      </c>
      <c r="I91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91" s="33">
        <f>VLOOKUP(Table10[[#This Row],[OPP]],Raw!$L$2:$S$23,7,FALSE)-Raw!$U$2</f>
        <v>-3.1019116024166244</v>
      </c>
    </row>
    <row r="92" spans="1:10" x14ac:dyDescent="0.25">
      <c r="A92" t="s">
        <v>462</v>
      </c>
      <c r="B92" t="s">
        <v>69</v>
      </c>
      <c r="C92" t="s">
        <v>412</v>
      </c>
      <c r="D92" t="str">
        <f>IF(LEFT(Table10[[#This Row],[Opponent]],1)="@","Away","Home")</f>
        <v>Home</v>
      </c>
      <c r="E92">
        <f>_xlfn.NUMBERVALUE(MID(LEFT(Table10[[#This Row],[Score]],FIND("-",Table10[[#This Row],[Score]])-1),FIND(" ",Table10[[#This Row],[Score]])+1,LEN(Table10[[#This Row],[Score]])))</f>
        <v>15</v>
      </c>
      <c r="F92">
        <f>_xlfn.NUMBERVALUE(RIGHT(Table10[[#This Row],[Score]],LEN(Table10[[#This Row],[Score]])-FIND("-",Table10[[#This Row],[Score]])))</f>
        <v>5</v>
      </c>
      <c r="G92">
        <f t="shared" si="12"/>
        <v>20</v>
      </c>
      <c r="H92" t="str">
        <f>LEFT(Table10[[#This Row],[Score]],1)</f>
        <v>W</v>
      </c>
      <c r="I92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92" s="33">
        <f>VLOOKUP(Table10[[#This Row],[OPP]],Raw!$L$2:$S$23,7,FALSE)-Raw!$U$2</f>
        <v>-3.1019116024166244</v>
      </c>
    </row>
    <row r="93" spans="1:10" x14ac:dyDescent="0.25">
      <c r="A93" t="s">
        <v>463</v>
      </c>
      <c r="B93" t="s">
        <v>69</v>
      </c>
      <c r="C93" t="s">
        <v>412</v>
      </c>
      <c r="D93" t="str">
        <f>IF(LEFT(Table10[[#This Row],[Opponent]],1)="@","Away","Home")</f>
        <v>Home</v>
      </c>
      <c r="E93">
        <f>_xlfn.NUMBERVALUE(MID(LEFT(Table10[[#This Row],[Score]],FIND("-",Table10[[#This Row],[Score]])-1),FIND(" ",Table10[[#This Row],[Score]])+1,LEN(Table10[[#This Row],[Score]])))</f>
        <v>15</v>
      </c>
      <c r="F93">
        <f>_xlfn.NUMBERVALUE(RIGHT(Table10[[#This Row],[Score]],LEN(Table10[[#This Row],[Score]])-FIND("-",Table10[[#This Row],[Score]])))</f>
        <v>5</v>
      </c>
      <c r="G93">
        <f t="shared" si="12"/>
        <v>20</v>
      </c>
      <c r="H93" t="str">
        <f>LEFT(Table10[[#This Row],[Score]],1)</f>
        <v>W</v>
      </c>
      <c r="I93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93" s="33">
        <f>VLOOKUP(Table10[[#This Row],[OPP]],Raw!$L$2:$S$23,7,FALSE)-Raw!$U$2</f>
        <v>-3.1019116024166244</v>
      </c>
    </row>
    <row r="94" spans="1:10" x14ac:dyDescent="0.25">
      <c r="A94" t="s">
        <v>464</v>
      </c>
      <c r="B94" t="s">
        <v>341</v>
      </c>
      <c r="C94" t="s">
        <v>401</v>
      </c>
      <c r="D94" t="str">
        <f>IF(LEFT(Table10[[#This Row],[Opponent]],1)="@","Away","Home")</f>
        <v>Away</v>
      </c>
      <c r="E94">
        <f>_xlfn.NUMBERVALUE(MID(LEFT(Table10[[#This Row],[Score]],FIND("-",Table10[[#This Row],[Score]])-1),FIND(" ",Table10[[#This Row],[Score]])+1,LEN(Table10[[#This Row],[Score]])))</f>
        <v>11</v>
      </c>
      <c r="F94">
        <f>_xlfn.NUMBERVALUE(RIGHT(Table10[[#This Row],[Score]],LEN(Table10[[#This Row],[Score]])-FIND("-",Table10[[#This Row],[Score]])))</f>
        <v>8</v>
      </c>
      <c r="G94">
        <f t="shared" si="12"/>
        <v>19</v>
      </c>
      <c r="H94" t="str">
        <f>LEFT(Table10[[#This Row],[Score]],1)</f>
        <v>W</v>
      </c>
      <c r="I94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94" s="33">
        <f>VLOOKUP(Table10[[#This Row],[OPP]],Raw!$L$2:$S$23,7,FALSE)-Raw!$U$2</f>
        <v>-0.61443116423196109</v>
      </c>
    </row>
    <row r="95" spans="1:10" x14ac:dyDescent="0.25">
      <c r="A95" t="s">
        <v>465</v>
      </c>
      <c r="B95" t="s">
        <v>341</v>
      </c>
      <c r="C95" t="s">
        <v>323</v>
      </c>
      <c r="D95" t="str">
        <f>IF(LEFT(Table10[[#This Row],[Opponent]],1)="@","Away","Home")</f>
        <v>Away</v>
      </c>
      <c r="E95">
        <f>_xlfn.NUMBERVALUE(MID(LEFT(Table10[[#This Row],[Score]],FIND("-",Table10[[#This Row],[Score]])-1),FIND(" ",Table10[[#This Row],[Score]])+1,LEN(Table10[[#This Row],[Score]])))</f>
        <v>7</v>
      </c>
      <c r="F95">
        <f>_xlfn.NUMBERVALUE(RIGHT(Table10[[#This Row],[Score]],LEN(Table10[[#This Row],[Score]])-FIND("-",Table10[[#This Row],[Score]])))</f>
        <v>6</v>
      </c>
      <c r="G95">
        <f t="shared" si="12"/>
        <v>13</v>
      </c>
      <c r="H95" t="str">
        <f>LEFT(Table10[[#This Row],[Score]],1)</f>
        <v>W</v>
      </c>
      <c r="I95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95" s="33">
        <f>VLOOKUP(Table10[[#This Row],[OPP]],Raw!$L$2:$S$23,7,FALSE)-Raw!$U$2</f>
        <v>-0.61443116423196109</v>
      </c>
    </row>
    <row r="96" spans="1:10" x14ac:dyDescent="0.25">
      <c r="A96" t="s">
        <v>466</v>
      </c>
      <c r="B96" t="s">
        <v>30</v>
      </c>
      <c r="C96" t="s">
        <v>63</v>
      </c>
      <c r="D96" t="str">
        <f>IF(LEFT(Table10[[#This Row],[Opponent]],1)="@","Away","Home")</f>
        <v>Away</v>
      </c>
      <c r="E96">
        <f>_xlfn.NUMBERVALUE(MID(LEFT(Table10[[#This Row],[Score]],FIND("-",Table10[[#This Row],[Score]])-1),FIND(" ",Table10[[#This Row],[Score]])+1,LEN(Table10[[#This Row],[Score]])))</f>
        <v>12</v>
      </c>
      <c r="F96">
        <f>_xlfn.NUMBERVALUE(RIGHT(Table10[[#This Row],[Score]],LEN(Table10[[#This Row],[Score]])-FIND("-",Table10[[#This Row],[Score]])))</f>
        <v>7</v>
      </c>
      <c r="G96">
        <f t="shared" si="12"/>
        <v>19</v>
      </c>
      <c r="H96" t="str">
        <f>LEFT(Table10[[#This Row],[Score]],1)</f>
        <v>W</v>
      </c>
      <c r="I96" s="17" t="str">
        <f>VLOOKUP(IF(Table10[[#This Row],[At]]="Home",Table10[[#This Row],[Opponent]],RIGHT(Table10[[#This Row],[Opponent]],LEN(Table10[[#This Row],[Opponent]])-1)),CHOOSE({1,2},[1]StandingsRAW!$J$1:$J$22,[1]StandingsRAW!$L$1:$L$22),2,FALSE)</f>
        <v>KEN</v>
      </c>
      <c r="J96" s="33">
        <f>VLOOKUP(Table10[[#This Row],[OPP]],Raw!$L$2:$S$23,7,FALSE)-Raw!$U$2</f>
        <v>-3.3200531208499337E-3</v>
      </c>
    </row>
    <row r="97" spans="1:10" x14ac:dyDescent="0.25">
      <c r="A97" t="s">
        <v>467</v>
      </c>
      <c r="B97" t="s">
        <v>30</v>
      </c>
      <c r="C97" t="s">
        <v>336</v>
      </c>
      <c r="D97" t="str">
        <f>IF(LEFT(Table10[[#This Row],[Opponent]],1)="@","Away","Home")</f>
        <v>Away</v>
      </c>
      <c r="E97">
        <f>_xlfn.NUMBERVALUE(MID(LEFT(Table10[[#This Row],[Score]],FIND("-",Table10[[#This Row],[Score]])-1),FIND(" ",Table10[[#This Row],[Score]])+1,LEN(Table10[[#This Row],[Score]])))</f>
        <v>8</v>
      </c>
      <c r="F97">
        <f>_xlfn.NUMBERVALUE(RIGHT(Table10[[#This Row],[Score]],LEN(Table10[[#This Row],[Score]])-FIND("-",Table10[[#This Row],[Score]])))</f>
        <v>4</v>
      </c>
      <c r="G97">
        <f t="shared" si="12"/>
        <v>12</v>
      </c>
      <c r="H97" t="str">
        <f>LEFT(Table10[[#This Row],[Score]],1)</f>
        <v>W</v>
      </c>
      <c r="I97" s="17" t="str">
        <f>VLOOKUP(IF(Table10[[#This Row],[At]]="Home",Table10[[#This Row],[Opponent]],RIGHT(Table10[[#This Row],[Opponent]],LEN(Table10[[#This Row],[Opponent]])-1)),CHOOSE({1,2},[1]StandingsRAW!$J$1:$J$22,[1]StandingsRAW!$L$1:$L$22),2,FALSE)</f>
        <v>KEN</v>
      </c>
      <c r="J97" s="33">
        <f>VLOOKUP(Table10[[#This Row],[OPP]],Raw!$L$2:$S$23,7,FALSE)-Raw!$U$2</f>
        <v>-3.3200531208499337E-3</v>
      </c>
    </row>
    <row r="98" spans="1:10" x14ac:dyDescent="0.25">
      <c r="A98" t="s">
        <v>468</v>
      </c>
      <c r="B98" t="s">
        <v>40</v>
      </c>
      <c r="C98" t="s">
        <v>288</v>
      </c>
      <c r="D98" t="str">
        <f>IF(LEFT(Table10[[#This Row],[Opponent]],1)="@","Away","Home")</f>
        <v>Away</v>
      </c>
      <c r="E98">
        <f>_xlfn.NUMBERVALUE(MID(LEFT(Table10[[#This Row],[Score]],FIND("-",Table10[[#This Row],[Score]])-1),FIND(" ",Table10[[#This Row],[Score]])+1,LEN(Table10[[#This Row],[Score]])))</f>
        <v>9</v>
      </c>
      <c r="F98">
        <f>_xlfn.NUMBERVALUE(RIGHT(Table10[[#This Row],[Score]],LEN(Table10[[#This Row],[Score]])-FIND("-",Table10[[#This Row],[Score]])))</f>
        <v>15</v>
      </c>
      <c r="G98">
        <f t="shared" si="12"/>
        <v>24</v>
      </c>
      <c r="H98" t="str">
        <f>LEFT(Table10[[#This Row],[Score]],1)</f>
        <v>L</v>
      </c>
      <c r="I98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98" s="33">
        <f>VLOOKUP(Table10[[#This Row],[OPP]],Raw!$L$2:$S$23,7,FALSE)-Raw!$U$2</f>
        <v>1.4411243913235945</v>
      </c>
    </row>
    <row r="99" spans="1:10" x14ac:dyDescent="0.25">
      <c r="A99" t="s">
        <v>498</v>
      </c>
      <c r="B99" t="s">
        <v>40</v>
      </c>
      <c r="C99" t="s">
        <v>33</v>
      </c>
      <c r="D99" t="str">
        <f>IF(LEFT(Table10[[#This Row],[Opponent]],1)="@","Away","Home")</f>
        <v>Away</v>
      </c>
      <c r="E99">
        <f>_xlfn.NUMBERVALUE(MID(LEFT(Table10[[#This Row],[Score]],FIND("-",Table10[[#This Row],[Score]])-1),FIND(" ",Table10[[#This Row],[Score]])+1,LEN(Table10[[#This Row],[Score]])))</f>
        <v>7</v>
      </c>
      <c r="F99">
        <f>_xlfn.NUMBERVALUE(RIGHT(Table10[[#This Row],[Score]],LEN(Table10[[#This Row],[Score]])-FIND("-",Table10[[#This Row],[Score]])))</f>
        <v>4</v>
      </c>
      <c r="G99">
        <f t="shared" ref="G99:G101" si="13">E99+F99</f>
        <v>11</v>
      </c>
      <c r="H99" t="str">
        <f>LEFT(Table10[[#This Row],[Score]],1)</f>
        <v>W</v>
      </c>
      <c r="I99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99" s="33">
        <f>VLOOKUP(Table10[[#This Row],[OPP]],Raw!$L$2:$S$23,7,FALSE)-Raw!$U$2</f>
        <v>1.4411243913235945</v>
      </c>
    </row>
    <row r="100" spans="1:10" x14ac:dyDescent="0.25">
      <c r="A100" t="s">
        <v>499</v>
      </c>
      <c r="B100" t="s">
        <v>333</v>
      </c>
      <c r="C100" t="s">
        <v>384</v>
      </c>
      <c r="D100" t="str">
        <f>IF(LEFT(Table10[[#This Row],[Opponent]],1)="@","Away","Home")</f>
        <v>Home</v>
      </c>
      <c r="E100">
        <f>_xlfn.NUMBERVALUE(MID(LEFT(Table10[[#This Row],[Score]],FIND("-",Table10[[#This Row],[Score]])-1),FIND(" ",Table10[[#This Row],[Score]])+1,LEN(Table10[[#This Row],[Score]])))</f>
        <v>7</v>
      </c>
      <c r="F100">
        <f>_xlfn.NUMBERVALUE(RIGHT(Table10[[#This Row],[Score]],LEN(Table10[[#This Row],[Score]])-FIND("-",Table10[[#This Row],[Score]])))</f>
        <v>5</v>
      </c>
      <c r="G100">
        <f t="shared" si="13"/>
        <v>12</v>
      </c>
      <c r="H100" t="str">
        <f>LEFT(Table10[[#This Row],[Score]],1)</f>
        <v>W</v>
      </c>
      <c r="I100" s="17" t="str">
        <f>VLOOKUP(IF(Table10[[#This Row],[At]]="Home",Table10[[#This Row],[Opponent]],RIGHT(Table10[[#This Row],[Opponent]],LEN(Table10[[#This Row],[Opponent]])-1)),CHOOSE({1,2},[1]StandingsRAW!$J$1:$J$22,[1]StandingsRAW!$L$1:$L$22),2,FALSE)</f>
        <v>FDL</v>
      </c>
      <c r="J100" s="33">
        <f>VLOOKUP(Table10[[#This Row],[OPP]],Raw!$L$2:$S$23,7,FALSE)-Raw!$U$2</f>
        <v>0.7572433271608402</v>
      </c>
    </row>
    <row r="101" spans="1:10" x14ac:dyDescent="0.25">
      <c r="A101" t="s">
        <v>500</v>
      </c>
      <c r="B101" t="s">
        <v>333</v>
      </c>
      <c r="C101" t="s">
        <v>311</v>
      </c>
      <c r="D101" t="str">
        <f>IF(LEFT(Table10[[#This Row],[Opponent]],1)="@","Away","Home")</f>
        <v>Home</v>
      </c>
      <c r="E101">
        <f>_xlfn.NUMBERVALUE(MID(LEFT(Table10[[#This Row],[Score]],FIND("-",Table10[[#This Row],[Score]])-1),FIND(" ",Table10[[#This Row],[Score]])+1,LEN(Table10[[#This Row],[Score]])))</f>
        <v>8</v>
      </c>
      <c r="F101">
        <f>_xlfn.NUMBERVALUE(RIGHT(Table10[[#This Row],[Score]],LEN(Table10[[#This Row],[Score]])-FIND("-",Table10[[#This Row],[Score]])))</f>
        <v>11</v>
      </c>
      <c r="G101">
        <f t="shared" si="13"/>
        <v>19</v>
      </c>
      <c r="H101" t="str">
        <f>LEFT(Table10[[#This Row],[Score]],1)</f>
        <v>L</v>
      </c>
      <c r="I101" s="17" t="str">
        <f>VLOOKUP(IF(Table10[[#This Row],[At]]="Home",Table10[[#This Row],[Opponent]],RIGHT(Table10[[#This Row],[Opponent]],LEN(Table10[[#This Row],[Opponent]])-1)),CHOOSE({1,2},[1]StandingsRAW!$J$1:$J$22,[1]StandingsRAW!$L$1:$L$22),2,FALSE)</f>
        <v>FDL</v>
      </c>
      <c r="J101" s="33">
        <f>VLOOKUP(Table10[[#This Row],[OPP]],Raw!$L$2:$S$23,7,FALSE)-Raw!$U$2</f>
        <v>0.7572433271608402</v>
      </c>
    </row>
    <row r="102" spans="1:10" x14ac:dyDescent="0.25">
      <c r="A102" t="s">
        <v>501</v>
      </c>
      <c r="B102" t="s">
        <v>341</v>
      </c>
      <c r="C102" t="s">
        <v>287</v>
      </c>
      <c r="D102" t="str">
        <f>IF(LEFT(Table10[[#This Row],[Opponent]],1)="@","Away","Home")</f>
        <v>Away</v>
      </c>
      <c r="E102">
        <f>_xlfn.NUMBERVALUE(MID(LEFT(Table10[[#This Row],[Score]],FIND("-",Table10[[#This Row],[Score]])-1),FIND(" ",Table10[[#This Row],[Score]])+1,LEN(Table10[[#This Row],[Score]])))</f>
        <v>11</v>
      </c>
      <c r="F102">
        <f>_xlfn.NUMBERVALUE(RIGHT(Table10[[#This Row],[Score]],LEN(Table10[[#This Row],[Score]])-FIND("-",Table10[[#This Row],[Score]])))</f>
        <v>2</v>
      </c>
      <c r="G102">
        <f t="shared" ref="G102:G104" si="14">E102+F102</f>
        <v>13</v>
      </c>
      <c r="H102" t="str">
        <f>LEFT(Table10[[#This Row],[Score]],1)</f>
        <v>W</v>
      </c>
      <c r="I102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102" s="33">
        <f>VLOOKUP(Table10[[#This Row],[OPP]],Raw!$L$2:$S$23,7,FALSE)-Raw!$U$2</f>
        <v>-0.61443116423196109</v>
      </c>
    </row>
    <row r="103" spans="1:10" x14ac:dyDescent="0.25">
      <c r="A103" t="s">
        <v>502</v>
      </c>
      <c r="B103" t="s">
        <v>343</v>
      </c>
      <c r="C103" t="s">
        <v>417</v>
      </c>
      <c r="D103" t="str">
        <f>IF(LEFT(Table10[[#This Row],[Opponent]],1)="@","Away","Home")</f>
        <v>Home</v>
      </c>
      <c r="E103">
        <f>_xlfn.NUMBERVALUE(MID(LEFT(Table10[[#This Row],[Score]],FIND("-",Table10[[#This Row],[Score]])-1),FIND(" ",Table10[[#This Row],[Score]])+1,LEN(Table10[[#This Row],[Score]])))</f>
        <v>15</v>
      </c>
      <c r="F103">
        <f>_xlfn.NUMBERVALUE(RIGHT(Table10[[#This Row],[Score]],LEN(Table10[[#This Row],[Score]])-FIND("-",Table10[[#This Row],[Score]])))</f>
        <v>2</v>
      </c>
      <c r="G103">
        <f t="shared" si="14"/>
        <v>17</v>
      </c>
      <c r="H103" t="str">
        <f>LEFT(Table10[[#This Row],[Score]],1)</f>
        <v>W</v>
      </c>
      <c r="I103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103" s="33">
        <f>VLOOKUP(Table10[[#This Row],[OPP]],Raw!$L$2:$S$23,7,FALSE)-Raw!$U$2</f>
        <v>-0.61443116423196109</v>
      </c>
    </row>
    <row r="104" spans="1:10" x14ac:dyDescent="0.25">
      <c r="A104" t="s">
        <v>502</v>
      </c>
      <c r="B104" t="s">
        <v>343</v>
      </c>
      <c r="C104" t="s">
        <v>292</v>
      </c>
      <c r="D104" t="str">
        <f>IF(LEFT(Table10[[#This Row],[Opponent]],1)="@","Away","Home")</f>
        <v>Home</v>
      </c>
      <c r="E104">
        <f>_xlfn.NUMBERVALUE(MID(LEFT(Table10[[#This Row],[Score]],FIND("-",Table10[[#This Row],[Score]])-1),FIND(" ",Table10[[#This Row],[Score]])+1,LEN(Table10[[#This Row],[Score]])))</f>
        <v>7</v>
      </c>
      <c r="F104">
        <f>_xlfn.NUMBERVALUE(RIGHT(Table10[[#This Row],[Score]],LEN(Table10[[#This Row],[Score]])-FIND("-",Table10[[#This Row],[Score]])))</f>
        <v>8</v>
      </c>
      <c r="G104">
        <f t="shared" si="14"/>
        <v>15</v>
      </c>
      <c r="H104" t="str">
        <f>LEFT(Table10[[#This Row],[Score]],1)</f>
        <v>L</v>
      </c>
      <c r="I104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104" s="33">
        <f>VLOOKUP(Table10[[#This Row],[OPP]],Raw!$L$2:$S$23,7,FALSE)-Raw!$U$2</f>
        <v>-0.61443116423196109</v>
      </c>
    </row>
    <row r="105" spans="1:10" x14ac:dyDescent="0.25">
      <c r="A105" t="s">
        <v>505</v>
      </c>
      <c r="B105" t="s">
        <v>10</v>
      </c>
      <c r="C105" t="s">
        <v>316</v>
      </c>
      <c r="D105" t="str">
        <f>IF(LEFT(Table10[[#This Row],[Opponent]],1)="@","Away","Home")</f>
        <v>Away</v>
      </c>
      <c r="E105">
        <f>_xlfn.NUMBERVALUE(MID(LEFT(Table10[[#This Row],[Score]],FIND("-",Table10[[#This Row],[Score]])-1),FIND(" ",Table10[[#This Row],[Score]])+1,LEN(Table10[[#This Row],[Score]])))</f>
        <v>9</v>
      </c>
      <c r="F105">
        <f>_xlfn.NUMBERVALUE(RIGHT(Table10[[#This Row],[Score]],LEN(Table10[[#This Row],[Score]])-FIND("-",Table10[[#This Row],[Score]])))</f>
        <v>6</v>
      </c>
      <c r="G105">
        <f>E105+F105</f>
        <v>15</v>
      </c>
      <c r="H105" t="str">
        <f>LEFT(Table10[[#This Row],[Score]],1)</f>
        <v>W</v>
      </c>
      <c r="I105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105" s="33">
        <f>VLOOKUP(Table10[[#This Row],[OPP]],Raw!$L$2:$S$23,7,FALSE)-Raw!$U$2</f>
        <v>-3.1019116024166244</v>
      </c>
    </row>
    <row r="106" spans="1:10" x14ac:dyDescent="0.25">
      <c r="A106" t="s">
        <v>508</v>
      </c>
      <c r="B106" t="s">
        <v>10</v>
      </c>
      <c r="C106" t="s">
        <v>200</v>
      </c>
      <c r="D106" t="str">
        <f>IF(LEFT(Table10[[#This Row],[Opponent]],1)="@","Away","Home")</f>
        <v>Away</v>
      </c>
      <c r="E106">
        <f>_xlfn.NUMBERVALUE(MID(LEFT(Table10[[#This Row],[Score]],FIND("-",Table10[[#This Row],[Score]])-1),FIND(" ",Table10[[#This Row],[Score]])+1,LEN(Table10[[#This Row],[Score]])))</f>
        <v>8</v>
      </c>
      <c r="F106">
        <f>_xlfn.NUMBERVALUE(RIGHT(Table10[[#This Row],[Score]],LEN(Table10[[#This Row],[Score]])-FIND("-",Table10[[#This Row],[Score]])))</f>
        <v>0</v>
      </c>
      <c r="G106">
        <f t="shared" ref="G106:G108" si="15">E106+F106</f>
        <v>8</v>
      </c>
      <c r="H106" t="str">
        <f>LEFT(Table10[[#This Row],[Score]],1)</f>
        <v>W</v>
      </c>
      <c r="I106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106" s="33">
        <f>VLOOKUP(Table10[[#This Row],[OPP]],Raw!$L$2:$S$23,7,FALSE)-Raw!$U$2</f>
        <v>-3.1019116024166244</v>
      </c>
    </row>
    <row r="107" spans="1:10" x14ac:dyDescent="0.25">
      <c r="A107" t="s">
        <v>509</v>
      </c>
      <c r="B107" t="s">
        <v>332</v>
      </c>
      <c r="C107" t="s">
        <v>118</v>
      </c>
      <c r="D107" t="str">
        <f>IF(LEFT(Table10[[#This Row],[Opponent]],1)="@","Away","Home")</f>
        <v>Away</v>
      </c>
      <c r="E107">
        <f>_xlfn.NUMBERVALUE(MID(LEFT(Table10[[#This Row],[Score]],FIND("-",Table10[[#This Row],[Score]])-1),FIND(" ",Table10[[#This Row],[Score]])+1,LEN(Table10[[#This Row],[Score]])))</f>
        <v>9</v>
      </c>
      <c r="F107">
        <f>_xlfn.NUMBERVALUE(RIGHT(Table10[[#This Row],[Score]],LEN(Table10[[#This Row],[Score]])-FIND("-",Table10[[#This Row],[Score]])))</f>
        <v>8</v>
      </c>
      <c r="G107">
        <f t="shared" si="15"/>
        <v>17</v>
      </c>
      <c r="H107" t="str">
        <f>LEFT(Table10[[#This Row],[Score]],1)</f>
        <v>W</v>
      </c>
      <c r="I107" s="17" t="str">
        <f>VLOOKUP(IF(Table10[[#This Row],[At]]="Home",Table10[[#This Row],[Opponent]],RIGHT(Table10[[#This Row],[Opponent]],LEN(Table10[[#This Row],[Opponent]])-1)),CHOOSE({1,2},[1]StandingsRAW!$J$1:$J$22,[1]StandingsRAW!$L$1:$L$22),2,FALSE)</f>
        <v>FDL</v>
      </c>
      <c r="J107" s="33">
        <f>VLOOKUP(Table10[[#This Row],[OPP]],Raw!$L$2:$S$23,7,FALSE)-Raw!$U$2</f>
        <v>0.7572433271608402</v>
      </c>
    </row>
    <row r="108" spans="1:10" x14ac:dyDescent="0.25">
      <c r="A108" t="s">
        <v>510</v>
      </c>
      <c r="B108" t="s">
        <v>332</v>
      </c>
      <c r="C108" t="s">
        <v>512</v>
      </c>
      <c r="D108" t="str">
        <f>IF(LEFT(Table10[[#This Row],[Opponent]],1)="@","Away","Home")</f>
        <v>Away</v>
      </c>
      <c r="E108">
        <f>_xlfn.NUMBERVALUE(MID(LEFT(Table10[[#This Row],[Score]],FIND("-",Table10[[#This Row],[Score]])-1),FIND(" ",Table10[[#This Row],[Score]])+1,LEN(Table10[[#This Row],[Score]])))</f>
        <v>24</v>
      </c>
      <c r="F108">
        <f>_xlfn.NUMBERVALUE(RIGHT(Table10[[#This Row],[Score]],LEN(Table10[[#This Row],[Score]])-FIND("-",Table10[[#This Row],[Score]])))</f>
        <v>7</v>
      </c>
      <c r="G108">
        <f t="shared" si="15"/>
        <v>31</v>
      </c>
      <c r="H108" t="str">
        <f>LEFT(Table10[[#This Row],[Score]],1)</f>
        <v>W</v>
      </c>
      <c r="I108" s="17" t="str">
        <f>VLOOKUP(IF(Table10[[#This Row],[At]]="Home",Table10[[#This Row],[Opponent]],RIGHT(Table10[[#This Row],[Opponent]],LEN(Table10[[#This Row],[Opponent]])-1)),CHOOSE({1,2},[1]StandingsRAW!$J$1:$J$22,[1]StandingsRAW!$L$1:$L$22),2,FALSE)</f>
        <v>FDL</v>
      </c>
      <c r="J108" s="33">
        <f>VLOOKUP(Table10[[#This Row],[OPP]],Raw!$L$2:$S$23,7,FALSE)-Raw!$U$2</f>
        <v>0.7572433271608402</v>
      </c>
    </row>
    <row r="109" spans="1:10" x14ac:dyDescent="0.25">
      <c r="A109" t="s">
        <v>515</v>
      </c>
      <c r="B109" t="s">
        <v>52</v>
      </c>
      <c r="C109" t="s">
        <v>254</v>
      </c>
      <c r="D109" t="str">
        <f>IF(LEFT(Table10[[#This Row],[Opponent]],1)="@","Away","Home")</f>
        <v>Home</v>
      </c>
      <c r="E109">
        <f>_xlfn.NUMBERVALUE(MID(LEFT(Table10[[#This Row],[Score]],FIND("-",Table10[[#This Row],[Score]])-1),FIND(" ",Table10[[#This Row],[Score]])+1,LEN(Table10[[#This Row],[Score]])))</f>
        <v>5</v>
      </c>
      <c r="F109">
        <f>_xlfn.NUMBERVALUE(RIGHT(Table10[[#This Row],[Score]],LEN(Table10[[#This Row],[Score]])-FIND("-",Table10[[#This Row],[Score]])))</f>
        <v>4</v>
      </c>
      <c r="G109">
        <f>E109+F109</f>
        <v>9</v>
      </c>
      <c r="H109" t="str">
        <f>LEFT(Table10[[#This Row],[Score]],1)</f>
        <v>W</v>
      </c>
      <c r="I109" s="17" t="str">
        <f>VLOOKUP(IF(Table10[[#This Row],[At]]="Home",Table10[[#This Row],[Opponent]],RIGHT(Table10[[#This Row],[Opponent]],LEN(Table10[[#This Row],[Opponent]])-1)),CHOOSE({1,2},[1]StandingsRAW!$J$1:$J$22,[1]StandingsRAW!$L$1:$L$22),2,FALSE)</f>
        <v>KEN</v>
      </c>
      <c r="J109" s="33">
        <f>VLOOKUP(Table10[[#This Row],[OPP]],Raw!$L$2:$S$23,7,FALSE)-Raw!$U$2</f>
        <v>-3.3200531208499337E-3</v>
      </c>
    </row>
    <row r="110" spans="1:10" x14ac:dyDescent="0.25">
      <c r="A110" t="s">
        <v>518</v>
      </c>
      <c r="B110" t="s">
        <v>52</v>
      </c>
      <c r="C110" t="s">
        <v>46</v>
      </c>
      <c r="D110" t="str">
        <f>IF(LEFT(Table10[[#This Row],[Opponent]],1)="@","Away","Home")</f>
        <v>Home</v>
      </c>
      <c r="E110">
        <f>_xlfn.NUMBERVALUE(MID(LEFT(Table10[[#This Row],[Score]],FIND("-",Table10[[#This Row],[Score]])-1),FIND(" ",Table10[[#This Row],[Score]])+1,LEN(Table10[[#This Row],[Score]])))</f>
        <v>6</v>
      </c>
      <c r="F110">
        <f>_xlfn.NUMBERVALUE(RIGHT(Table10[[#This Row],[Score]],LEN(Table10[[#This Row],[Score]])-FIND("-",Table10[[#This Row],[Score]])))</f>
        <v>8</v>
      </c>
      <c r="G110">
        <f t="shared" ref="G110:G113" si="16">E110+F110</f>
        <v>14</v>
      </c>
      <c r="H110" t="str">
        <f>LEFT(Table10[[#This Row],[Score]],1)</f>
        <v>L</v>
      </c>
      <c r="I110" s="17" t="str">
        <f>VLOOKUP(IF(Table10[[#This Row],[At]]="Home",Table10[[#This Row],[Opponent]],RIGHT(Table10[[#This Row],[Opponent]],LEN(Table10[[#This Row],[Opponent]])-1)),CHOOSE({1,2},[1]StandingsRAW!$J$1:$J$22,[1]StandingsRAW!$L$1:$L$22),2,FALSE)</f>
        <v>KEN</v>
      </c>
      <c r="J110" s="33">
        <f>VLOOKUP(Table10[[#This Row],[OPP]],Raw!$L$2:$S$23,7,FALSE)-Raw!$U$2</f>
        <v>-3.3200531208499337E-3</v>
      </c>
    </row>
    <row r="111" spans="1:10" x14ac:dyDescent="0.25">
      <c r="A111" t="s">
        <v>519</v>
      </c>
      <c r="B111" t="s">
        <v>74</v>
      </c>
      <c r="C111" t="s">
        <v>522</v>
      </c>
      <c r="D111" t="str">
        <f>IF(LEFT(Table10[[#This Row],[Opponent]],1)="@","Away","Home")</f>
        <v>Home</v>
      </c>
      <c r="E111">
        <f>_xlfn.NUMBERVALUE(MID(LEFT(Table10[[#This Row],[Score]],FIND("-",Table10[[#This Row],[Score]])-1),FIND(" ",Table10[[#This Row],[Score]])+1,LEN(Table10[[#This Row],[Score]])))</f>
        <v>15</v>
      </c>
      <c r="F111">
        <f>_xlfn.NUMBERVALUE(RIGHT(Table10[[#This Row],[Score]],LEN(Table10[[#This Row],[Score]])-FIND("-",Table10[[#This Row],[Score]])))</f>
        <v>12</v>
      </c>
      <c r="G111">
        <f t="shared" si="16"/>
        <v>27</v>
      </c>
      <c r="H111" t="str">
        <f>LEFT(Table10[[#This Row],[Score]],1)</f>
        <v>W</v>
      </c>
      <c r="I111" s="17" t="str">
        <f>VLOOKUP(IF(Table10[[#This Row],[At]]="Home",Table10[[#This Row],[Opponent]],RIGHT(Table10[[#This Row],[Opponent]],LEN(Table10[[#This Row],[Opponent]])-1)),CHOOSE({1,2},[1]StandingsRAW!$J$1:$J$22,[1]StandingsRAW!$L$1:$L$22),2,FALSE)</f>
        <v>WAU</v>
      </c>
      <c r="J111" s="33">
        <f>VLOOKUP(Table10[[#This Row],[OPP]],Raw!$L$2:$S$23,7,FALSE)-Raw!$U$2</f>
        <v>0.17977853842844585</v>
      </c>
    </row>
    <row r="112" spans="1:10" x14ac:dyDescent="0.25">
      <c r="A112" t="s">
        <v>520</v>
      </c>
      <c r="B112" t="s">
        <v>74</v>
      </c>
      <c r="C112" t="s">
        <v>251</v>
      </c>
      <c r="D112" t="str">
        <f>IF(LEFT(Table10[[#This Row],[Opponent]],1)="@","Away","Home")</f>
        <v>Home</v>
      </c>
      <c r="E112">
        <f>_xlfn.NUMBERVALUE(MID(LEFT(Table10[[#This Row],[Score]],FIND("-",Table10[[#This Row],[Score]])-1),FIND(" ",Table10[[#This Row],[Score]])+1,LEN(Table10[[#This Row],[Score]])))</f>
        <v>2</v>
      </c>
      <c r="F112">
        <f>_xlfn.NUMBERVALUE(RIGHT(Table10[[#This Row],[Score]],LEN(Table10[[#This Row],[Score]])-FIND("-",Table10[[#This Row],[Score]])))</f>
        <v>7</v>
      </c>
      <c r="G112">
        <f t="shared" si="16"/>
        <v>9</v>
      </c>
      <c r="H112" t="str">
        <f>LEFT(Table10[[#This Row],[Score]],1)</f>
        <v>L</v>
      </c>
      <c r="I112" s="17" t="str">
        <f>VLOOKUP(IF(Table10[[#This Row],[At]]="Home",Table10[[#This Row],[Opponent]],RIGHT(Table10[[#This Row],[Opponent]],LEN(Table10[[#This Row],[Opponent]])-1)),CHOOSE({1,2},[1]StandingsRAW!$J$1:$J$22,[1]StandingsRAW!$L$1:$L$22),2,FALSE)</f>
        <v>WAU</v>
      </c>
      <c r="J112" s="33">
        <f>VLOOKUP(Table10[[#This Row],[OPP]],Raw!$L$2:$S$23,7,FALSE)-Raw!$U$2</f>
        <v>0.17977853842844585</v>
      </c>
    </row>
    <row r="113" spans="1:10" x14ac:dyDescent="0.25">
      <c r="A113" t="s">
        <v>521</v>
      </c>
      <c r="B113" t="s">
        <v>23</v>
      </c>
      <c r="C113" t="s">
        <v>31</v>
      </c>
      <c r="D113" t="str">
        <f>IF(LEFT(Table10[[#This Row],[Opponent]],1)="@","Away","Home")</f>
        <v>Home</v>
      </c>
      <c r="E113">
        <f>_xlfn.NUMBERVALUE(MID(LEFT(Table10[[#This Row],[Score]],FIND("-",Table10[[#This Row],[Score]])-1),FIND(" ",Table10[[#This Row],[Score]])+1,LEN(Table10[[#This Row],[Score]])))</f>
        <v>5</v>
      </c>
      <c r="F113">
        <f>_xlfn.NUMBERVALUE(RIGHT(Table10[[#This Row],[Score]],LEN(Table10[[#This Row],[Score]])-FIND("-",Table10[[#This Row],[Score]])))</f>
        <v>9</v>
      </c>
      <c r="G113">
        <f t="shared" si="16"/>
        <v>14</v>
      </c>
      <c r="H113" t="str">
        <f>LEFT(Table10[[#This Row],[Score]],1)</f>
        <v>L</v>
      </c>
      <c r="I113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113" s="33">
        <f>VLOOKUP(Table10[[#This Row],[OPP]],Raw!$L$2:$S$23,7,FALSE)-Raw!$U$2</f>
        <v>1.4411243913235945</v>
      </c>
    </row>
    <row r="114" spans="1:10" x14ac:dyDescent="0.25">
      <c r="A114" t="s">
        <v>524</v>
      </c>
      <c r="B114" t="s">
        <v>23</v>
      </c>
      <c r="C114" t="s">
        <v>323</v>
      </c>
      <c r="D114" t="str">
        <f>IF(LEFT(Table10[[#This Row],[Opponent]],1)="@","Away","Home")</f>
        <v>Home</v>
      </c>
      <c r="E114">
        <f>_xlfn.NUMBERVALUE(MID(LEFT(Table10[[#This Row],[Score]],FIND("-",Table10[[#This Row],[Score]])-1),FIND(" ",Table10[[#This Row],[Score]])+1,LEN(Table10[[#This Row],[Score]])))</f>
        <v>7</v>
      </c>
      <c r="F114">
        <f>_xlfn.NUMBERVALUE(RIGHT(Table10[[#This Row],[Score]],LEN(Table10[[#This Row],[Score]])-FIND("-",Table10[[#This Row],[Score]])))</f>
        <v>6</v>
      </c>
      <c r="G114">
        <f t="shared" ref="G114:G120" si="17">E114+F114</f>
        <v>13</v>
      </c>
      <c r="H114" t="str">
        <f>LEFT(Table10[[#This Row],[Score]],1)</f>
        <v>W</v>
      </c>
      <c r="I114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114" s="33">
        <f>VLOOKUP(Table10[[#This Row],[OPP]],Raw!$L$2:$S$23,7,FALSE)-Raw!$U$2</f>
        <v>1.4411243913235945</v>
      </c>
    </row>
    <row r="115" spans="1:10" x14ac:dyDescent="0.25">
      <c r="A115" t="s">
        <v>525</v>
      </c>
      <c r="B115" t="s">
        <v>115</v>
      </c>
      <c r="C115" t="s">
        <v>318</v>
      </c>
      <c r="D115" t="str">
        <f>IF(LEFT(Table10[[#This Row],[Opponent]],1)="@","Away","Home")</f>
        <v>Away</v>
      </c>
      <c r="E115">
        <f>_xlfn.NUMBERVALUE(MID(LEFT(Table10[[#This Row],[Score]],FIND("-",Table10[[#This Row],[Score]])-1),FIND(" ",Table10[[#This Row],[Score]])+1,LEN(Table10[[#This Row],[Score]])))</f>
        <v>11</v>
      </c>
      <c r="F115">
        <f>_xlfn.NUMBERVALUE(RIGHT(Table10[[#This Row],[Score]],LEN(Table10[[#This Row],[Score]])-FIND("-",Table10[[#This Row],[Score]])))</f>
        <v>4</v>
      </c>
      <c r="G115">
        <f t="shared" si="17"/>
        <v>15</v>
      </c>
      <c r="H115" t="str">
        <f>LEFT(Table10[[#This Row],[Score]],1)</f>
        <v>W</v>
      </c>
      <c r="I115" s="17" t="str">
        <f>VLOOKUP(IF(Table10[[#This Row],[At]]="Home",Table10[[#This Row],[Opponent]],RIGHT(Table10[[#This Row],[Opponent]],LEN(Table10[[#This Row],[Opponent]])-1)),CHOOSE({1,2},[1]StandingsRAW!$J$1:$J$22,[1]StandingsRAW!$L$1:$L$22),2,FALSE)</f>
        <v>GB</v>
      </c>
      <c r="J115" s="33">
        <f>VLOOKUP(Table10[[#This Row],[OPP]],Raw!$L$2:$S$23,7,FALSE)-Raw!$U$2</f>
        <v>-1.4060978308986276</v>
      </c>
    </row>
    <row r="116" spans="1:10" x14ac:dyDescent="0.25">
      <c r="A116" t="s">
        <v>526</v>
      </c>
      <c r="B116" t="s">
        <v>115</v>
      </c>
      <c r="C116" t="s">
        <v>266</v>
      </c>
      <c r="D116" t="str">
        <f>IF(LEFT(Table10[[#This Row],[Opponent]],1)="@","Away","Home")</f>
        <v>Away</v>
      </c>
      <c r="E116">
        <f>_xlfn.NUMBERVALUE(MID(LEFT(Table10[[#This Row],[Score]],FIND("-",Table10[[#This Row],[Score]])-1),FIND(" ",Table10[[#This Row],[Score]])+1,LEN(Table10[[#This Row],[Score]])))</f>
        <v>8</v>
      </c>
      <c r="F116">
        <f>_xlfn.NUMBERVALUE(RIGHT(Table10[[#This Row],[Score]],LEN(Table10[[#This Row],[Score]])-FIND("-",Table10[[#This Row],[Score]])))</f>
        <v>10</v>
      </c>
      <c r="G116">
        <f t="shared" si="17"/>
        <v>18</v>
      </c>
      <c r="H116" t="str">
        <f>LEFT(Table10[[#This Row],[Score]],1)</f>
        <v>L</v>
      </c>
      <c r="I116" s="17" t="str">
        <f>VLOOKUP(IF(Table10[[#This Row],[At]]="Home",Table10[[#This Row],[Opponent]],RIGHT(Table10[[#This Row],[Opponent]],LEN(Table10[[#This Row],[Opponent]])-1)),CHOOSE({1,2},[1]StandingsRAW!$J$1:$J$22,[1]StandingsRAW!$L$1:$L$22),2,FALSE)</f>
        <v>GB</v>
      </c>
      <c r="J116" s="33">
        <f>VLOOKUP(Table10[[#This Row],[OPP]],Raw!$L$2:$S$23,7,FALSE)-Raw!$U$2</f>
        <v>-1.4060978308986276</v>
      </c>
    </row>
    <row r="117" spans="1:10" x14ac:dyDescent="0.25">
      <c r="A117" t="s">
        <v>527</v>
      </c>
      <c r="B117" t="s">
        <v>120</v>
      </c>
      <c r="C117" t="s">
        <v>534</v>
      </c>
      <c r="D117" t="str">
        <f>IF(LEFT(Table10[[#This Row],[Opponent]],1)="@","Away","Home")</f>
        <v>Away</v>
      </c>
      <c r="E117">
        <f>_xlfn.NUMBERVALUE(MID(LEFT(Table10[[#This Row],[Score]],FIND("-",Table10[[#This Row],[Score]])-1),FIND(" ",Table10[[#This Row],[Score]])+1,LEN(Table10[[#This Row],[Score]])))</f>
        <v>5</v>
      </c>
      <c r="F117">
        <f>_xlfn.NUMBERVALUE(RIGHT(Table10[[#This Row],[Score]],LEN(Table10[[#This Row],[Score]])-FIND("-",Table10[[#This Row],[Score]])))</f>
        <v>23</v>
      </c>
      <c r="G117">
        <f t="shared" si="17"/>
        <v>28</v>
      </c>
      <c r="H117" t="str">
        <f>LEFT(Table10[[#This Row],[Score]],1)</f>
        <v>L</v>
      </c>
      <c r="I117" s="17" t="str">
        <f>VLOOKUP(IF(Table10[[#This Row],[At]]="Home",Table10[[#This Row],[Opponent]],RIGHT(Table10[[#This Row],[Opponent]],LEN(Table10[[#This Row],[Opponent]])-1)),CHOOSE({1,2},[1]StandingsRAW!$J$1:$J$22,[1]StandingsRAW!$L$1:$L$22),2,FALSE)</f>
        <v>WAU</v>
      </c>
      <c r="J117" s="33">
        <f>VLOOKUP(Table10[[#This Row],[OPP]],Raw!$L$2:$S$23,7,FALSE)-Raw!$U$2</f>
        <v>0.17977853842844585</v>
      </c>
    </row>
    <row r="118" spans="1:10" x14ac:dyDescent="0.25">
      <c r="A118" t="s">
        <v>528</v>
      </c>
      <c r="B118" t="s">
        <v>120</v>
      </c>
      <c r="C118" t="s">
        <v>55</v>
      </c>
      <c r="D118" t="str">
        <f>IF(LEFT(Table10[[#This Row],[Opponent]],1)="@","Away","Home")</f>
        <v>Away</v>
      </c>
      <c r="E118">
        <f>_xlfn.NUMBERVALUE(MID(LEFT(Table10[[#This Row],[Score]],FIND("-",Table10[[#This Row],[Score]])-1),FIND(" ",Table10[[#This Row],[Score]])+1,LEN(Table10[[#This Row],[Score]])))</f>
        <v>5</v>
      </c>
      <c r="F118">
        <f>_xlfn.NUMBERVALUE(RIGHT(Table10[[#This Row],[Score]],LEN(Table10[[#This Row],[Score]])-FIND("-",Table10[[#This Row],[Score]])))</f>
        <v>7</v>
      </c>
      <c r="G118">
        <f t="shared" si="17"/>
        <v>12</v>
      </c>
      <c r="H118" t="str">
        <f>LEFT(Table10[[#This Row],[Score]],1)</f>
        <v>L</v>
      </c>
      <c r="I118" s="17" t="str">
        <f>VLOOKUP(IF(Table10[[#This Row],[At]]="Home",Table10[[#This Row],[Opponent]],RIGHT(Table10[[#This Row],[Opponent]],LEN(Table10[[#This Row],[Opponent]])-1)),CHOOSE({1,2},[1]StandingsRAW!$J$1:$J$22,[1]StandingsRAW!$L$1:$L$22),2,FALSE)</f>
        <v>WAU</v>
      </c>
      <c r="J118" s="33">
        <f>VLOOKUP(Table10[[#This Row],[OPP]],Raw!$L$2:$S$23,7,FALSE)-Raw!$U$2</f>
        <v>0.17977853842844585</v>
      </c>
    </row>
    <row r="119" spans="1:10" x14ac:dyDescent="0.25">
      <c r="A119" t="s">
        <v>529</v>
      </c>
      <c r="B119" t="s">
        <v>52</v>
      </c>
      <c r="C119" t="s">
        <v>259</v>
      </c>
      <c r="D119" t="str">
        <f>IF(LEFT(Table10[[#This Row],[Opponent]],1)="@","Away","Home")</f>
        <v>Home</v>
      </c>
      <c r="E119">
        <f>_xlfn.NUMBERVALUE(MID(LEFT(Table10[[#This Row],[Score]],FIND("-",Table10[[#This Row],[Score]])-1),FIND(" ",Table10[[#This Row],[Score]])+1,LEN(Table10[[#This Row],[Score]])))</f>
        <v>0</v>
      </c>
      <c r="F119">
        <f>_xlfn.NUMBERVALUE(RIGHT(Table10[[#This Row],[Score]],LEN(Table10[[#This Row],[Score]])-FIND("-",Table10[[#This Row],[Score]])))</f>
        <v>5</v>
      </c>
      <c r="G119">
        <f t="shared" si="17"/>
        <v>5</v>
      </c>
      <c r="H119" t="str">
        <f>LEFT(Table10[[#This Row],[Score]],1)</f>
        <v>L</v>
      </c>
      <c r="I119" s="17" t="str">
        <f>VLOOKUP(IF(Table10[[#This Row],[At]]="Home",Table10[[#This Row],[Opponent]],RIGHT(Table10[[#This Row],[Opponent]],LEN(Table10[[#This Row],[Opponent]])-1)),CHOOSE({1,2},[1]StandingsRAW!$J$1:$J$22,[1]StandingsRAW!$L$1:$L$22),2,FALSE)</f>
        <v>KEN</v>
      </c>
      <c r="J119" s="33">
        <f>VLOOKUP(Table10[[#This Row],[OPP]],Raw!$L$2:$S$23,7,FALSE)-Raw!$U$2</f>
        <v>-3.3200531208499337E-3</v>
      </c>
    </row>
    <row r="120" spans="1:10" x14ac:dyDescent="0.25">
      <c r="A120" t="s">
        <v>530</v>
      </c>
      <c r="B120" t="s">
        <v>52</v>
      </c>
      <c r="C120" t="s">
        <v>77</v>
      </c>
      <c r="D120" t="str">
        <f>IF(LEFT(Table10[[#This Row],[Opponent]],1)="@","Away","Home")</f>
        <v>Home</v>
      </c>
      <c r="E120">
        <f>_xlfn.NUMBERVALUE(MID(LEFT(Table10[[#This Row],[Score]],FIND("-",Table10[[#This Row],[Score]])-1),FIND(" ",Table10[[#This Row],[Score]])+1,LEN(Table10[[#This Row],[Score]])))</f>
        <v>1</v>
      </c>
      <c r="F120">
        <f>_xlfn.NUMBERVALUE(RIGHT(Table10[[#This Row],[Score]],LEN(Table10[[#This Row],[Score]])-FIND("-",Table10[[#This Row],[Score]])))</f>
        <v>9</v>
      </c>
      <c r="G120">
        <f t="shared" si="17"/>
        <v>10</v>
      </c>
      <c r="H120" t="str">
        <f>LEFT(Table10[[#This Row],[Score]],1)</f>
        <v>L</v>
      </c>
      <c r="I120" s="17" t="str">
        <f>VLOOKUP(IF(Table10[[#This Row],[At]]="Home",Table10[[#This Row],[Opponent]],RIGHT(Table10[[#This Row],[Opponent]],LEN(Table10[[#This Row],[Opponent]])-1)),CHOOSE({1,2},[1]StandingsRAW!$J$1:$J$22,[1]StandingsRAW!$L$1:$L$22),2,FALSE)</f>
        <v>KEN</v>
      </c>
      <c r="J120" s="33">
        <f>VLOOKUP(Table10[[#This Row],[OPP]],Raw!$L$2:$S$23,7,FALSE)-Raw!$U$2</f>
        <v>-3.3200531208499337E-3</v>
      </c>
    </row>
    <row r="121" spans="1:10" x14ac:dyDescent="0.25">
      <c r="A121" t="s">
        <v>541</v>
      </c>
      <c r="B121" t="s">
        <v>23</v>
      </c>
      <c r="C121" t="s">
        <v>48</v>
      </c>
      <c r="D121" t="str">
        <f>IF(LEFT(Table10[[#This Row],[Opponent]],1)="@","Away","Home")</f>
        <v>Home</v>
      </c>
      <c r="E121">
        <f>_xlfn.NUMBERVALUE(MID(LEFT(Table10[[#This Row],[Score]],FIND("-",Table10[[#This Row],[Score]])-1),FIND(" ",Table10[[#This Row],[Score]])+1,LEN(Table10[[#This Row],[Score]])))</f>
        <v>4</v>
      </c>
      <c r="F121">
        <f>_xlfn.NUMBERVALUE(RIGHT(Table10[[#This Row],[Score]],LEN(Table10[[#This Row],[Score]])-FIND("-",Table10[[#This Row],[Score]])))</f>
        <v>5</v>
      </c>
      <c r="G121">
        <f>E121+F121</f>
        <v>9</v>
      </c>
      <c r="H121" t="str">
        <f>LEFT(Table10[[#This Row],[Score]],1)</f>
        <v>L</v>
      </c>
      <c r="I121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121" s="33">
        <f>VLOOKUP(Table10[[#This Row],[OPP]],Raw!$L$2:$S$23,7,FALSE)-Raw!$U$2</f>
        <v>1.4411243913235945</v>
      </c>
    </row>
    <row r="122" spans="1:10" x14ac:dyDescent="0.25">
      <c r="A122" t="s">
        <v>543</v>
      </c>
      <c r="B122" t="s">
        <v>98</v>
      </c>
      <c r="C122" t="s">
        <v>226</v>
      </c>
      <c r="D122" t="str">
        <f>IF(LEFT(Table10[[#This Row],[Opponent]],1)="@","Away","Home")</f>
        <v>Home</v>
      </c>
      <c r="E122">
        <f>_xlfn.NUMBERVALUE(MID(LEFT(Table10[[#This Row],[Score]],FIND("-",Table10[[#This Row],[Score]])-1),FIND(" ",Table10[[#This Row],[Score]])+1,LEN(Table10[[#This Row],[Score]])))</f>
        <v>3</v>
      </c>
      <c r="F122">
        <f>_xlfn.NUMBERVALUE(RIGHT(Table10[[#This Row],[Score]],LEN(Table10[[#This Row],[Score]])-FIND("-",Table10[[#This Row],[Score]])))</f>
        <v>2</v>
      </c>
      <c r="G122">
        <f>E122+F122</f>
        <v>5</v>
      </c>
      <c r="H122" t="str">
        <f>LEFT(Table10[[#This Row],[Score]],1)</f>
        <v>W</v>
      </c>
      <c r="I122" s="17" t="str">
        <f>VLOOKUP(IF(Table10[[#This Row],[At]]="Home",Table10[[#This Row],[Opponent]],RIGHT(Table10[[#This Row],[Opponent]],LEN(Table10[[#This Row],[Opponent]])-1)),CHOOSE({1,2},[1]StandingsRAW!$J$1:$J$22,[1]StandingsRAW!$L$1:$L$22),2,FALSE)</f>
        <v>GB</v>
      </c>
      <c r="J122" s="33">
        <f>VLOOKUP(Table10[[#This Row],[OPP]],Raw!$L$2:$S$23,7,FALSE)-Raw!$U$2</f>
        <v>-1.4060978308986276</v>
      </c>
    </row>
    <row r="123" spans="1:10" x14ac:dyDescent="0.25">
      <c r="A123" t="s">
        <v>546</v>
      </c>
      <c r="B123" t="s">
        <v>98</v>
      </c>
      <c r="C123" t="s">
        <v>212</v>
      </c>
      <c r="D123" t="str">
        <f>IF(LEFT(Table10[[#This Row],[Opponent]],1)="@","Away","Home")</f>
        <v>Home</v>
      </c>
      <c r="E123">
        <f>_xlfn.NUMBERVALUE(MID(LEFT(Table10[[#This Row],[Score]],FIND("-",Table10[[#This Row],[Score]])-1),FIND(" ",Table10[[#This Row],[Score]])+1,LEN(Table10[[#This Row],[Score]])))</f>
        <v>6</v>
      </c>
      <c r="F123">
        <f>_xlfn.NUMBERVALUE(RIGHT(Table10[[#This Row],[Score]],LEN(Table10[[#This Row],[Score]])-FIND("-",Table10[[#This Row],[Score]])))</f>
        <v>10</v>
      </c>
      <c r="G123">
        <f>E123+F123</f>
        <v>16</v>
      </c>
      <c r="H123" t="str">
        <f>LEFT(Table10[[#This Row],[Score]],1)</f>
        <v>L</v>
      </c>
      <c r="I123" s="17" t="str">
        <f>VLOOKUP(IF(Table10[[#This Row],[At]]="Home",Table10[[#This Row],[Opponent]],RIGHT(Table10[[#This Row],[Opponent]],LEN(Table10[[#This Row],[Opponent]])-1)),CHOOSE({1,2},[1]StandingsRAW!$J$1:$J$22,[1]StandingsRAW!$L$1:$L$22),2,FALSE)</f>
        <v>GB</v>
      </c>
      <c r="J123" s="33">
        <f>VLOOKUP(Table10[[#This Row],[OPP]],Raw!$L$2:$S$23,7,FALSE)-Raw!$U$2</f>
        <v>-1.4060978308986276</v>
      </c>
    </row>
    <row r="124" spans="1:10" x14ac:dyDescent="0.25">
      <c r="A124" t="s">
        <v>549</v>
      </c>
      <c r="B124" t="s">
        <v>341</v>
      </c>
      <c r="C124" t="s">
        <v>233</v>
      </c>
      <c r="D124" t="str">
        <f>IF(LEFT(Table10[[#This Row],[Opponent]],1)="@","Away","Home")</f>
        <v>Away</v>
      </c>
      <c r="E124">
        <f>_xlfn.NUMBERVALUE(MID(LEFT(Table10[[#This Row],[Score]],FIND("-",Table10[[#This Row],[Score]])-1),FIND(" ",Table10[[#This Row],[Score]])+1,LEN(Table10[[#This Row],[Score]])))</f>
        <v>10</v>
      </c>
      <c r="F124">
        <f>_xlfn.NUMBERVALUE(RIGHT(Table10[[#This Row],[Score]],LEN(Table10[[#This Row],[Score]])-FIND("-",Table10[[#This Row],[Score]])))</f>
        <v>1</v>
      </c>
      <c r="G124">
        <f t="shared" ref="G124:G127" si="18">E124+F124</f>
        <v>11</v>
      </c>
      <c r="H124" t="str">
        <f>LEFT(Table10[[#This Row],[Score]],1)</f>
        <v>W</v>
      </c>
      <c r="I124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124" s="33">
        <f>VLOOKUP(Table10[[#This Row],[OPP]],Raw!$L$2:$S$23,7,FALSE)-Raw!$U$2</f>
        <v>-0.61443116423196109</v>
      </c>
    </row>
    <row r="125" spans="1:10" x14ac:dyDescent="0.25">
      <c r="A125" t="s">
        <v>550</v>
      </c>
      <c r="B125" t="s">
        <v>343</v>
      </c>
      <c r="C125" t="s">
        <v>292</v>
      </c>
      <c r="D125" t="str">
        <f>IF(LEFT(Table10[[#This Row],[Opponent]],1)="@","Away","Home")</f>
        <v>Home</v>
      </c>
      <c r="E125">
        <f>_xlfn.NUMBERVALUE(MID(LEFT(Table10[[#This Row],[Score]],FIND("-",Table10[[#This Row],[Score]])-1),FIND(" ",Table10[[#This Row],[Score]])+1,LEN(Table10[[#This Row],[Score]])))</f>
        <v>7</v>
      </c>
      <c r="F125">
        <f>_xlfn.NUMBERVALUE(RIGHT(Table10[[#This Row],[Score]],LEN(Table10[[#This Row],[Score]])-FIND("-",Table10[[#This Row],[Score]])))</f>
        <v>8</v>
      </c>
      <c r="G125">
        <f t="shared" si="18"/>
        <v>15</v>
      </c>
      <c r="H125" t="str">
        <f>LEFT(Table10[[#This Row],[Score]],1)</f>
        <v>L</v>
      </c>
      <c r="I125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125" s="33">
        <f>VLOOKUP(Table10[[#This Row],[OPP]],Raw!$L$2:$S$23,7,FALSE)-Raw!$U$2</f>
        <v>-0.61443116423196109</v>
      </c>
    </row>
    <row r="126" spans="1:10" x14ac:dyDescent="0.25">
      <c r="A126" t="s">
        <v>551</v>
      </c>
      <c r="B126" t="s">
        <v>58</v>
      </c>
      <c r="C126" t="s">
        <v>419</v>
      </c>
      <c r="D126" t="str">
        <f>IF(LEFT(Table10[[#This Row],[Opponent]],1)="@","Away","Home")</f>
        <v>Away</v>
      </c>
      <c r="E126">
        <f>_xlfn.NUMBERVALUE(MID(LEFT(Table10[[#This Row],[Score]],FIND("-",Table10[[#This Row],[Score]])-1),FIND(" ",Table10[[#This Row],[Score]])+1,LEN(Table10[[#This Row],[Score]])))</f>
        <v>4</v>
      </c>
      <c r="F126">
        <f>_xlfn.NUMBERVALUE(RIGHT(Table10[[#This Row],[Score]],LEN(Table10[[#This Row],[Score]])-FIND("-",Table10[[#This Row],[Score]])))</f>
        <v>14</v>
      </c>
      <c r="G126">
        <f t="shared" si="18"/>
        <v>18</v>
      </c>
      <c r="H126" t="str">
        <f>LEFT(Table10[[#This Row],[Score]],1)</f>
        <v>L</v>
      </c>
      <c r="I126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126" s="33">
        <f>VLOOKUP(Table10[[#This Row],[OPP]],Raw!$L$2:$S$23,7,FALSE)-Raw!$U$2</f>
        <v>0.83001328021248344</v>
      </c>
    </row>
    <row r="127" spans="1:10" x14ac:dyDescent="0.25">
      <c r="A127" t="s">
        <v>552</v>
      </c>
      <c r="B127" t="s">
        <v>58</v>
      </c>
      <c r="C127" t="s">
        <v>118</v>
      </c>
      <c r="D127" t="str">
        <f>IF(LEFT(Table10[[#This Row],[Opponent]],1)="@","Away","Home")</f>
        <v>Away</v>
      </c>
      <c r="E127">
        <f>_xlfn.NUMBERVALUE(MID(LEFT(Table10[[#This Row],[Score]],FIND("-",Table10[[#This Row],[Score]])-1),FIND(" ",Table10[[#This Row],[Score]])+1,LEN(Table10[[#This Row],[Score]])))</f>
        <v>9</v>
      </c>
      <c r="F127">
        <f>_xlfn.NUMBERVALUE(RIGHT(Table10[[#This Row],[Score]],LEN(Table10[[#This Row],[Score]])-FIND("-",Table10[[#This Row],[Score]])))</f>
        <v>8</v>
      </c>
      <c r="G127">
        <f t="shared" si="18"/>
        <v>17</v>
      </c>
      <c r="H127" t="str">
        <f>LEFT(Table10[[#This Row],[Score]],1)</f>
        <v>W</v>
      </c>
      <c r="I127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127" s="33">
        <f>VLOOKUP(Table10[[#This Row],[OPP]],Raw!$L$2:$S$23,7,FALSE)-Raw!$U$2</f>
        <v>0.83001328021248344</v>
      </c>
    </row>
    <row r="128" spans="1:10" x14ac:dyDescent="0.25">
      <c r="A128" t="s">
        <v>555</v>
      </c>
      <c r="B128" t="s">
        <v>20</v>
      </c>
      <c r="C128" t="s">
        <v>327</v>
      </c>
      <c r="D128" t="str">
        <f>IF(LEFT(Table10[[#This Row],[Opponent]],1)="@","Away","Home")</f>
        <v>Home</v>
      </c>
      <c r="E128">
        <f>_xlfn.NUMBERVALUE(MID(LEFT(Table10[[#This Row],[Score]],FIND("-",Table10[[#This Row],[Score]])-1),FIND(" ",Table10[[#This Row],[Score]])+1,LEN(Table10[[#This Row],[Score]])))</f>
        <v>9</v>
      </c>
      <c r="F128">
        <f>_xlfn.NUMBERVALUE(RIGHT(Table10[[#This Row],[Score]],LEN(Table10[[#This Row],[Score]])-FIND("-",Table10[[#This Row],[Score]])))</f>
        <v>7</v>
      </c>
      <c r="G128">
        <f>E128+F128</f>
        <v>16</v>
      </c>
      <c r="H128" t="str">
        <f>LEFT(Table10[[#This Row],[Score]],1)</f>
        <v>W</v>
      </c>
      <c r="I128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128" s="33">
        <f>VLOOKUP(Table10[[#This Row],[OPP]],Raw!$L$2:$S$23,7,FALSE)-Raw!$U$2</f>
        <v>0.83001328021248344</v>
      </c>
    </row>
    <row r="129" spans="1:10" x14ac:dyDescent="0.25">
      <c r="A129" t="s">
        <v>557</v>
      </c>
      <c r="B129" t="s">
        <v>20</v>
      </c>
      <c r="C129" t="s">
        <v>36</v>
      </c>
      <c r="D129" t="str">
        <f>IF(LEFT(Table10[[#This Row],[Opponent]],1)="@","Away","Home")</f>
        <v>Home</v>
      </c>
      <c r="E129">
        <f>_xlfn.NUMBERVALUE(MID(LEFT(Table10[[#This Row],[Score]],FIND("-",Table10[[#This Row],[Score]])-1),FIND(" ",Table10[[#This Row],[Score]])+1,LEN(Table10[[#This Row],[Score]])))</f>
        <v>1</v>
      </c>
      <c r="F129">
        <f>_xlfn.NUMBERVALUE(RIGHT(Table10[[#This Row],[Score]],LEN(Table10[[#This Row],[Score]])-FIND("-",Table10[[#This Row],[Score]])))</f>
        <v>5</v>
      </c>
      <c r="G129">
        <f>E129+F129</f>
        <v>6</v>
      </c>
      <c r="H129" t="str">
        <f>LEFT(Table10[[#This Row],[Score]],1)</f>
        <v>L</v>
      </c>
      <c r="I129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129" s="33">
        <f>VLOOKUP(Table10[[#This Row],[OPP]],Raw!$L$2:$S$23,7,FALSE)-Raw!$U$2</f>
        <v>0.83001328021248344</v>
      </c>
    </row>
    <row r="130" spans="1:10" x14ac:dyDescent="0.25">
      <c r="A130" t="s">
        <v>558</v>
      </c>
      <c r="B130" t="s">
        <v>10</v>
      </c>
      <c r="C130" t="s">
        <v>329</v>
      </c>
      <c r="D130" t="str">
        <f>IF(LEFT(Table10[[#This Row],[Opponent]],1)="@","Away","Home")</f>
        <v>Away</v>
      </c>
      <c r="E130">
        <f>_xlfn.NUMBERVALUE(MID(LEFT(Table10[[#This Row],[Score]],FIND("-",Table10[[#This Row],[Score]])-1),FIND(" ",Table10[[#This Row],[Score]])+1,LEN(Table10[[#This Row],[Score]])))</f>
        <v>5</v>
      </c>
      <c r="F130">
        <f>_xlfn.NUMBERVALUE(RIGHT(Table10[[#This Row],[Score]],LEN(Table10[[#This Row],[Score]])-FIND("-",Table10[[#This Row],[Score]])))</f>
        <v>2</v>
      </c>
      <c r="G130">
        <f>E130+F130</f>
        <v>7</v>
      </c>
      <c r="H130" t="str">
        <f>LEFT(Table10[[#This Row],[Score]],1)</f>
        <v>W</v>
      </c>
      <c r="I130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130" s="33">
        <f>VLOOKUP(Table10[[#This Row],[OPP]],Raw!$L$2:$S$23,7,FALSE)-Raw!$U$2</f>
        <v>-3.1019116024166244</v>
      </c>
    </row>
    <row r="131" spans="1:10" x14ac:dyDescent="0.25">
      <c r="A131" t="s">
        <v>563</v>
      </c>
      <c r="B131" t="s">
        <v>10</v>
      </c>
      <c r="C131" t="s">
        <v>214</v>
      </c>
      <c r="D131" t="str">
        <f>IF(LEFT(Table10[[#This Row],[Opponent]],1)="@","Away","Home")</f>
        <v>Away</v>
      </c>
      <c r="E131">
        <f>_xlfn.NUMBERVALUE(MID(LEFT(Table10[[#This Row],[Score]],FIND("-",Table10[[#This Row],[Score]])-1),FIND(" ",Table10[[#This Row],[Score]])+1,LEN(Table10[[#This Row],[Score]])))</f>
        <v>7</v>
      </c>
      <c r="F131">
        <f>_xlfn.NUMBERVALUE(RIGHT(Table10[[#This Row],[Score]],LEN(Table10[[#This Row],[Score]])-FIND("-",Table10[[#This Row],[Score]])))</f>
        <v>10</v>
      </c>
      <c r="G131">
        <f t="shared" ref="G131:G132" si="19">E131+F131</f>
        <v>17</v>
      </c>
      <c r="H131" t="str">
        <f>LEFT(Table10[[#This Row],[Score]],1)</f>
        <v>L</v>
      </c>
      <c r="I131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131" s="33">
        <f>VLOOKUP(Table10[[#This Row],[OPP]],Raw!$L$2:$S$23,7,FALSE)-Raw!$U$2</f>
        <v>-3.1019116024166244</v>
      </c>
    </row>
    <row r="132" spans="1:10" x14ac:dyDescent="0.25">
      <c r="A132" t="s">
        <v>563</v>
      </c>
      <c r="B132" t="s">
        <v>10</v>
      </c>
      <c r="C132" t="s">
        <v>318</v>
      </c>
      <c r="D132" t="str">
        <f>IF(LEFT(Table10[[#This Row],[Opponent]],1)="@","Away","Home")</f>
        <v>Away</v>
      </c>
      <c r="E132">
        <f>_xlfn.NUMBERVALUE(MID(LEFT(Table10[[#This Row],[Score]],FIND("-",Table10[[#This Row],[Score]])-1),FIND(" ",Table10[[#This Row],[Score]])+1,LEN(Table10[[#This Row],[Score]])))</f>
        <v>11</v>
      </c>
      <c r="F132">
        <f>_xlfn.NUMBERVALUE(RIGHT(Table10[[#This Row],[Score]],LEN(Table10[[#This Row],[Score]])-FIND("-",Table10[[#This Row],[Score]])))</f>
        <v>4</v>
      </c>
      <c r="G132">
        <f t="shared" si="19"/>
        <v>15</v>
      </c>
      <c r="H132" t="str">
        <f>LEFT(Table10[[#This Row],[Score]],1)</f>
        <v>W</v>
      </c>
      <c r="I132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132" s="33">
        <f>VLOOKUP(Table10[[#This Row],[OPP]],Raw!$L$2:$S$23,7,FALSE)-Raw!$U$2</f>
        <v>-3.1019116024166244</v>
      </c>
    </row>
    <row r="133" spans="1:10" x14ac:dyDescent="0.25">
      <c r="A133" t="s">
        <v>564</v>
      </c>
      <c r="B133" t="s">
        <v>10</v>
      </c>
      <c r="C133" t="s">
        <v>374</v>
      </c>
      <c r="D133" t="str">
        <f>IF(LEFT(Table10[[#This Row],[Opponent]],1)="@","Away","Home")</f>
        <v>Away</v>
      </c>
      <c r="E133">
        <f>_xlfn.NUMBERVALUE(MID(LEFT(Table10[[#This Row],[Score]],FIND("-",Table10[[#This Row],[Score]])-1),FIND(" ",Table10[[#This Row],[Score]])+1,LEN(Table10[[#This Row],[Score]])))</f>
        <v>6</v>
      </c>
      <c r="F133">
        <f>_xlfn.NUMBERVALUE(RIGHT(Table10[[#This Row],[Score]],LEN(Table10[[#This Row],[Score]])-FIND("-",Table10[[#This Row],[Score]])))</f>
        <v>9</v>
      </c>
      <c r="G133">
        <f t="shared" ref="G133:G136" si="20">E133+F133</f>
        <v>15</v>
      </c>
      <c r="H133" t="str">
        <f>LEFT(Table10[[#This Row],[Score]],1)</f>
        <v>L</v>
      </c>
      <c r="I133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133" s="33">
        <f>VLOOKUP(Table10[[#This Row],[OPP]],Raw!$L$2:$S$23,7,FALSE)-Raw!$U$2</f>
        <v>-3.1019116024166244</v>
      </c>
    </row>
    <row r="134" spans="1:10" x14ac:dyDescent="0.25">
      <c r="A134" t="s">
        <v>565</v>
      </c>
      <c r="B134" t="s">
        <v>20</v>
      </c>
      <c r="C134" t="s">
        <v>18</v>
      </c>
      <c r="D134" t="str">
        <f>IF(LEFT(Table10[[#This Row],[Opponent]],1)="@","Away","Home")</f>
        <v>Home</v>
      </c>
      <c r="E134">
        <f>_xlfn.NUMBERVALUE(MID(LEFT(Table10[[#This Row],[Score]],FIND("-",Table10[[#This Row],[Score]])-1),FIND(" ",Table10[[#This Row],[Score]])+1,LEN(Table10[[#This Row],[Score]])))</f>
        <v>8</v>
      </c>
      <c r="F134">
        <f>_xlfn.NUMBERVALUE(RIGHT(Table10[[#This Row],[Score]],LEN(Table10[[#This Row],[Score]])-FIND("-",Table10[[#This Row],[Score]])))</f>
        <v>9</v>
      </c>
      <c r="G134">
        <f t="shared" si="20"/>
        <v>17</v>
      </c>
      <c r="H134" t="str">
        <f>LEFT(Table10[[#This Row],[Score]],1)</f>
        <v>L</v>
      </c>
      <c r="I134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134" s="33">
        <f>VLOOKUP(Table10[[#This Row],[OPP]],Raw!$L$2:$S$23,7,FALSE)-Raw!$U$2</f>
        <v>0.83001328021248344</v>
      </c>
    </row>
    <row r="135" spans="1:10" x14ac:dyDescent="0.25">
      <c r="A135" t="s">
        <v>566</v>
      </c>
      <c r="B135" t="s">
        <v>20</v>
      </c>
      <c r="C135" t="s">
        <v>36</v>
      </c>
      <c r="D135" t="str">
        <f>IF(LEFT(Table10[[#This Row],[Opponent]],1)="@","Away","Home")</f>
        <v>Home</v>
      </c>
      <c r="E135">
        <f>_xlfn.NUMBERVALUE(MID(LEFT(Table10[[#This Row],[Score]],FIND("-",Table10[[#This Row],[Score]])-1),FIND(" ",Table10[[#This Row],[Score]])+1,LEN(Table10[[#This Row],[Score]])))</f>
        <v>1</v>
      </c>
      <c r="F135">
        <f>_xlfn.NUMBERVALUE(RIGHT(Table10[[#This Row],[Score]],LEN(Table10[[#This Row],[Score]])-FIND("-",Table10[[#This Row],[Score]])))</f>
        <v>5</v>
      </c>
      <c r="G135">
        <f t="shared" si="20"/>
        <v>6</v>
      </c>
      <c r="H135" t="str">
        <f>LEFT(Table10[[#This Row],[Score]],1)</f>
        <v>L</v>
      </c>
      <c r="I135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135" s="33">
        <f>VLOOKUP(Table10[[#This Row],[OPP]],Raw!$L$2:$S$23,7,FALSE)-Raw!$U$2</f>
        <v>0.83001328021248344</v>
      </c>
    </row>
    <row r="136" spans="1:10" x14ac:dyDescent="0.25">
      <c r="A136" t="s">
        <v>568</v>
      </c>
      <c r="B136" t="s">
        <v>58</v>
      </c>
      <c r="C136" t="s">
        <v>77</v>
      </c>
      <c r="D136" t="str">
        <f>IF(LEFT(Table10[[#This Row],[Opponent]],1)="@","Away","Home")</f>
        <v>Away</v>
      </c>
      <c r="E136">
        <f>_xlfn.NUMBERVALUE(MID(LEFT(Table10[[#This Row],[Score]],FIND("-",Table10[[#This Row],[Score]])-1),FIND(" ",Table10[[#This Row],[Score]])+1,LEN(Table10[[#This Row],[Score]])))</f>
        <v>1</v>
      </c>
      <c r="F136">
        <f>_xlfn.NUMBERVALUE(RIGHT(Table10[[#This Row],[Score]],LEN(Table10[[#This Row],[Score]])-FIND("-",Table10[[#This Row],[Score]])))</f>
        <v>9</v>
      </c>
      <c r="G136">
        <f t="shared" si="20"/>
        <v>10</v>
      </c>
      <c r="H136" t="str">
        <f>LEFT(Table10[[#This Row],[Score]],1)</f>
        <v>L</v>
      </c>
      <c r="I136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136" s="33">
        <f>VLOOKUP(Table10[[#This Row],[OPP]],Raw!$L$2:$S$23,7,FALSE)-Raw!$U$2</f>
        <v>0.83001328021248344</v>
      </c>
    </row>
    <row r="137" spans="1:10" x14ac:dyDescent="0.25">
      <c r="A137" t="s">
        <v>589</v>
      </c>
      <c r="B137" t="s">
        <v>58</v>
      </c>
      <c r="C137" t="s">
        <v>266</v>
      </c>
      <c r="D137" t="str">
        <f>IF(LEFT(Table10[[#This Row],[Opponent]],1)="@","Away","Home")</f>
        <v>Away</v>
      </c>
      <c r="E137">
        <f>_xlfn.NUMBERVALUE(MID(LEFT(Table10[[#This Row],[Score]],FIND("-",Table10[[#This Row],[Score]])-1),FIND(" ",Table10[[#This Row],[Score]])+1,LEN(Table10[[#This Row],[Score]])))</f>
        <v>8</v>
      </c>
      <c r="F137">
        <f>_xlfn.NUMBERVALUE(RIGHT(Table10[[#This Row],[Score]],LEN(Table10[[#This Row],[Score]])-FIND("-",Table10[[#This Row],[Score]])))</f>
        <v>10</v>
      </c>
      <c r="G137">
        <f>E137+F137</f>
        <v>18</v>
      </c>
      <c r="H137" t="str">
        <f>LEFT(Table10[[#This Row],[Score]],1)</f>
        <v>L</v>
      </c>
      <c r="I137" s="17" t="str">
        <f>VLOOKUP(IF(Table10[[#This Row],[At]]="Home",Table10[[#This Row],[Opponent]],RIGHT(Table10[[#This Row],[Opponent]],LEN(Table10[[#This Row],[Opponent]])-1)),CHOOSE({1,2},[1]StandingsRAW!$J$1:$J$22,[1]StandingsRAW!$L$1:$L$22),2,FALSE)</f>
        <v>RFD</v>
      </c>
      <c r="J137" s="33">
        <f>VLOOKUP(Table10[[#This Row],[OPP]],Raw!$L$2:$S$23,7,FALSE)-Raw!$U$2</f>
        <v>0.83001328021248344</v>
      </c>
    </row>
    <row r="138" spans="1:10" x14ac:dyDescent="0.25">
      <c r="A138" t="s">
        <v>592</v>
      </c>
      <c r="B138" t="s">
        <v>30</v>
      </c>
      <c r="C138" t="s">
        <v>409</v>
      </c>
      <c r="D138" t="str">
        <f>IF(LEFT(Table10[[#This Row],[Opponent]],1)="@","Away","Home")</f>
        <v>Away</v>
      </c>
      <c r="E138">
        <f>_xlfn.NUMBERVALUE(MID(LEFT(Table10[[#This Row],[Score]],FIND("-",Table10[[#This Row],[Score]])-1),FIND(" ",Table10[[#This Row],[Score]])+1,LEN(Table10[[#This Row],[Score]])))</f>
        <v>9</v>
      </c>
      <c r="F138">
        <f>_xlfn.NUMBERVALUE(RIGHT(Table10[[#This Row],[Score]],LEN(Table10[[#This Row],[Score]])-FIND("-",Table10[[#This Row],[Score]])))</f>
        <v>0</v>
      </c>
      <c r="G138">
        <f>E138+F138</f>
        <v>9</v>
      </c>
      <c r="H138" t="str">
        <f>LEFT(Table10[[#This Row],[Score]],1)</f>
        <v>W</v>
      </c>
      <c r="I138" s="17" t="str">
        <f>VLOOKUP(IF(Table10[[#This Row],[At]]="Home",Table10[[#This Row],[Opponent]],RIGHT(Table10[[#This Row],[Opponent]],LEN(Table10[[#This Row],[Opponent]])-1)),CHOOSE({1,2},[1]StandingsRAW!$J$1:$J$22,[1]StandingsRAW!$L$1:$L$22),2,FALSE)</f>
        <v>KEN</v>
      </c>
      <c r="J138" s="33">
        <f>VLOOKUP(Table10[[#This Row],[OPP]],Raw!$L$2:$S$23,7,FALSE)-Raw!$U$2</f>
        <v>-3.3200531208499337E-3</v>
      </c>
    </row>
    <row r="139" spans="1:10" x14ac:dyDescent="0.25">
      <c r="A139" t="s">
        <v>595</v>
      </c>
      <c r="B139" t="s">
        <v>30</v>
      </c>
      <c r="C139" t="s">
        <v>38</v>
      </c>
      <c r="D139" t="str">
        <f>IF(LEFT(Table10[[#This Row],[Opponent]],1)="@","Away","Home")</f>
        <v>Away</v>
      </c>
      <c r="E139">
        <f>_xlfn.NUMBERVALUE(MID(LEFT(Table10[[#This Row],[Score]],FIND("-",Table10[[#This Row],[Score]])-1),FIND(" ",Table10[[#This Row],[Score]])+1,LEN(Table10[[#This Row],[Score]])))</f>
        <v>3</v>
      </c>
      <c r="F139">
        <f>_xlfn.NUMBERVALUE(RIGHT(Table10[[#This Row],[Score]],LEN(Table10[[#This Row],[Score]])-FIND("-",Table10[[#This Row],[Score]])))</f>
        <v>5</v>
      </c>
      <c r="G139">
        <f>E139+F139</f>
        <v>8</v>
      </c>
      <c r="H139" t="str">
        <f>LEFT(Table10[[#This Row],[Score]],1)</f>
        <v>L</v>
      </c>
      <c r="I139" s="17" t="str">
        <f>VLOOKUP(IF(Table10[[#This Row],[At]]="Home",Table10[[#This Row],[Opponent]],RIGHT(Table10[[#This Row],[Opponent]],LEN(Table10[[#This Row],[Opponent]])-1)),CHOOSE({1,2},[1]StandingsRAW!$J$1:$J$22,[1]StandingsRAW!$L$1:$L$22),2,FALSE)</f>
        <v>KEN</v>
      </c>
      <c r="J139" s="33">
        <f>VLOOKUP(Table10[[#This Row],[OPP]],Raw!$L$2:$S$23,7,FALSE)-Raw!$U$2</f>
        <v>-3.3200531208499337E-3</v>
      </c>
    </row>
    <row r="140" spans="1:10" x14ac:dyDescent="0.25">
      <c r="A140" t="s">
        <v>598</v>
      </c>
      <c r="B140" t="s">
        <v>23</v>
      </c>
      <c r="C140" t="s">
        <v>413</v>
      </c>
      <c r="D140" t="str">
        <f>IF(LEFT(Table10[[#This Row],[Opponent]],1)="@","Away","Home")</f>
        <v>Home</v>
      </c>
      <c r="E140">
        <f>_xlfn.NUMBERVALUE(MID(LEFT(Table10[[#This Row],[Score]],FIND("-",Table10[[#This Row],[Score]])-1),FIND(" ",Table10[[#This Row],[Score]])+1,LEN(Table10[[#This Row],[Score]])))</f>
        <v>4</v>
      </c>
      <c r="F140">
        <f>_xlfn.NUMBERVALUE(RIGHT(Table10[[#This Row],[Score]],LEN(Table10[[#This Row],[Score]])-FIND("-",Table10[[#This Row],[Score]])))</f>
        <v>16</v>
      </c>
      <c r="G140">
        <f t="shared" ref="G140:G141" si="21">E140+F140</f>
        <v>20</v>
      </c>
      <c r="H140" t="str">
        <f>LEFT(Table10[[#This Row],[Score]],1)</f>
        <v>L</v>
      </c>
      <c r="I140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140" s="33">
        <f>VLOOKUP(Table10[[#This Row],[OPP]],Raw!$L$2:$S$23,7,FALSE)-Raw!$U$2</f>
        <v>1.4411243913235945</v>
      </c>
    </row>
    <row r="141" spans="1:10" x14ac:dyDescent="0.25">
      <c r="A141" t="s">
        <v>598</v>
      </c>
      <c r="B141" t="s">
        <v>40</v>
      </c>
      <c r="C141" t="s">
        <v>50</v>
      </c>
      <c r="D141" t="str">
        <f>IF(LEFT(Table10[[#This Row],[Opponent]],1)="@","Away","Home")</f>
        <v>Away</v>
      </c>
      <c r="E141">
        <f>_xlfn.NUMBERVALUE(MID(LEFT(Table10[[#This Row],[Score]],FIND("-",Table10[[#This Row],[Score]])-1),FIND(" ",Table10[[#This Row],[Score]])+1,LEN(Table10[[#This Row],[Score]])))</f>
        <v>3</v>
      </c>
      <c r="F141">
        <f>_xlfn.NUMBERVALUE(RIGHT(Table10[[#This Row],[Score]],LEN(Table10[[#This Row],[Score]])-FIND("-",Table10[[#This Row],[Score]])))</f>
        <v>4</v>
      </c>
      <c r="G141">
        <f t="shared" si="21"/>
        <v>7</v>
      </c>
      <c r="H141" t="str">
        <f>LEFT(Table10[[#This Row],[Score]],1)</f>
        <v>L</v>
      </c>
      <c r="I141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141" s="33">
        <f>VLOOKUP(Table10[[#This Row],[OPP]],Raw!$L$2:$S$23,7,FALSE)-Raw!$U$2</f>
        <v>1.4411243913235945</v>
      </c>
    </row>
    <row r="142" spans="1:10" x14ac:dyDescent="0.25">
      <c r="A142" t="s">
        <v>599</v>
      </c>
      <c r="B142" t="s">
        <v>40</v>
      </c>
      <c r="C142" t="s">
        <v>31</v>
      </c>
      <c r="D142" t="str">
        <f>IF(LEFT(Table10[[#This Row],[Opponent]],1)="@","Away","Home")</f>
        <v>Away</v>
      </c>
      <c r="E142">
        <f>_xlfn.NUMBERVALUE(MID(LEFT(Table10[[#This Row],[Score]],FIND("-",Table10[[#This Row],[Score]])-1),FIND(" ",Table10[[#This Row],[Score]])+1,LEN(Table10[[#This Row],[Score]])))</f>
        <v>5</v>
      </c>
      <c r="F142">
        <f>_xlfn.NUMBERVALUE(RIGHT(Table10[[#This Row],[Score]],LEN(Table10[[#This Row],[Score]])-FIND("-",Table10[[#This Row],[Score]])))</f>
        <v>9</v>
      </c>
      <c r="G142">
        <f>E142+F142</f>
        <v>14</v>
      </c>
      <c r="H142" t="str">
        <f>LEFT(Table10[[#This Row],[Score]],1)</f>
        <v>L</v>
      </c>
      <c r="I142" s="17" t="str">
        <f>VLOOKUP(IF(Table10[[#This Row],[At]]="Home",Table10[[#This Row],[Opponent]],RIGHT(Table10[[#This Row],[Opponent]],LEN(Table10[[#This Row],[Opponent]])-1)),CHOOSE({1,2},[1]StandingsRAW!$J$1:$J$22,[1]StandingsRAW!$L$1:$L$22),2,FALSE)</f>
        <v>TVC</v>
      </c>
      <c r="J142" s="33">
        <f>VLOOKUP(Table10[[#This Row],[OPP]],Raw!$L$2:$S$23,7,FALSE)-Raw!$U$2</f>
        <v>1.4411243913235945</v>
      </c>
    </row>
    <row r="143" spans="1:10" x14ac:dyDescent="0.25">
      <c r="A143" t="s">
        <v>600</v>
      </c>
      <c r="B143" t="s">
        <v>69</v>
      </c>
      <c r="C143" t="s">
        <v>347</v>
      </c>
      <c r="D143" t="str">
        <f>IF(LEFT(Table10[[#This Row],[Opponent]],1)="@","Away","Home")</f>
        <v>Home</v>
      </c>
      <c r="E143">
        <f>_xlfn.NUMBERVALUE(MID(LEFT(Table10[[#This Row],[Score]],FIND("-",Table10[[#This Row],[Score]])-1),FIND(" ",Table10[[#This Row],[Score]])+1,LEN(Table10[[#This Row],[Score]])))</f>
        <v>9</v>
      </c>
      <c r="F143">
        <f>_xlfn.NUMBERVALUE(RIGHT(Table10[[#This Row],[Score]],LEN(Table10[[#This Row],[Score]])-FIND("-",Table10[[#This Row],[Score]])))</f>
        <v>5</v>
      </c>
      <c r="G143">
        <f t="shared" ref="G143:G146" si="22">E143+F143</f>
        <v>14</v>
      </c>
      <c r="H143" t="str">
        <f>LEFT(Table10[[#This Row],[Score]],1)</f>
        <v>W</v>
      </c>
      <c r="I143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143" s="33">
        <f>VLOOKUP(Table10[[#This Row],[OPP]],Raw!$L$2:$S$23,7,FALSE)-Raw!$U$2</f>
        <v>-3.1019116024166244</v>
      </c>
    </row>
    <row r="144" spans="1:10" x14ac:dyDescent="0.25">
      <c r="A144" t="s">
        <v>601</v>
      </c>
      <c r="B144" t="s">
        <v>69</v>
      </c>
      <c r="C144" t="s">
        <v>326</v>
      </c>
      <c r="D144" t="str">
        <f>IF(LEFT(Table10[[#This Row],[Opponent]],1)="@","Away","Home")</f>
        <v>Home</v>
      </c>
      <c r="E144">
        <f>_xlfn.NUMBERVALUE(MID(LEFT(Table10[[#This Row],[Score]],FIND("-",Table10[[#This Row],[Score]])-1),FIND(" ",Table10[[#This Row],[Score]])+1,LEN(Table10[[#This Row],[Score]])))</f>
        <v>10</v>
      </c>
      <c r="F144">
        <f>_xlfn.NUMBERVALUE(RIGHT(Table10[[#This Row],[Score]],LEN(Table10[[#This Row],[Score]])-FIND("-",Table10[[#This Row],[Score]])))</f>
        <v>9</v>
      </c>
      <c r="G144">
        <f t="shared" si="22"/>
        <v>19</v>
      </c>
      <c r="H144" t="str">
        <f>LEFT(Table10[[#This Row],[Score]],1)</f>
        <v>W</v>
      </c>
      <c r="I144" s="17" t="str">
        <f>VLOOKUP(IF(Table10[[#This Row],[At]]="Home",Table10[[#This Row],[Opponent]],RIGHT(Table10[[#This Row],[Opponent]],LEN(Table10[[#This Row],[Opponent]])-1)),CHOOSE({1,2},[1]StandingsRAW!$J$1:$J$22,[1]StandingsRAW!$L$1:$L$22),2,FALSE)</f>
        <v>KMO</v>
      </c>
      <c r="J144" s="33">
        <f>VLOOKUP(Table10[[#This Row],[OPP]],Raw!$L$2:$S$23,7,FALSE)-Raw!$U$2</f>
        <v>-3.1019116024166244</v>
      </c>
    </row>
    <row r="145" spans="1:10" x14ac:dyDescent="0.25">
      <c r="A145" t="s">
        <v>602</v>
      </c>
      <c r="B145" t="s">
        <v>341</v>
      </c>
      <c r="C145" t="s">
        <v>326</v>
      </c>
      <c r="D145" t="str">
        <f>IF(LEFT(Table10[[#This Row],[Opponent]],1)="@","Away","Home")</f>
        <v>Away</v>
      </c>
      <c r="E145">
        <f>_xlfn.NUMBERVALUE(MID(LEFT(Table10[[#This Row],[Score]],FIND("-",Table10[[#This Row],[Score]])-1),FIND(" ",Table10[[#This Row],[Score]])+1,LEN(Table10[[#This Row],[Score]])))</f>
        <v>10</v>
      </c>
      <c r="F145">
        <f>_xlfn.NUMBERVALUE(RIGHT(Table10[[#This Row],[Score]],LEN(Table10[[#This Row],[Score]])-FIND("-",Table10[[#This Row],[Score]])))</f>
        <v>9</v>
      </c>
      <c r="G145">
        <f t="shared" si="22"/>
        <v>19</v>
      </c>
      <c r="H145" t="str">
        <f>LEFT(Table10[[#This Row],[Score]],1)</f>
        <v>W</v>
      </c>
      <c r="I145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145" s="33">
        <f>VLOOKUP(Table10[[#This Row],[OPP]],Raw!$L$2:$S$23,7,FALSE)-Raw!$U$2</f>
        <v>-0.61443116423196109</v>
      </c>
    </row>
    <row r="146" spans="1:10" x14ac:dyDescent="0.25">
      <c r="A146" t="s">
        <v>603</v>
      </c>
      <c r="B146" t="s">
        <v>343</v>
      </c>
      <c r="C146" t="s">
        <v>363</v>
      </c>
      <c r="D146" t="str">
        <f>IF(LEFT(Table10[[#This Row],[Opponent]],1)="@","Away","Home")</f>
        <v>Home</v>
      </c>
      <c r="E146">
        <f>_xlfn.NUMBERVALUE(MID(LEFT(Table10[[#This Row],[Score]],FIND("-",Table10[[#This Row],[Score]])-1),FIND(" ",Table10[[#This Row],[Score]])+1,LEN(Table10[[#This Row],[Score]])))</f>
        <v>14</v>
      </c>
      <c r="F146">
        <f>_xlfn.NUMBERVALUE(RIGHT(Table10[[#This Row],[Score]],LEN(Table10[[#This Row],[Score]])-FIND("-",Table10[[#This Row],[Score]])))</f>
        <v>2</v>
      </c>
      <c r="G146">
        <f t="shared" si="22"/>
        <v>16</v>
      </c>
      <c r="H146" t="str">
        <f>LEFT(Table10[[#This Row],[Score]],1)</f>
        <v>W</v>
      </c>
      <c r="I146" s="17" t="str">
        <f>VLOOKUP(IF(Table10[[#This Row],[At]]="Home",Table10[[#This Row],[Opponent]],RIGHT(Table10[[#This Row],[Opponent]],LEN(Table10[[#This Row],[Opponent]])-1)),CHOOSE({1,2},[1]StandingsRAW!$J$1:$J$22,[1]StandingsRAW!$L$1:$L$22),2,FALSE)</f>
        <v>BC</v>
      </c>
      <c r="J146" s="33">
        <f>VLOOKUP(Table10[[#This Row],[OPP]],Raw!$L$2:$S$23,7,FALSE)-Raw!$U$2</f>
        <v>-0.61443116423196109</v>
      </c>
    </row>
    <row r="147" spans="1:10" x14ac:dyDescent="0.25">
      <c r="A147" t="s">
        <v>608</v>
      </c>
      <c r="B147" t="s">
        <v>52</v>
      </c>
      <c r="C147" t="s">
        <v>372</v>
      </c>
      <c r="D147" t="str">
        <f>IF(LEFT(Table10[[#This Row],[Opponent]],1)="@","Away","Home")</f>
        <v>Home</v>
      </c>
      <c r="E147">
        <f>_xlfn.NUMBERVALUE(MID(LEFT(Table10[[#This Row],[Score]],FIND("-",Table10[[#This Row],[Score]])-1),FIND(" ",Table10[[#This Row],[Score]])+1,LEN(Table10[[#This Row],[Score]])))</f>
        <v>9</v>
      </c>
      <c r="F147">
        <f>_xlfn.NUMBERVALUE(RIGHT(Table10[[#This Row],[Score]],LEN(Table10[[#This Row],[Score]])-FIND("-",Table10[[#This Row],[Score]])))</f>
        <v>1</v>
      </c>
      <c r="G147">
        <f>E147+F147</f>
        <v>10</v>
      </c>
      <c r="H147" t="str">
        <f>LEFT(Table10[[#This Row],[Score]],1)</f>
        <v>W</v>
      </c>
      <c r="I147" s="17" t="str">
        <f>VLOOKUP(IF(Table10[[#This Row],[At]]="Home",Table10[[#This Row],[Opponent]],RIGHT(Table10[[#This Row],[Opponent]],LEN(Table10[[#This Row],[Opponent]])-1)),CHOOSE({1,2},[1]StandingsRAW!$J$1:$J$22,[1]StandingsRAW!$L$1:$L$22),2,FALSE)</f>
        <v>KEN</v>
      </c>
      <c r="J147" s="33">
        <f>VLOOKUP(Table10[[#This Row],[OPP]],Raw!$L$2:$S$23,7,FALSE)-Raw!$U$2</f>
        <v>-3.3200531208499337E-3</v>
      </c>
    </row>
  </sheetData>
  <conditionalFormatting sqref="L17">
    <cfRule type="cellIs" dxfId="69" priority="4" operator="greaterThan">
      <formula>100</formula>
    </cfRule>
    <cfRule type="cellIs" dxfId="68" priority="5" operator="lessThan">
      <formula>100</formula>
    </cfRule>
  </conditionalFormatting>
  <conditionalFormatting sqref="L18">
    <cfRule type="cellIs" dxfId="67" priority="2" operator="greaterThan">
      <formula>100</formula>
    </cfRule>
    <cfRule type="cellIs" dxfId="66" priority="3" operator="lessThan">
      <formula>100</formula>
    </cfRule>
  </conditionalFormatting>
  <conditionalFormatting sqref="L17:L18">
    <cfRule type="cellIs" dxfId="65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2C0A-34EE-4AD7-9162-47F3D32977F2}">
  <sheetPr codeName="Sheet12"/>
  <dimension ref="A1:P140"/>
  <sheetViews>
    <sheetView topLeftCell="A64" zoomScale="70" zoomScaleNormal="70" workbookViewId="0">
      <selection activeCell="A73" sqref="A73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376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206</v>
      </c>
      <c r="C3" t="s">
        <v>298</v>
      </c>
      <c r="E3" s="1" t="str">
        <f>IF(LEFT(B3,1)="@","Away","Home")</f>
        <v>Away</v>
      </c>
      <c r="F3" s="3">
        <f>_xlfn.NUMBERVALUE(MID(LEFT(C3,FIND("-",C3)-1),FIND(" ",C3)+1,LEN(C3)))</f>
        <v>1</v>
      </c>
      <c r="G3" s="3">
        <f>_xlfn.NUMBERVALUE(RIGHT(C3,LEN(C3)-FIND("-",C3)))</f>
        <v>2</v>
      </c>
      <c r="H3" s="3">
        <f t="shared" ref="H3:H66" si="0">F3+G3</f>
        <v>3</v>
      </c>
      <c r="I3" s="3" t="str">
        <f>LEFT(C3,1)</f>
        <v>L</v>
      </c>
      <c r="K3" s="4" t="s">
        <v>139</v>
      </c>
      <c r="L3" s="5">
        <f>(SUMIF($E$3:$E$95,$K3,F$3:F$95) + SUMIF(LAC!$D$73:$D$140,$K3,LAC!$E$73:$E$140))/(COUNTIF($E$3:$E$95,$K3) + COUNTIF(LAC!$D$73:$D$140,$K3))</f>
        <v>6.5</v>
      </c>
      <c r="M3" s="5">
        <f>(SUMIF($E$3:$E$95,$K3,G$3:G$95) + SUMIF(LAC!$D$73:$D$140,$K3,LAC!$F$73:$F$140))/(COUNTIF($E$3:$E$95,$K3) + COUNTIF(LAC!$D$73:$D$140,$K3))</f>
        <v>7.041666666666667</v>
      </c>
      <c r="N3" s="5">
        <f>L3+M3</f>
        <v>13.541666666666668</v>
      </c>
      <c r="O3" s="5">
        <f>(COUNTIFS($E$3:$E$74,$K3,$I$3:$I$74,O$2) + COUNTIFS(LAC!$D$73:$D$140,$K3,LAC!$H$73:$H$140,O$2))/(COUNTIF($E$3:$E$74,$K3) + COUNTIF(LAC!$D$73:$D$140,$K3))</f>
        <v>0.51388888888888884</v>
      </c>
      <c r="P3" s="5">
        <f>(COUNTIFS($E$3:$E$74,$K3,$I$3:$I$74,P$2) + COUNTIFS(LAC!$D$73:$D$140,$K3,LAC!$H$73:$H$140,P$2))/(COUNTIF($E$3:$E$74,$K3) + COUNTIF(LAC!$D$73:$D$140,$K3))</f>
        <v>0.4861111111111111</v>
      </c>
    </row>
    <row r="4" spans="1:16" x14ac:dyDescent="0.25">
      <c r="A4" t="s">
        <v>7</v>
      </c>
      <c r="B4" t="s">
        <v>206</v>
      </c>
      <c r="C4" t="s">
        <v>377</v>
      </c>
      <c r="E4" s="1" t="str">
        <f t="shared" ref="E4:E67" si="1">IF(LEFT(B4,1)="@","Away","Home")</f>
        <v>Away</v>
      </c>
      <c r="F4" s="3">
        <f t="shared" ref="F4:F67" si="2">_xlfn.NUMBERVALUE(MID(LEFT(C4,FIND("-",C4)-1),FIND(" ",C4)+1,LEN(C4)))</f>
        <v>3</v>
      </c>
      <c r="G4" s="3">
        <f t="shared" ref="G4:G67" si="3">_xlfn.NUMBERVALUE(RIGHT(C4,LEN(C4)-FIND("-",C4)))</f>
        <v>19</v>
      </c>
      <c r="H4" s="3">
        <f t="shared" si="0"/>
        <v>22</v>
      </c>
      <c r="I4" s="3" t="str">
        <f t="shared" ref="I4:I67" si="4">LEFT(C4,1)</f>
        <v>L</v>
      </c>
      <c r="K4" s="4" t="s">
        <v>140</v>
      </c>
      <c r="L4" s="5">
        <f>(SUMIF($E$3:$E$95,$K4,F$3:F$95) + SUMIF(LAC!$D$73:$D$140,$K4,LAC!$E$73:$E$140))/(COUNTIF($E$3:$E$95,$K4) + COUNTIF(LAC!$D$73:$D$140,$K4))</f>
        <v>5.15625</v>
      </c>
      <c r="M4" s="5">
        <f>(SUMIF($E$3:$E$95,$K4,G$3:G$95) + SUMIF(LAC!$D$73:$D$140,$K4,LAC!$F$73:$F$140))/(COUNTIF($E$3:$E$95,$K4) + COUNTIF(LAC!$D$73:$D$140,$K4))</f>
        <v>6.0625</v>
      </c>
      <c r="N4" s="5">
        <f>L4+M4</f>
        <v>11.21875</v>
      </c>
      <c r="O4" s="5">
        <f>(COUNTIFS($E$3:$E$74,$K4,$I$3:$I$74,O$2) + COUNTIFS(LAC!$D$73:$D$140,$K4,LAC!$H$73:$H$140,O$2))/(COUNTIF($E$3:$E$74,$K4) + COUNTIF(LAC!$D$73:$D$140,$K4))</f>
        <v>0.34375</v>
      </c>
      <c r="P4" s="5">
        <f>(COUNTIFS($E$3:$E$74,$K4,$I$3:$I$74,P$2) + COUNTIFS(LAC!$D$73:$D$140,$K4,LAC!$H$73:$H$140,P$2))/(COUNTIF($E$3:$E$74,$K4) + COUNTIF(LAC!$D$73:$D$140,$K4))</f>
        <v>0.65625</v>
      </c>
    </row>
    <row r="5" spans="1:16" x14ac:dyDescent="0.25">
      <c r="A5" t="s">
        <v>9</v>
      </c>
      <c r="B5" t="s">
        <v>241</v>
      </c>
      <c r="C5" t="s">
        <v>254</v>
      </c>
      <c r="E5" s="1" t="str">
        <f t="shared" si="1"/>
        <v>Home</v>
      </c>
      <c r="F5" s="3">
        <f t="shared" si="2"/>
        <v>5</v>
      </c>
      <c r="G5" s="3">
        <f t="shared" si="3"/>
        <v>4</v>
      </c>
      <c r="H5" s="3">
        <f t="shared" si="0"/>
        <v>9</v>
      </c>
      <c r="I5" s="3" t="str">
        <f t="shared" si="4"/>
        <v>W</v>
      </c>
    </row>
    <row r="6" spans="1:16" x14ac:dyDescent="0.25">
      <c r="A6" t="s">
        <v>12</v>
      </c>
      <c r="B6" t="s">
        <v>241</v>
      </c>
      <c r="C6" t="s">
        <v>99</v>
      </c>
      <c r="E6" s="1" t="str">
        <f t="shared" si="1"/>
        <v>Home</v>
      </c>
      <c r="F6" s="3">
        <f t="shared" si="2"/>
        <v>4</v>
      </c>
      <c r="G6" s="3">
        <f t="shared" si="3"/>
        <v>12</v>
      </c>
      <c r="H6" s="3">
        <f t="shared" si="0"/>
        <v>16</v>
      </c>
      <c r="I6" s="3" t="str">
        <f t="shared" si="4"/>
        <v>L</v>
      </c>
      <c r="K6" s="4" t="s">
        <v>144</v>
      </c>
      <c r="L6" s="5">
        <f>N3/N4</f>
        <v>1.2070566388115136</v>
      </c>
      <c r="O6" s="4" t="s">
        <v>178</v>
      </c>
      <c r="P6" s="1" t="s">
        <v>180</v>
      </c>
    </row>
    <row r="7" spans="1:16" x14ac:dyDescent="0.25">
      <c r="A7" t="s">
        <v>14</v>
      </c>
      <c r="B7" t="s">
        <v>278</v>
      </c>
      <c r="C7" t="s">
        <v>378</v>
      </c>
      <c r="E7" s="1" t="str">
        <f t="shared" si="1"/>
        <v>Home</v>
      </c>
      <c r="F7" s="3">
        <f t="shared" si="2"/>
        <v>12</v>
      </c>
      <c r="G7" s="3">
        <f t="shared" si="3"/>
        <v>9</v>
      </c>
      <c r="H7" s="3">
        <f t="shared" si="0"/>
        <v>21</v>
      </c>
      <c r="I7" s="3" t="str">
        <f t="shared" si="4"/>
        <v>W</v>
      </c>
      <c r="K7" s="7" t="s">
        <v>143</v>
      </c>
      <c r="L7" s="5">
        <f>(18.5 - O3)/(18.5-P4)</f>
        <v>1.0079782058766296</v>
      </c>
      <c r="O7" s="4" t="s">
        <v>147</v>
      </c>
      <c r="P7" s="1">
        <f>VLOOKUP($P$6,'Full League'!$L$4:$N$5,2,FALSE)</f>
        <v>10</v>
      </c>
    </row>
    <row r="8" spans="1:16" x14ac:dyDescent="0.25">
      <c r="A8" t="s">
        <v>16</v>
      </c>
      <c r="B8" t="s">
        <v>278</v>
      </c>
      <c r="C8" t="s">
        <v>296</v>
      </c>
      <c r="E8" s="1" t="str">
        <f t="shared" si="1"/>
        <v>Home</v>
      </c>
      <c r="F8" s="3">
        <f t="shared" si="2"/>
        <v>3</v>
      </c>
      <c r="G8" s="3">
        <f t="shared" si="3"/>
        <v>10</v>
      </c>
      <c r="H8" s="3">
        <f t="shared" si="0"/>
        <v>13</v>
      </c>
      <c r="I8" s="3" t="str">
        <f t="shared" si="4"/>
        <v>L</v>
      </c>
      <c r="K8" s="7" t="s">
        <v>146</v>
      </c>
      <c r="L8" s="5">
        <f>L6/L7</f>
        <v>1.1975027156085656</v>
      </c>
      <c r="O8" s="4" t="s">
        <v>151</v>
      </c>
      <c r="P8" s="2">
        <f>VLOOKUP($P$6,'Full League'!$L$4:$N$5,3,FALSE)</f>
        <v>11.586233565351895</v>
      </c>
    </row>
    <row r="9" spans="1:16" x14ac:dyDescent="0.25">
      <c r="A9" t="s">
        <v>19</v>
      </c>
      <c r="B9" t="s">
        <v>250</v>
      </c>
      <c r="C9" t="s">
        <v>326</v>
      </c>
      <c r="E9" s="1" t="str">
        <f t="shared" si="1"/>
        <v>Home</v>
      </c>
      <c r="F9" s="3">
        <f t="shared" si="2"/>
        <v>10</v>
      </c>
      <c r="G9" s="3">
        <f t="shared" si="3"/>
        <v>9</v>
      </c>
      <c r="H9" s="3">
        <f t="shared" si="0"/>
        <v>19</v>
      </c>
      <c r="I9" s="3" t="str">
        <f t="shared" si="4"/>
        <v>W</v>
      </c>
      <c r="K9" s="7" t="s">
        <v>145</v>
      </c>
      <c r="L9" s="5">
        <f>(P7)/(P7-1+L8)</f>
        <v>0.98063224682389505</v>
      </c>
      <c r="O9" s="4"/>
      <c r="P9" s="1"/>
    </row>
    <row r="10" spans="1:16" x14ac:dyDescent="0.25">
      <c r="A10" t="s">
        <v>193</v>
      </c>
      <c r="B10" t="s">
        <v>250</v>
      </c>
      <c r="C10" t="s">
        <v>253</v>
      </c>
      <c r="E10" s="1" t="str">
        <f t="shared" si="1"/>
        <v>Home</v>
      </c>
      <c r="F10" s="3">
        <f t="shared" si="2"/>
        <v>4</v>
      </c>
      <c r="G10" s="3">
        <f t="shared" si="3"/>
        <v>0</v>
      </c>
      <c r="H10" s="3">
        <f t="shared" si="0"/>
        <v>4</v>
      </c>
      <c r="I10" s="3" t="str">
        <f t="shared" si="4"/>
        <v>W</v>
      </c>
      <c r="K10" s="4" t="s">
        <v>149</v>
      </c>
      <c r="L10" s="5">
        <f>L8*L9</f>
        <v>1.1743097785849435</v>
      </c>
      <c r="O10" s="4"/>
      <c r="P10" s="1"/>
    </row>
    <row r="11" spans="1:16" x14ac:dyDescent="0.25">
      <c r="A11" t="s">
        <v>22</v>
      </c>
      <c r="B11" t="s">
        <v>198</v>
      </c>
      <c r="C11" t="s">
        <v>244</v>
      </c>
      <c r="E11" s="1" t="str">
        <f t="shared" si="1"/>
        <v>Away</v>
      </c>
      <c r="F11" s="3">
        <f t="shared" si="2"/>
        <v>6</v>
      </c>
      <c r="G11" s="3">
        <f t="shared" si="3"/>
        <v>3</v>
      </c>
      <c r="H11" s="3">
        <f t="shared" si="0"/>
        <v>9</v>
      </c>
      <c r="I11" s="3" t="str">
        <f t="shared" si="4"/>
        <v>W</v>
      </c>
      <c r="K11" s="4" t="s">
        <v>148</v>
      </c>
      <c r="L11" s="5">
        <f>1 - ((L10-1)/(P7-1))</f>
        <v>0.98063224682389516</v>
      </c>
      <c r="O11" s="4"/>
      <c r="P11" s="1"/>
    </row>
    <row r="12" spans="1:16" x14ac:dyDescent="0.25">
      <c r="A12" t="s">
        <v>196</v>
      </c>
      <c r="B12" t="s">
        <v>198</v>
      </c>
      <c r="C12" t="s">
        <v>368</v>
      </c>
      <c r="E12" s="1" t="str">
        <f t="shared" si="1"/>
        <v>Away</v>
      </c>
      <c r="F12" s="3">
        <f t="shared" si="2"/>
        <v>7</v>
      </c>
      <c r="G12" s="3">
        <f t="shared" si="3"/>
        <v>11</v>
      </c>
      <c r="H12" s="3">
        <f t="shared" si="0"/>
        <v>18</v>
      </c>
      <c r="I12" s="3" t="str">
        <f t="shared" si="4"/>
        <v>L</v>
      </c>
      <c r="K12" s="4" t="s">
        <v>150</v>
      </c>
      <c r="L12" s="5">
        <f>(($L4/$L11)+($L3/$L10)) * (1 + (L13-1)/($P7-1)) / $P8</f>
        <v>0.93155844404807153</v>
      </c>
      <c r="M12" s="5">
        <f t="shared" ref="M12:O12" si="5">(($L4/$L11)+($L3/$L10)) * (1 + (M13-1)/($P7-1)) / $P8</f>
        <v>0.93602361130049894</v>
      </c>
      <c r="N12" s="5">
        <f t="shared" si="5"/>
        <v>0.93607758973304966</v>
      </c>
      <c r="O12" s="8">
        <f t="shared" si="5"/>
        <v>0.9360782422665419</v>
      </c>
      <c r="P12" s="5"/>
    </row>
    <row r="13" spans="1:16" x14ac:dyDescent="0.25">
      <c r="A13" t="s">
        <v>25</v>
      </c>
      <c r="B13" t="s">
        <v>203</v>
      </c>
      <c r="C13" t="s">
        <v>253</v>
      </c>
      <c r="E13" s="1" t="str">
        <f t="shared" si="1"/>
        <v>Away</v>
      </c>
      <c r="F13" s="3">
        <f t="shared" si="2"/>
        <v>4</v>
      </c>
      <c r="G13" s="3">
        <f t="shared" si="3"/>
        <v>0</v>
      </c>
      <c r="H13" s="3">
        <f t="shared" si="0"/>
        <v>4</v>
      </c>
      <c r="I13" s="3" t="str">
        <f t="shared" si="4"/>
        <v>W</v>
      </c>
      <c r="K13" s="4" t="s">
        <v>182</v>
      </c>
      <c r="L13" s="5">
        <v>1</v>
      </c>
      <c r="M13" s="5">
        <f>(($M4/$L11)+($M3/$L10)) * (1 + (L12-1)/($P7-1)) / $P8</f>
        <v>1.0431390059621128</v>
      </c>
      <c r="N13" s="5">
        <f>(($M4/$L11)+($M3/$L10)) * (1 + (M12-1)/($P7-1)) / $P8</f>
        <v>1.0436605039916369</v>
      </c>
      <c r="O13" s="5">
        <f>(($M4/$L11)+($M3/$L10)) * (1 + (N12-1)/($P7-1)) / $P8</f>
        <v>1.0436668082675173</v>
      </c>
      <c r="P13" s="8">
        <f>(($M4/$L11)+($M3/$L10)) * (1 + (O12-1)/($P7-1)) / $P8</f>
        <v>1.0436668844785328</v>
      </c>
    </row>
    <row r="14" spans="1:16" x14ac:dyDescent="0.25">
      <c r="A14" t="s">
        <v>27</v>
      </c>
      <c r="B14" t="s">
        <v>203</v>
      </c>
      <c r="C14" t="s">
        <v>46</v>
      </c>
      <c r="E14" s="1" t="str">
        <f t="shared" si="1"/>
        <v>Away</v>
      </c>
      <c r="F14" s="3">
        <f t="shared" si="2"/>
        <v>6</v>
      </c>
      <c r="G14" s="3">
        <f t="shared" si="3"/>
        <v>8</v>
      </c>
      <c r="H14" s="3">
        <f t="shared" si="0"/>
        <v>14</v>
      </c>
      <c r="I14" s="3" t="str">
        <f t="shared" si="4"/>
        <v>L</v>
      </c>
      <c r="K14" s="4" t="s">
        <v>183</v>
      </c>
      <c r="L14" s="5">
        <f xml:space="preserve"> (L10+L11) / (2 * (1 + ((P13-1)/(P7-1))))</f>
        <v>1.072268498852269</v>
      </c>
      <c r="N14" s="5"/>
    </row>
    <row r="15" spans="1:16" x14ac:dyDescent="0.25">
      <c r="A15" t="s">
        <v>29</v>
      </c>
      <c r="B15" t="s">
        <v>203</v>
      </c>
      <c r="C15" t="s">
        <v>306</v>
      </c>
      <c r="E15" s="1" t="str">
        <f t="shared" si="1"/>
        <v>Away</v>
      </c>
      <c r="F15" s="3">
        <f t="shared" si="2"/>
        <v>1</v>
      </c>
      <c r="G15" s="3">
        <f t="shared" si="3"/>
        <v>10</v>
      </c>
      <c r="H15" s="3">
        <f t="shared" si="0"/>
        <v>11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1.0851784028113178</v>
      </c>
    </row>
    <row r="16" spans="1:16" ht="15.75" thickBot="1" x14ac:dyDescent="0.3">
      <c r="A16" t="s">
        <v>32</v>
      </c>
      <c r="B16" t="s">
        <v>203</v>
      </c>
      <c r="C16" t="s">
        <v>329</v>
      </c>
      <c r="E16" s="1" t="str">
        <f t="shared" si="1"/>
        <v>Away</v>
      </c>
      <c r="F16" s="3">
        <f t="shared" si="2"/>
        <v>5</v>
      </c>
      <c r="G16" s="3">
        <f t="shared" si="3"/>
        <v>2</v>
      </c>
      <c r="H16" s="3">
        <f t="shared" si="0"/>
        <v>7</v>
      </c>
      <c r="I16" s="3" t="str">
        <f t="shared" si="4"/>
        <v>W</v>
      </c>
    </row>
    <row r="17" spans="1:14" x14ac:dyDescent="0.25">
      <c r="A17" t="s">
        <v>34</v>
      </c>
      <c r="B17" t="s">
        <v>211</v>
      </c>
      <c r="C17" t="s">
        <v>347</v>
      </c>
      <c r="E17" s="1" t="str">
        <f t="shared" si="1"/>
        <v>Away</v>
      </c>
      <c r="F17" s="3">
        <f t="shared" si="2"/>
        <v>9</v>
      </c>
      <c r="G17" s="3">
        <f t="shared" si="3"/>
        <v>5</v>
      </c>
      <c r="H17" s="3">
        <f t="shared" si="0"/>
        <v>14</v>
      </c>
      <c r="I17" s="3" t="str">
        <f t="shared" si="4"/>
        <v>W</v>
      </c>
      <c r="K17" s="9" t="s">
        <v>185</v>
      </c>
      <c r="L17" s="10">
        <f>L14*100</f>
        <v>107.2268498852269</v>
      </c>
    </row>
    <row r="18" spans="1:14" ht="15.75" thickBot="1" x14ac:dyDescent="0.3">
      <c r="A18" t="s">
        <v>37</v>
      </c>
      <c r="B18" t="s">
        <v>211</v>
      </c>
      <c r="C18" t="s">
        <v>195</v>
      </c>
      <c r="E18" s="1" t="str">
        <f t="shared" si="1"/>
        <v>Away</v>
      </c>
      <c r="F18" s="3">
        <f t="shared" si="2"/>
        <v>8</v>
      </c>
      <c r="G18" s="3">
        <f t="shared" si="3"/>
        <v>1</v>
      </c>
      <c r="H18" s="3">
        <f t="shared" si="0"/>
        <v>9</v>
      </c>
      <c r="I18" s="3" t="str">
        <f t="shared" si="4"/>
        <v>W</v>
      </c>
      <c r="K18" s="11" t="s">
        <v>186</v>
      </c>
      <c r="L18" s="12">
        <f>L15*100</f>
        <v>108.51784028113178</v>
      </c>
    </row>
    <row r="19" spans="1:14" x14ac:dyDescent="0.25">
      <c r="A19" t="s">
        <v>39</v>
      </c>
      <c r="B19" t="s">
        <v>222</v>
      </c>
      <c r="C19" t="s">
        <v>229</v>
      </c>
      <c r="E19" s="1" t="str">
        <f t="shared" si="1"/>
        <v>Home</v>
      </c>
      <c r="F19" s="3">
        <f t="shared" si="2"/>
        <v>7</v>
      </c>
      <c r="G19" s="3">
        <f t="shared" si="3"/>
        <v>1</v>
      </c>
      <c r="H19" s="3">
        <f t="shared" si="0"/>
        <v>8</v>
      </c>
      <c r="I19" s="3" t="str">
        <f t="shared" si="4"/>
        <v>W</v>
      </c>
    </row>
    <row r="20" spans="1:14" x14ac:dyDescent="0.25">
      <c r="A20" t="s">
        <v>41</v>
      </c>
      <c r="B20" t="s">
        <v>222</v>
      </c>
      <c r="C20" t="s">
        <v>240</v>
      </c>
      <c r="E20" s="1" t="str">
        <f t="shared" si="1"/>
        <v>Home</v>
      </c>
      <c r="F20" s="3">
        <f t="shared" si="2"/>
        <v>1</v>
      </c>
      <c r="G20" s="3">
        <f t="shared" si="3"/>
        <v>3</v>
      </c>
      <c r="H20" s="3">
        <f t="shared" si="0"/>
        <v>4</v>
      </c>
      <c r="I20" s="3" t="str">
        <f t="shared" si="4"/>
        <v>L</v>
      </c>
    </row>
    <row r="21" spans="1:14" x14ac:dyDescent="0.25">
      <c r="A21" t="s">
        <v>43</v>
      </c>
      <c r="B21" t="s">
        <v>225</v>
      </c>
      <c r="C21" t="s">
        <v>326</v>
      </c>
      <c r="E21" s="1" t="str">
        <f t="shared" si="1"/>
        <v>Home</v>
      </c>
      <c r="F21" s="3">
        <f t="shared" si="2"/>
        <v>10</v>
      </c>
      <c r="G21" s="3">
        <f t="shared" si="3"/>
        <v>9</v>
      </c>
      <c r="H21" s="3">
        <f t="shared" si="0"/>
        <v>19</v>
      </c>
      <c r="I21" s="3" t="str">
        <f t="shared" si="4"/>
        <v>W</v>
      </c>
    </row>
    <row r="22" spans="1:14" x14ac:dyDescent="0.25">
      <c r="A22" t="s">
        <v>45</v>
      </c>
      <c r="B22" t="s">
        <v>225</v>
      </c>
      <c r="C22" t="s">
        <v>337</v>
      </c>
      <c r="E22" s="1" t="str">
        <f t="shared" si="1"/>
        <v>Home</v>
      </c>
      <c r="F22" s="3">
        <f t="shared" si="2"/>
        <v>6</v>
      </c>
      <c r="G22" s="3">
        <f t="shared" si="3"/>
        <v>12</v>
      </c>
      <c r="H22" s="3">
        <f t="shared" si="0"/>
        <v>18</v>
      </c>
      <c r="I22" s="3" t="str">
        <f t="shared" si="4"/>
        <v>L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201</v>
      </c>
      <c r="C23" t="s">
        <v>65</v>
      </c>
      <c r="E23" s="1" t="str">
        <f t="shared" si="1"/>
        <v>Away</v>
      </c>
      <c r="F23" s="3">
        <f t="shared" si="2"/>
        <v>1</v>
      </c>
      <c r="G23" s="3">
        <f t="shared" si="3"/>
        <v>4</v>
      </c>
      <c r="H23" s="3">
        <f t="shared" si="0"/>
        <v>5</v>
      </c>
      <c r="I23" s="3" t="str">
        <f t="shared" si="4"/>
        <v>L</v>
      </c>
      <c r="K23" s="1">
        <f>COUNTIFS(Table24[At], "Home",Table24[Result], "W")</f>
        <v>20</v>
      </c>
      <c r="L23" s="1">
        <f>COUNTIFS(Table24[At], "Home",Table24[Result], "L")</f>
        <v>16</v>
      </c>
      <c r="M23" s="1">
        <f>COUNTIFS(Table24[At], "Away",Table24[Result], "W")</f>
        <v>11</v>
      </c>
      <c r="N23" s="1">
        <f>COUNTIFS(Table24[At], "Away",Table24[Result], "L")</f>
        <v>21</v>
      </c>
    </row>
    <row r="24" spans="1:14" x14ac:dyDescent="0.25">
      <c r="A24" t="s">
        <v>49</v>
      </c>
      <c r="B24" t="s">
        <v>201</v>
      </c>
      <c r="C24" t="s">
        <v>48</v>
      </c>
      <c r="E24" s="1" t="str">
        <f t="shared" si="1"/>
        <v>Away</v>
      </c>
      <c r="F24" s="3">
        <f t="shared" si="2"/>
        <v>4</v>
      </c>
      <c r="G24" s="3">
        <f t="shared" si="3"/>
        <v>5</v>
      </c>
      <c r="H24" s="3">
        <f t="shared" si="0"/>
        <v>9</v>
      </c>
      <c r="I24" s="3" t="str">
        <f t="shared" si="4"/>
        <v>L</v>
      </c>
      <c r="K24" s="1"/>
      <c r="M24" s="1"/>
      <c r="N24" s="1"/>
    </row>
    <row r="25" spans="1:14" x14ac:dyDescent="0.25">
      <c r="A25" t="s">
        <v>51</v>
      </c>
      <c r="B25" t="s">
        <v>258</v>
      </c>
      <c r="C25" t="s">
        <v>379</v>
      </c>
      <c r="E25" s="1" t="str">
        <f t="shared" si="1"/>
        <v>Home</v>
      </c>
      <c r="F25" s="3">
        <f t="shared" si="2"/>
        <v>7</v>
      </c>
      <c r="G25" s="3">
        <f t="shared" si="3"/>
        <v>12</v>
      </c>
      <c r="H25" s="3">
        <f t="shared" si="0"/>
        <v>19</v>
      </c>
      <c r="I25" s="3" t="str">
        <f t="shared" si="4"/>
        <v>L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258</v>
      </c>
      <c r="C26" t="s">
        <v>349</v>
      </c>
      <c r="E26" s="1" t="str">
        <f t="shared" si="1"/>
        <v>Home</v>
      </c>
      <c r="F26" s="3">
        <f t="shared" si="2"/>
        <v>12</v>
      </c>
      <c r="G26" s="3">
        <f t="shared" si="3"/>
        <v>2</v>
      </c>
      <c r="H26" s="3">
        <f t="shared" si="0"/>
        <v>14</v>
      </c>
      <c r="I26" s="3" t="str">
        <f t="shared" si="4"/>
        <v>W</v>
      </c>
      <c r="K26" s="1">
        <f>COUNTIFS(Table24[oR/G], "&gt;0",Table24[Result], "W")</f>
        <v>12</v>
      </c>
      <c r="L26" s="1">
        <f>COUNTIFS(Table24[oR/G], "&gt;0",Table24[Result], "l")</f>
        <v>20</v>
      </c>
      <c r="M26" s="1">
        <f>COUNTIFS(Table24[oR/G], "&lt;0",Table24[Result], "W")</f>
        <v>19</v>
      </c>
      <c r="N26" s="1">
        <f>COUNTIFS(Table24[oR/G], "&lt;0",Table24[Result], "l")</f>
        <v>17</v>
      </c>
    </row>
    <row r="27" spans="1:14" x14ac:dyDescent="0.25">
      <c r="A27" t="s">
        <v>53</v>
      </c>
      <c r="B27" t="s">
        <v>194</v>
      </c>
      <c r="C27" t="s">
        <v>269</v>
      </c>
      <c r="E27" s="1" t="str">
        <f t="shared" si="1"/>
        <v>Away</v>
      </c>
      <c r="F27" s="3">
        <f t="shared" si="2"/>
        <v>2</v>
      </c>
      <c r="G27" s="3">
        <f t="shared" si="3"/>
        <v>3</v>
      </c>
      <c r="H27" s="3">
        <f t="shared" si="0"/>
        <v>5</v>
      </c>
      <c r="I27" s="3" t="str">
        <f t="shared" si="4"/>
        <v>L</v>
      </c>
    </row>
    <row r="28" spans="1:14" x14ac:dyDescent="0.25">
      <c r="A28" t="s">
        <v>208</v>
      </c>
      <c r="B28" t="s">
        <v>194</v>
      </c>
      <c r="C28" t="s">
        <v>230</v>
      </c>
      <c r="E28" s="1" t="str">
        <f t="shared" si="1"/>
        <v>Away</v>
      </c>
      <c r="F28" s="3">
        <f t="shared" si="2"/>
        <v>4</v>
      </c>
      <c r="G28" s="3">
        <f t="shared" si="3"/>
        <v>9</v>
      </c>
      <c r="H28" s="3">
        <f t="shared" si="0"/>
        <v>13</v>
      </c>
      <c r="I28" s="3" t="str">
        <f t="shared" si="4"/>
        <v>L</v>
      </c>
    </row>
    <row r="29" spans="1:14" x14ac:dyDescent="0.25">
      <c r="A29" t="s">
        <v>247</v>
      </c>
      <c r="B29" t="s">
        <v>206</v>
      </c>
      <c r="C29" t="s">
        <v>36</v>
      </c>
      <c r="E29" s="1" t="str">
        <f t="shared" si="1"/>
        <v>Away</v>
      </c>
      <c r="F29" s="3">
        <f t="shared" si="2"/>
        <v>1</v>
      </c>
      <c r="G29" s="3">
        <f t="shared" si="3"/>
        <v>5</v>
      </c>
      <c r="H29" s="3">
        <f t="shared" si="0"/>
        <v>6</v>
      </c>
      <c r="I29" s="3" t="str">
        <f t="shared" si="4"/>
        <v>L</v>
      </c>
    </row>
    <row r="30" spans="1:14" x14ac:dyDescent="0.25">
      <c r="A30" t="s">
        <v>54</v>
      </c>
      <c r="B30" t="s">
        <v>206</v>
      </c>
      <c r="C30" t="s">
        <v>199</v>
      </c>
      <c r="E30" s="1" t="str">
        <f t="shared" si="1"/>
        <v>Away</v>
      </c>
      <c r="F30" s="3">
        <f t="shared" si="2"/>
        <v>3</v>
      </c>
      <c r="G30" s="3">
        <f t="shared" si="3"/>
        <v>7</v>
      </c>
      <c r="H30" s="3">
        <f t="shared" si="0"/>
        <v>10</v>
      </c>
      <c r="I30" s="3" t="str">
        <f t="shared" si="4"/>
        <v>L</v>
      </c>
    </row>
    <row r="31" spans="1:14" x14ac:dyDescent="0.25">
      <c r="A31" t="s">
        <v>60</v>
      </c>
      <c r="B31" t="s">
        <v>250</v>
      </c>
      <c r="C31" t="s">
        <v>281</v>
      </c>
      <c r="E31" s="1" t="str">
        <f t="shared" si="1"/>
        <v>Home</v>
      </c>
      <c r="F31" s="3">
        <f t="shared" si="2"/>
        <v>1</v>
      </c>
      <c r="G31" s="3">
        <f t="shared" si="3"/>
        <v>8</v>
      </c>
      <c r="H31" s="3">
        <f t="shared" si="0"/>
        <v>9</v>
      </c>
      <c r="I31" s="3" t="str">
        <f t="shared" si="4"/>
        <v>L</v>
      </c>
    </row>
    <row r="32" spans="1:14" x14ac:dyDescent="0.25">
      <c r="A32" t="s">
        <v>60</v>
      </c>
      <c r="B32" t="s">
        <v>250</v>
      </c>
      <c r="C32" t="s">
        <v>38</v>
      </c>
      <c r="E32" s="1" t="str">
        <f t="shared" si="1"/>
        <v>Home</v>
      </c>
      <c r="F32" s="3">
        <f t="shared" si="2"/>
        <v>3</v>
      </c>
      <c r="G32" s="3">
        <f t="shared" si="3"/>
        <v>5</v>
      </c>
      <c r="H32" s="3">
        <f t="shared" si="0"/>
        <v>8</v>
      </c>
      <c r="I32" s="3" t="str">
        <f t="shared" si="4"/>
        <v>L</v>
      </c>
    </row>
    <row r="33" spans="1:9" x14ac:dyDescent="0.25">
      <c r="A33" t="s">
        <v>62</v>
      </c>
      <c r="B33" t="s">
        <v>225</v>
      </c>
      <c r="C33" t="s">
        <v>132</v>
      </c>
      <c r="E33" s="1" t="str">
        <f t="shared" si="1"/>
        <v>Home</v>
      </c>
      <c r="F33" s="3">
        <f t="shared" si="2"/>
        <v>3</v>
      </c>
      <c r="G33" s="3">
        <f t="shared" si="3"/>
        <v>6</v>
      </c>
      <c r="H33" s="3">
        <f t="shared" si="0"/>
        <v>9</v>
      </c>
      <c r="I33" s="3" t="str">
        <f t="shared" si="4"/>
        <v>L</v>
      </c>
    </row>
    <row r="34" spans="1:9" x14ac:dyDescent="0.25">
      <c r="A34" t="s">
        <v>64</v>
      </c>
      <c r="B34" t="s">
        <v>225</v>
      </c>
      <c r="C34" t="s">
        <v>251</v>
      </c>
      <c r="E34" s="1" t="str">
        <f t="shared" si="1"/>
        <v>Home</v>
      </c>
      <c r="F34" s="3">
        <f t="shared" si="2"/>
        <v>2</v>
      </c>
      <c r="G34" s="3">
        <f t="shared" si="3"/>
        <v>7</v>
      </c>
      <c r="H34" s="3">
        <f t="shared" si="0"/>
        <v>9</v>
      </c>
      <c r="I34" s="3" t="str">
        <f t="shared" si="4"/>
        <v>L</v>
      </c>
    </row>
    <row r="35" spans="1:9" x14ac:dyDescent="0.25">
      <c r="A35" t="s">
        <v>66</v>
      </c>
      <c r="B35" t="s">
        <v>263</v>
      </c>
      <c r="C35" t="s">
        <v>85</v>
      </c>
      <c r="E35" s="1" t="str">
        <f t="shared" si="1"/>
        <v>Home</v>
      </c>
      <c r="F35" s="3">
        <f t="shared" si="2"/>
        <v>5</v>
      </c>
      <c r="G35" s="3">
        <f t="shared" si="3"/>
        <v>3</v>
      </c>
      <c r="H35" s="3">
        <f t="shared" si="0"/>
        <v>8</v>
      </c>
      <c r="I35" s="3" t="str">
        <f t="shared" si="4"/>
        <v>W</v>
      </c>
    </row>
    <row r="36" spans="1:9" x14ac:dyDescent="0.25">
      <c r="A36" t="s">
        <v>67</v>
      </c>
      <c r="B36" t="s">
        <v>210</v>
      </c>
      <c r="C36" t="s">
        <v>301</v>
      </c>
      <c r="E36" s="1" t="str">
        <f t="shared" si="1"/>
        <v>Away</v>
      </c>
      <c r="F36" s="3">
        <f t="shared" si="2"/>
        <v>3</v>
      </c>
      <c r="G36" s="3">
        <f t="shared" si="3"/>
        <v>9</v>
      </c>
      <c r="H36" s="3">
        <f t="shared" si="0"/>
        <v>12</v>
      </c>
      <c r="I36" s="3" t="str">
        <f t="shared" si="4"/>
        <v>L</v>
      </c>
    </row>
    <row r="37" spans="1:9" x14ac:dyDescent="0.25">
      <c r="A37" t="s">
        <v>68</v>
      </c>
      <c r="B37" t="s">
        <v>192</v>
      </c>
      <c r="C37" t="s">
        <v>380</v>
      </c>
      <c r="E37" s="1" t="str">
        <f t="shared" si="1"/>
        <v>Away</v>
      </c>
      <c r="F37" s="3">
        <f t="shared" si="2"/>
        <v>0</v>
      </c>
      <c r="G37" s="3">
        <f t="shared" si="3"/>
        <v>13</v>
      </c>
      <c r="H37" s="3">
        <f t="shared" si="0"/>
        <v>13</v>
      </c>
      <c r="I37" s="3" t="str">
        <f t="shared" si="4"/>
        <v>L</v>
      </c>
    </row>
    <row r="38" spans="1:9" x14ac:dyDescent="0.25">
      <c r="A38" t="s">
        <v>71</v>
      </c>
      <c r="B38" t="s">
        <v>192</v>
      </c>
      <c r="C38" t="s">
        <v>336</v>
      </c>
      <c r="E38" s="1" t="str">
        <f t="shared" si="1"/>
        <v>Away</v>
      </c>
      <c r="F38" s="3">
        <f t="shared" si="2"/>
        <v>8</v>
      </c>
      <c r="G38" s="3">
        <f t="shared" si="3"/>
        <v>4</v>
      </c>
      <c r="H38" s="3">
        <f t="shared" si="0"/>
        <v>12</v>
      </c>
      <c r="I38" s="3" t="str">
        <f t="shared" si="4"/>
        <v>W</v>
      </c>
    </row>
    <row r="39" spans="1:9" x14ac:dyDescent="0.25">
      <c r="A39" t="s">
        <v>73</v>
      </c>
      <c r="B39" t="s">
        <v>222</v>
      </c>
      <c r="C39" t="s">
        <v>366</v>
      </c>
      <c r="E39" s="1" t="str">
        <f t="shared" si="1"/>
        <v>Home</v>
      </c>
      <c r="F39" s="3">
        <f t="shared" si="2"/>
        <v>10</v>
      </c>
      <c r="G39" s="3">
        <f t="shared" si="3"/>
        <v>0</v>
      </c>
      <c r="H39" s="3">
        <f t="shared" si="0"/>
        <v>10</v>
      </c>
      <c r="I39" s="3" t="str">
        <f t="shared" si="4"/>
        <v>W</v>
      </c>
    </row>
    <row r="40" spans="1:9" x14ac:dyDescent="0.25">
      <c r="A40" t="s">
        <v>209</v>
      </c>
      <c r="B40" t="s">
        <v>222</v>
      </c>
      <c r="C40" t="s">
        <v>374</v>
      </c>
      <c r="E40" s="1" t="str">
        <f t="shared" si="1"/>
        <v>Home</v>
      </c>
      <c r="F40" s="3">
        <f t="shared" si="2"/>
        <v>6</v>
      </c>
      <c r="G40" s="3">
        <f t="shared" si="3"/>
        <v>9</v>
      </c>
      <c r="H40" s="3">
        <f t="shared" si="0"/>
        <v>15</v>
      </c>
      <c r="I40" s="3" t="str">
        <f t="shared" si="4"/>
        <v>L</v>
      </c>
    </row>
    <row r="41" spans="1:9" x14ac:dyDescent="0.25">
      <c r="A41" t="s">
        <v>76</v>
      </c>
      <c r="B41" t="s">
        <v>245</v>
      </c>
      <c r="C41" t="s">
        <v>33</v>
      </c>
      <c r="E41" s="1" t="str">
        <f t="shared" si="1"/>
        <v>Home</v>
      </c>
      <c r="F41" s="3">
        <f t="shared" si="2"/>
        <v>7</v>
      </c>
      <c r="G41" s="3">
        <f t="shared" si="3"/>
        <v>4</v>
      </c>
      <c r="H41" s="3">
        <f t="shared" si="0"/>
        <v>11</v>
      </c>
      <c r="I41" s="3" t="str">
        <f t="shared" si="4"/>
        <v>W</v>
      </c>
    </row>
    <row r="42" spans="1:9" x14ac:dyDescent="0.25">
      <c r="A42" t="s">
        <v>78</v>
      </c>
      <c r="B42" t="s">
        <v>245</v>
      </c>
      <c r="C42" t="s">
        <v>381</v>
      </c>
      <c r="E42" s="1" t="str">
        <f t="shared" si="1"/>
        <v>Home</v>
      </c>
      <c r="F42" s="3">
        <f t="shared" si="2"/>
        <v>8</v>
      </c>
      <c r="G42" s="3">
        <f t="shared" si="3"/>
        <v>13</v>
      </c>
      <c r="H42" s="3">
        <f t="shared" si="0"/>
        <v>21</v>
      </c>
      <c r="I42" s="3" t="str">
        <f t="shared" si="4"/>
        <v>L</v>
      </c>
    </row>
    <row r="43" spans="1:9" x14ac:dyDescent="0.25">
      <c r="A43" t="s">
        <v>80</v>
      </c>
      <c r="B43" t="s">
        <v>263</v>
      </c>
      <c r="C43" t="s">
        <v>46</v>
      </c>
      <c r="E43" s="1" t="str">
        <f t="shared" si="1"/>
        <v>Home</v>
      </c>
      <c r="F43" s="3">
        <f t="shared" si="2"/>
        <v>6</v>
      </c>
      <c r="G43" s="3">
        <f t="shared" si="3"/>
        <v>8</v>
      </c>
      <c r="H43" s="3">
        <f t="shared" si="0"/>
        <v>14</v>
      </c>
      <c r="I43" s="3" t="str">
        <f t="shared" si="4"/>
        <v>L</v>
      </c>
    </row>
    <row r="44" spans="1:9" x14ac:dyDescent="0.25">
      <c r="A44" t="s">
        <v>81</v>
      </c>
      <c r="B44" t="s">
        <v>263</v>
      </c>
      <c r="C44" t="s">
        <v>104</v>
      </c>
      <c r="E44" s="1" t="str">
        <f t="shared" si="1"/>
        <v>Home</v>
      </c>
      <c r="F44" s="3">
        <f t="shared" si="2"/>
        <v>0</v>
      </c>
      <c r="G44" s="3">
        <f t="shared" si="3"/>
        <v>9</v>
      </c>
      <c r="H44" s="3">
        <f t="shared" si="0"/>
        <v>9</v>
      </c>
      <c r="I44" s="3" t="str">
        <f t="shared" si="4"/>
        <v>L</v>
      </c>
    </row>
    <row r="45" spans="1:9" x14ac:dyDescent="0.25">
      <c r="A45" t="s">
        <v>82</v>
      </c>
      <c r="B45" t="s">
        <v>201</v>
      </c>
      <c r="C45" t="s">
        <v>382</v>
      </c>
      <c r="E45" s="1" t="str">
        <f t="shared" si="1"/>
        <v>Away</v>
      </c>
      <c r="F45" s="3">
        <f t="shared" si="2"/>
        <v>0</v>
      </c>
      <c r="G45" s="3">
        <f t="shared" si="3"/>
        <v>15</v>
      </c>
      <c r="H45" s="3">
        <f t="shared" si="0"/>
        <v>15</v>
      </c>
      <c r="I45" s="3" t="str">
        <f t="shared" si="4"/>
        <v>L</v>
      </c>
    </row>
    <row r="46" spans="1:9" x14ac:dyDescent="0.25">
      <c r="A46" t="s">
        <v>84</v>
      </c>
      <c r="B46" t="s">
        <v>201</v>
      </c>
      <c r="C46" t="s">
        <v>255</v>
      </c>
      <c r="E46" s="1" t="str">
        <f t="shared" si="1"/>
        <v>Away</v>
      </c>
      <c r="F46" s="3">
        <f t="shared" si="2"/>
        <v>4</v>
      </c>
      <c r="G46" s="3">
        <f t="shared" si="3"/>
        <v>10</v>
      </c>
      <c r="H46" s="3">
        <f t="shared" si="0"/>
        <v>14</v>
      </c>
      <c r="I46" s="3" t="str">
        <f t="shared" si="4"/>
        <v>L</v>
      </c>
    </row>
    <row r="47" spans="1:9" x14ac:dyDescent="0.25">
      <c r="A47" t="s">
        <v>86</v>
      </c>
      <c r="B47" t="s">
        <v>211</v>
      </c>
      <c r="C47" t="s">
        <v>256</v>
      </c>
      <c r="E47" s="1" t="str">
        <f t="shared" si="1"/>
        <v>Away</v>
      </c>
      <c r="F47" s="3">
        <f t="shared" si="2"/>
        <v>11</v>
      </c>
      <c r="G47" s="3">
        <f t="shared" si="3"/>
        <v>6</v>
      </c>
      <c r="H47" s="3">
        <f t="shared" si="0"/>
        <v>17</v>
      </c>
      <c r="I47" s="3" t="str">
        <f t="shared" si="4"/>
        <v>W</v>
      </c>
    </row>
    <row r="48" spans="1:9" x14ac:dyDescent="0.25">
      <c r="A48" t="s">
        <v>86</v>
      </c>
      <c r="B48" t="s">
        <v>211</v>
      </c>
      <c r="C48" t="s">
        <v>28</v>
      </c>
      <c r="E48" s="1" t="str">
        <f t="shared" si="1"/>
        <v>Away</v>
      </c>
      <c r="F48" s="3">
        <f t="shared" si="2"/>
        <v>4</v>
      </c>
      <c r="G48" s="3">
        <f t="shared" si="3"/>
        <v>2</v>
      </c>
      <c r="H48" s="3">
        <f t="shared" si="0"/>
        <v>6</v>
      </c>
      <c r="I48" s="3" t="str">
        <f t="shared" si="4"/>
        <v>W</v>
      </c>
    </row>
    <row r="49" spans="1:9" x14ac:dyDescent="0.25">
      <c r="A49" t="s">
        <v>88</v>
      </c>
      <c r="B49" t="s">
        <v>258</v>
      </c>
      <c r="C49" t="s">
        <v>128</v>
      </c>
      <c r="E49" s="1" t="str">
        <f t="shared" si="1"/>
        <v>Home</v>
      </c>
      <c r="F49" s="3">
        <f t="shared" si="2"/>
        <v>6</v>
      </c>
      <c r="G49" s="3">
        <f t="shared" si="3"/>
        <v>5</v>
      </c>
      <c r="H49" s="3">
        <f t="shared" si="0"/>
        <v>11</v>
      </c>
      <c r="I49" s="3" t="str">
        <f t="shared" si="4"/>
        <v>W</v>
      </c>
    </row>
    <row r="50" spans="1:9" x14ac:dyDescent="0.25">
      <c r="A50" t="s">
        <v>91</v>
      </c>
      <c r="B50" t="s">
        <v>258</v>
      </c>
      <c r="C50" t="s">
        <v>50</v>
      </c>
      <c r="E50" s="1" t="str">
        <f t="shared" si="1"/>
        <v>Home</v>
      </c>
      <c r="F50" s="3">
        <f t="shared" si="2"/>
        <v>3</v>
      </c>
      <c r="G50" s="3">
        <f t="shared" si="3"/>
        <v>4</v>
      </c>
      <c r="H50" s="3">
        <f t="shared" si="0"/>
        <v>7</v>
      </c>
      <c r="I50" s="3" t="str">
        <f t="shared" si="4"/>
        <v>L</v>
      </c>
    </row>
    <row r="51" spans="1:9" x14ac:dyDescent="0.25">
      <c r="A51" t="s">
        <v>97</v>
      </c>
      <c r="B51" t="s">
        <v>210</v>
      </c>
      <c r="C51" t="s">
        <v>6</v>
      </c>
      <c r="E51" s="1" t="str">
        <f t="shared" si="1"/>
        <v>Away</v>
      </c>
      <c r="F51" s="3">
        <f t="shared" si="2"/>
        <v>2</v>
      </c>
      <c r="G51" s="3">
        <f t="shared" si="3"/>
        <v>6</v>
      </c>
      <c r="H51" s="3">
        <f t="shared" si="0"/>
        <v>8</v>
      </c>
      <c r="I51" s="3" t="str">
        <f t="shared" si="4"/>
        <v>L</v>
      </c>
    </row>
    <row r="52" spans="1:9" x14ac:dyDescent="0.25">
      <c r="A52" t="s">
        <v>100</v>
      </c>
      <c r="B52" t="s">
        <v>210</v>
      </c>
      <c r="C52" t="s">
        <v>383</v>
      </c>
      <c r="E52" s="1" t="str">
        <f t="shared" si="1"/>
        <v>Away</v>
      </c>
      <c r="F52" s="3">
        <f t="shared" si="2"/>
        <v>10</v>
      </c>
      <c r="G52" s="3">
        <f t="shared" si="3"/>
        <v>12</v>
      </c>
      <c r="H52" s="3">
        <f t="shared" si="0"/>
        <v>22</v>
      </c>
      <c r="I52" s="3" t="str">
        <f t="shared" si="4"/>
        <v>L</v>
      </c>
    </row>
    <row r="53" spans="1:9" x14ac:dyDescent="0.25">
      <c r="A53" t="s">
        <v>215</v>
      </c>
      <c r="B53" t="s">
        <v>194</v>
      </c>
      <c r="C53" t="s">
        <v>269</v>
      </c>
      <c r="E53" s="1" t="str">
        <f t="shared" si="1"/>
        <v>Away</v>
      </c>
      <c r="F53" s="3">
        <f t="shared" si="2"/>
        <v>2</v>
      </c>
      <c r="G53" s="3">
        <f t="shared" si="3"/>
        <v>3</v>
      </c>
      <c r="H53" s="3">
        <f t="shared" si="0"/>
        <v>5</v>
      </c>
      <c r="I53" s="3" t="str">
        <f t="shared" si="4"/>
        <v>L</v>
      </c>
    </row>
    <row r="54" spans="1:9" x14ac:dyDescent="0.25">
      <c r="A54" t="s">
        <v>102</v>
      </c>
      <c r="B54" t="s">
        <v>235</v>
      </c>
      <c r="C54" t="s">
        <v>384</v>
      </c>
      <c r="E54" s="1" t="str">
        <f t="shared" si="1"/>
        <v>Home</v>
      </c>
      <c r="F54" s="3">
        <f t="shared" si="2"/>
        <v>7</v>
      </c>
      <c r="G54" s="3">
        <f t="shared" si="3"/>
        <v>5</v>
      </c>
      <c r="H54" s="3">
        <f t="shared" si="0"/>
        <v>12</v>
      </c>
      <c r="I54" s="3" t="str">
        <f t="shared" si="4"/>
        <v>W</v>
      </c>
    </row>
    <row r="55" spans="1:9" x14ac:dyDescent="0.25">
      <c r="A55" t="s">
        <v>105</v>
      </c>
      <c r="B55" t="s">
        <v>245</v>
      </c>
      <c r="C55" t="s">
        <v>212</v>
      </c>
      <c r="E55" s="1" t="str">
        <f t="shared" si="1"/>
        <v>Home</v>
      </c>
      <c r="F55" s="3">
        <f t="shared" si="2"/>
        <v>6</v>
      </c>
      <c r="G55" s="3">
        <f t="shared" si="3"/>
        <v>10</v>
      </c>
      <c r="H55" s="3">
        <f t="shared" si="0"/>
        <v>16</v>
      </c>
      <c r="I55" s="3" t="str">
        <f t="shared" si="4"/>
        <v>L</v>
      </c>
    </row>
    <row r="56" spans="1:9" x14ac:dyDescent="0.25">
      <c r="A56" t="s">
        <v>107</v>
      </c>
      <c r="B56" t="s">
        <v>245</v>
      </c>
      <c r="C56" t="s">
        <v>301</v>
      </c>
      <c r="E56" s="1" t="str">
        <f t="shared" si="1"/>
        <v>Home</v>
      </c>
      <c r="F56" s="3">
        <f t="shared" si="2"/>
        <v>3</v>
      </c>
      <c r="G56" s="3">
        <f t="shared" si="3"/>
        <v>9</v>
      </c>
      <c r="H56" s="3">
        <f t="shared" si="0"/>
        <v>12</v>
      </c>
      <c r="I56" s="3" t="str">
        <f t="shared" si="4"/>
        <v>L</v>
      </c>
    </row>
    <row r="57" spans="1:9" x14ac:dyDescent="0.25">
      <c r="A57" t="s">
        <v>111</v>
      </c>
      <c r="B57" t="s">
        <v>235</v>
      </c>
      <c r="C57" t="s">
        <v>118</v>
      </c>
      <c r="E57" s="1" t="str">
        <f t="shared" si="1"/>
        <v>Home</v>
      </c>
      <c r="F57" s="3">
        <f t="shared" si="2"/>
        <v>9</v>
      </c>
      <c r="G57" s="3">
        <f t="shared" si="3"/>
        <v>8</v>
      </c>
      <c r="H57" s="3">
        <f t="shared" si="0"/>
        <v>17</v>
      </c>
      <c r="I57" s="3" t="str">
        <f t="shared" si="4"/>
        <v>W</v>
      </c>
    </row>
    <row r="58" spans="1:9" x14ac:dyDescent="0.25">
      <c r="A58" t="s">
        <v>112</v>
      </c>
      <c r="B58" t="s">
        <v>194</v>
      </c>
      <c r="C58" t="s">
        <v>359</v>
      </c>
      <c r="E58" s="1" t="str">
        <f t="shared" si="1"/>
        <v>Away</v>
      </c>
      <c r="F58" s="3">
        <f t="shared" si="2"/>
        <v>2</v>
      </c>
      <c r="G58" s="3">
        <f t="shared" si="3"/>
        <v>16</v>
      </c>
      <c r="H58" s="3">
        <f t="shared" si="0"/>
        <v>18</v>
      </c>
      <c r="I58" s="3" t="str">
        <f t="shared" si="4"/>
        <v>L</v>
      </c>
    </row>
    <row r="59" spans="1:9" x14ac:dyDescent="0.25">
      <c r="A59" t="s">
        <v>114</v>
      </c>
      <c r="B59" t="s">
        <v>278</v>
      </c>
      <c r="C59" t="s">
        <v>85</v>
      </c>
      <c r="E59" s="1" t="str">
        <f t="shared" si="1"/>
        <v>Home</v>
      </c>
      <c r="F59" s="3">
        <f t="shared" si="2"/>
        <v>5</v>
      </c>
      <c r="G59" s="3">
        <f t="shared" si="3"/>
        <v>3</v>
      </c>
      <c r="H59" s="3">
        <f t="shared" si="0"/>
        <v>8</v>
      </c>
      <c r="I59" s="3" t="str">
        <f t="shared" si="4"/>
        <v>W</v>
      </c>
    </row>
    <row r="60" spans="1:9" x14ac:dyDescent="0.25">
      <c r="A60" t="s">
        <v>117</v>
      </c>
      <c r="B60" t="s">
        <v>278</v>
      </c>
      <c r="C60" t="s">
        <v>15</v>
      </c>
      <c r="E60" s="1" t="str">
        <f t="shared" si="1"/>
        <v>Home</v>
      </c>
      <c r="F60" s="3">
        <f t="shared" si="2"/>
        <v>3</v>
      </c>
      <c r="G60" s="3">
        <f t="shared" si="3"/>
        <v>1</v>
      </c>
      <c r="H60" s="3">
        <f t="shared" si="0"/>
        <v>4</v>
      </c>
      <c r="I60" s="3" t="str">
        <f t="shared" si="4"/>
        <v>W</v>
      </c>
    </row>
    <row r="61" spans="1:9" x14ac:dyDescent="0.25">
      <c r="A61" t="s">
        <v>119</v>
      </c>
      <c r="B61" t="s">
        <v>198</v>
      </c>
      <c r="C61" t="s">
        <v>385</v>
      </c>
      <c r="E61" s="1" t="str">
        <f t="shared" si="1"/>
        <v>Away</v>
      </c>
      <c r="F61" s="3">
        <f t="shared" si="2"/>
        <v>18</v>
      </c>
      <c r="G61" s="3">
        <f t="shared" si="3"/>
        <v>6</v>
      </c>
      <c r="H61" s="3">
        <f t="shared" si="0"/>
        <v>24</v>
      </c>
      <c r="I61" s="3" t="str">
        <f t="shared" si="4"/>
        <v>W</v>
      </c>
    </row>
    <row r="62" spans="1:9" x14ac:dyDescent="0.25">
      <c r="A62" t="s">
        <v>122</v>
      </c>
      <c r="B62" t="s">
        <v>198</v>
      </c>
      <c r="C62" t="s">
        <v>50</v>
      </c>
      <c r="E62" s="1" t="str">
        <f t="shared" si="1"/>
        <v>Away</v>
      </c>
      <c r="F62" s="3">
        <f t="shared" si="2"/>
        <v>3</v>
      </c>
      <c r="G62" s="3">
        <f t="shared" si="3"/>
        <v>4</v>
      </c>
      <c r="H62" s="3">
        <f t="shared" si="0"/>
        <v>7</v>
      </c>
      <c r="I62" s="3" t="str">
        <f t="shared" si="4"/>
        <v>L</v>
      </c>
    </row>
    <row r="63" spans="1:9" x14ac:dyDescent="0.25">
      <c r="A63" t="s">
        <v>218</v>
      </c>
      <c r="B63" t="s">
        <v>241</v>
      </c>
      <c r="C63" t="s">
        <v>304</v>
      </c>
      <c r="E63" s="1" t="str">
        <f t="shared" si="1"/>
        <v>Home</v>
      </c>
      <c r="F63" s="3">
        <f t="shared" si="2"/>
        <v>2</v>
      </c>
      <c r="G63" s="3">
        <f t="shared" si="3"/>
        <v>0</v>
      </c>
      <c r="H63" s="3">
        <f t="shared" si="0"/>
        <v>2</v>
      </c>
      <c r="I63" s="3" t="str">
        <f t="shared" si="4"/>
        <v>W</v>
      </c>
    </row>
    <row r="64" spans="1:9" x14ac:dyDescent="0.25">
      <c r="A64" t="s">
        <v>123</v>
      </c>
      <c r="B64" t="s">
        <v>241</v>
      </c>
      <c r="C64" t="s">
        <v>386</v>
      </c>
      <c r="E64" s="1" t="str">
        <f t="shared" si="1"/>
        <v>Home</v>
      </c>
      <c r="F64" s="3">
        <f t="shared" si="2"/>
        <v>8</v>
      </c>
      <c r="G64" s="3">
        <f t="shared" si="3"/>
        <v>12</v>
      </c>
      <c r="H64" s="3">
        <f t="shared" si="0"/>
        <v>20</v>
      </c>
      <c r="I64" s="3" t="str">
        <f t="shared" si="4"/>
        <v>L</v>
      </c>
    </row>
    <row r="65" spans="1:10" x14ac:dyDescent="0.25">
      <c r="A65" t="s">
        <v>126</v>
      </c>
      <c r="B65" t="s">
        <v>235</v>
      </c>
      <c r="C65" t="s">
        <v>83</v>
      </c>
      <c r="E65" s="1" t="str">
        <f t="shared" si="1"/>
        <v>Home</v>
      </c>
      <c r="F65" s="3">
        <f t="shared" si="2"/>
        <v>4</v>
      </c>
      <c r="G65" s="3">
        <f t="shared" si="3"/>
        <v>7</v>
      </c>
      <c r="H65" s="3">
        <f t="shared" si="0"/>
        <v>11</v>
      </c>
      <c r="I65" s="3" t="str">
        <f t="shared" si="4"/>
        <v>L</v>
      </c>
    </row>
    <row r="66" spans="1:10" x14ac:dyDescent="0.25">
      <c r="A66" t="s">
        <v>127</v>
      </c>
      <c r="B66" t="s">
        <v>235</v>
      </c>
      <c r="C66" t="s">
        <v>281</v>
      </c>
      <c r="E66" s="1" t="str">
        <f t="shared" si="1"/>
        <v>Home</v>
      </c>
      <c r="F66" s="3">
        <f t="shared" si="2"/>
        <v>1</v>
      </c>
      <c r="G66" s="3">
        <f t="shared" si="3"/>
        <v>8</v>
      </c>
      <c r="H66" s="3">
        <f t="shared" si="0"/>
        <v>9</v>
      </c>
      <c r="I66" s="3" t="str">
        <f t="shared" si="4"/>
        <v>L</v>
      </c>
    </row>
    <row r="67" spans="1:10" x14ac:dyDescent="0.25">
      <c r="A67" t="s">
        <v>129</v>
      </c>
      <c r="B67" t="s">
        <v>263</v>
      </c>
      <c r="C67" t="s">
        <v>387</v>
      </c>
      <c r="E67" s="1" t="str">
        <f t="shared" si="1"/>
        <v>Home</v>
      </c>
      <c r="F67" s="3">
        <f t="shared" si="2"/>
        <v>18</v>
      </c>
      <c r="G67" s="3">
        <f t="shared" si="3"/>
        <v>5</v>
      </c>
      <c r="H67" s="3">
        <f t="shared" ref="H67:H70" si="6">F67+G67</f>
        <v>23</v>
      </c>
      <c r="I67" s="3" t="str">
        <f t="shared" si="4"/>
        <v>W</v>
      </c>
    </row>
    <row r="68" spans="1:10" x14ac:dyDescent="0.25">
      <c r="A68" t="s">
        <v>131</v>
      </c>
      <c r="B68" t="s">
        <v>210</v>
      </c>
      <c r="C68" t="s">
        <v>324</v>
      </c>
      <c r="E68" s="1" t="str">
        <f t="shared" ref="E68:E70" si="7">IF(LEFT(B68,1)="@","Away","Home")</f>
        <v>Away</v>
      </c>
      <c r="F68" s="3">
        <f t="shared" ref="F68:F70" si="8">_xlfn.NUMBERVALUE(MID(LEFT(C68,FIND("-",C68)-1),FIND(" ",C68)+1,LEN(C68)))</f>
        <v>14</v>
      </c>
      <c r="G68" s="3">
        <f t="shared" ref="G68:G70" si="9">_xlfn.NUMBERVALUE(RIGHT(C68,LEN(C68)-FIND("-",C68)))</f>
        <v>4</v>
      </c>
      <c r="H68" s="3">
        <f t="shared" si="6"/>
        <v>18</v>
      </c>
      <c r="I68" s="3" t="str">
        <f t="shared" ref="I68:I71" si="10">LEFT(C68,1)</f>
        <v>W</v>
      </c>
    </row>
    <row r="69" spans="1:10" x14ac:dyDescent="0.25">
      <c r="A69" t="s">
        <v>133</v>
      </c>
      <c r="B69" t="s">
        <v>192</v>
      </c>
      <c r="C69" t="s">
        <v>322</v>
      </c>
      <c r="E69" s="1" t="str">
        <f t="shared" si="7"/>
        <v>Away</v>
      </c>
      <c r="F69" s="3">
        <f t="shared" si="8"/>
        <v>6</v>
      </c>
      <c r="G69" s="3">
        <f t="shared" si="9"/>
        <v>7</v>
      </c>
      <c r="H69" s="3">
        <f t="shared" si="6"/>
        <v>13</v>
      </c>
      <c r="I69" s="3" t="str">
        <f t="shared" si="10"/>
        <v>L</v>
      </c>
    </row>
    <row r="70" spans="1:10" x14ac:dyDescent="0.25">
      <c r="A70" t="s">
        <v>134</v>
      </c>
      <c r="B70" t="s">
        <v>192</v>
      </c>
      <c r="C70" t="s">
        <v>336</v>
      </c>
      <c r="E70" s="1" t="str">
        <f t="shared" si="7"/>
        <v>Away</v>
      </c>
      <c r="F70" s="3">
        <f t="shared" si="8"/>
        <v>8</v>
      </c>
      <c r="G70" s="3">
        <f t="shared" si="9"/>
        <v>4</v>
      </c>
      <c r="H70" s="3">
        <f t="shared" si="6"/>
        <v>12</v>
      </c>
      <c r="I70" s="3" t="str">
        <f t="shared" si="10"/>
        <v>W</v>
      </c>
    </row>
    <row r="71" spans="1:10" x14ac:dyDescent="0.25">
      <c r="E71" s="1"/>
      <c r="F71" s="3"/>
      <c r="G71" s="3"/>
      <c r="H71" s="3"/>
      <c r="I71" s="3" t="str">
        <f t="shared" si="10"/>
        <v/>
      </c>
    </row>
    <row r="72" spans="1:10" x14ac:dyDescent="0.25">
      <c r="A72" s="25" t="s">
        <v>1</v>
      </c>
      <c r="B72" s="25" t="s">
        <v>2</v>
      </c>
      <c r="C72" s="25" t="s">
        <v>469</v>
      </c>
      <c r="D72" s="25" t="s">
        <v>135</v>
      </c>
      <c r="E72" s="36" t="s">
        <v>136</v>
      </c>
      <c r="F72" s="37" t="s">
        <v>137</v>
      </c>
      <c r="G72" s="37" t="s">
        <v>138</v>
      </c>
      <c r="H72" s="38" t="s">
        <v>3</v>
      </c>
      <c r="I72" s="13" t="s">
        <v>494</v>
      </c>
      <c r="J72" s="14" t="s">
        <v>495</v>
      </c>
    </row>
    <row r="73" spans="1:10" x14ac:dyDescent="0.25">
      <c r="A73" s="31" t="s">
        <v>448</v>
      </c>
      <c r="B73" s="31" t="s">
        <v>194</v>
      </c>
      <c r="C73" s="31" t="s">
        <v>329</v>
      </c>
      <c r="D73" s="31" t="str">
        <f>IF(LEFT(LAC!$B73,1)="@","Away","Home")</f>
        <v>Away</v>
      </c>
      <c r="E73" s="39">
        <f>_xlfn.NUMBERVALUE(MID(LEFT(LAC!$C73,FIND("-",LAC!$C73)-1),FIND(" ",LAC!$C73)+1,LEN(LAC!$C73)))</f>
        <v>5</v>
      </c>
      <c r="F73" s="40">
        <f>_xlfn.NUMBERVALUE(RIGHT(LAC!$C73,LEN(LAC!$C73)-FIND("-",LAC!$C73)))</f>
        <v>2</v>
      </c>
      <c r="G73" s="40">
        <f t="shared" ref="G73" si="11">E73+F73</f>
        <v>7</v>
      </c>
      <c r="H73" s="41" t="str">
        <f>LEFT(LAC!$C73,1)</f>
        <v>W</v>
      </c>
      <c r="I73" s="34" t="str">
        <f>VLOOKUP(IF(Table24[[#This Row],[At]]="Home",Table24[[#This Row],[Opponent]],RIGHT(Table24[[#This Row],[Opponent]],LEN(Table24[[#This Row],[Opponent]])-1)),CHOOSE({1,2},[1]StandingsRAW!$J$1:$J$22,[1]StandingsRAW!$L$1:$L$22),2,FALSE)</f>
        <v>EC</v>
      </c>
      <c r="J73" s="35">
        <f>VLOOKUP(Table24[[#This Row],[OPP]],Raw!$L$2:$S$23,7,FALSE)-Raw!$U$2</f>
        <v>1.1143270057026795</v>
      </c>
    </row>
    <row r="74" spans="1:10" x14ac:dyDescent="0.25">
      <c r="A74" s="31" t="s">
        <v>449</v>
      </c>
      <c r="B74" s="31" t="s">
        <v>235</v>
      </c>
      <c r="C74" s="31" t="s">
        <v>36</v>
      </c>
      <c r="D74" s="31" t="str">
        <f>IF(LEFT(LAC!$B74,1)="@","Away","Home")</f>
        <v>Home</v>
      </c>
      <c r="E74" s="39">
        <f>_xlfn.NUMBERVALUE(MID(LEFT(LAC!$C74,FIND("-",LAC!$C74)-1),FIND(" ",LAC!$C74)+1,LEN(LAC!$C74)))</f>
        <v>1</v>
      </c>
      <c r="F74" s="40">
        <f>_xlfn.NUMBERVALUE(RIGHT(LAC!$C74,LEN(LAC!$C74)-FIND("-",LAC!$C74)))</f>
        <v>5</v>
      </c>
      <c r="G74" s="40">
        <f t="shared" ref="G74:G95" si="12">E74+F74</f>
        <v>6</v>
      </c>
      <c r="H74" s="41" t="str">
        <f>LEFT(LAC!$C74,1)</f>
        <v>L</v>
      </c>
      <c r="I74" s="34" t="str">
        <f>VLOOKUP(IF(Table24[[#This Row],[At]]="Home",Table24[[#This Row],[Opponent]],RIGHT(Table24[[#This Row],[Opponent]],LEN(Table24[[#This Row],[Opponent]])-1)),CHOOSE({1,2},[1]StandingsRAW!$J$1:$J$22,[1]StandingsRAW!$L$1:$L$22),2,FALSE)</f>
        <v>EC</v>
      </c>
      <c r="J74" s="35">
        <f>VLOOKUP(Table24[[#This Row],[OPP]],Raw!$L$2:$S$23,7,FALSE)-Raw!$U$2</f>
        <v>1.1143270057026795</v>
      </c>
    </row>
    <row r="75" spans="1:10" x14ac:dyDescent="0.25">
      <c r="A75" s="31" t="s">
        <v>450</v>
      </c>
      <c r="B75" s="31" t="s">
        <v>245</v>
      </c>
      <c r="C75" s="31" t="s">
        <v>411</v>
      </c>
      <c r="D75" s="31" t="str">
        <f>IF(LEFT(LAC!$B75,1)="@","Away","Home")</f>
        <v>Home</v>
      </c>
      <c r="E75" s="39">
        <f>_xlfn.NUMBERVALUE(MID(LEFT(LAC!$C75,FIND("-",LAC!$C75)-1),FIND(" ",LAC!$C75)+1,LEN(LAC!$C75)))</f>
        <v>6</v>
      </c>
      <c r="F75" s="40">
        <f>_xlfn.NUMBERVALUE(RIGHT(LAC!$C75,LEN(LAC!$C75)-FIND("-",LAC!$C75)))</f>
        <v>16</v>
      </c>
      <c r="G75" s="40">
        <f t="shared" si="12"/>
        <v>22</v>
      </c>
      <c r="H75" s="41" t="str">
        <f>LEFT(LAC!$C75,1)</f>
        <v>L</v>
      </c>
      <c r="I75" s="34" t="str">
        <f>VLOOKUP(IF(Table24[[#This Row],[At]]="Home",Table24[[#This Row],[Opponent]],RIGHT(Table24[[#This Row],[Opponent]],LEN(Table24[[#This Row],[Opponent]])-1)),CHOOSE({1,2},[1]StandingsRAW!$J$1:$J$22,[1]StandingsRAW!$L$1:$L$22),2,FALSE)</f>
        <v>STC</v>
      </c>
      <c r="J75" s="35">
        <f>VLOOKUP(Table24[[#This Row],[OPP]],Raw!$L$2:$S$23,7,FALSE)-Raw!$U$2</f>
        <v>2.5702093586438561</v>
      </c>
    </row>
    <row r="76" spans="1:10" x14ac:dyDescent="0.25">
      <c r="A76" s="31" t="s">
        <v>451</v>
      </c>
      <c r="B76" s="31" t="s">
        <v>245</v>
      </c>
      <c r="C76" s="31" t="s">
        <v>6</v>
      </c>
      <c r="D76" s="31" t="str">
        <f>IF(LEFT(LAC!$B76,1)="@","Away","Home")</f>
        <v>Home</v>
      </c>
      <c r="E76" s="39">
        <f>_xlfn.NUMBERVALUE(MID(LEFT(LAC!$C76,FIND("-",LAC!$C76)-1),FIND(" ",LAC!$C76)+1,LEN(LAC!$C76)))</f>
        <v>2</v>
      </c>
      <c r="F76" s="40">
        <f>_xlfn.NUMBERVALUE(RIGHT(LAC!$C76,LEN(LAC!$C76)-FIND("-",LAC!$C76)))</f>
        <v>6</v>
      </c>
      <c r="G76" s="40">
        <f t="shared" si="12"/>
        <v>8</v>
      </c>
      <c r="H76" s="41" t="str">
        <f>LEFT(LAC!$C76,1)</f>
        <v>L</v>
      </c>
      <c r="I76" s="34" t="str">
        <f>VLOOKUP(IF(Table24[[#This Row],[At]]="Home",Table24[[#This Row],[Opponent]],RIGHT(Table24[[#This Row],[Opponent]],LEN(Table24[[#This Row],[Opponent]])-1)),CHOOSE({1,2},[1]StandingsRAW!$J$1:$J$22,[1]StandingsRAW!$L$1:$L$22),2,FALSE)</f>
        <v>STC</v>
      </c>
      <c r="J76" s="35">
        <f>VLOOKUP(Table24[[#This Row],[OPP]],Raw!$L$2:$S$23,7,FALSE)-Raw!$U$2</f>
        <v>2.5702093586438561</v>
      </c>
    </row>
    <row r="77" spans="1:10" x14ac:dyDescent="0.25">
      <c r="A77" s="31" t="s">
        <v>453</v>
      </c>
      <c r="B77" s="31" t="s">
        <v>250</v>
      </c>
      <c r="C77" s="31" t="s">
        <v>477</v>
      </c>
      <c r="D77" s="31" t="str">
        <f>IF(LEFT(LAC!$B77,1)="@","Away","Home")</f>
        <v>Home</v>
      </c>
      <c r="E77" s="39">
        <f>_xlfn.NUMBERVALUE(MID(LEFT(LAC!$C77,FIND("-",LAC!$C77)-1),FIND(" ",LAC!$C77)+1,LEN(LAC!$C77)))</f>
        <v>5</v>
      </c>
      <c r="F77" s="40">
        <f>_xlfn.NUMBERVALUE(RIGHT(LAC!$C77,LEN(LAC!$C77)-FIND("-",LAC!$C77)))</f>
        <v>20</v>
      </c>
      <c r="G77" s="40">
        <f t="shared" si="12"/>
        <v>25</v>
      </c>
      <c r="H77" s="41" t="str">
        <f>LEFT(LAC!$C77,1)</f>
        <v>L</v>
      </c>
      <c r="I77" s="34" t="str">
        <f>VLOOKUP(IF(Table24[[#This Row],[At]]="Home",Table24[[#This Row],[Opponent]],RIGHT(Table24[[#This Row],[Opponent]],LEN(Table24[[#This Row],[Opponent]])-1)),CHOOSE({1,2},[1]StandingsRAW!$J$1:$J$22,[1]StandingsRAW!$L$1:$L$22),2,FALSE)</f>
        <v>MAN</v>
      </c>
      <c r="J77" s="35">
        <f>VLOOKUP(Table24[[#This Row],[OPP]],Raw!$L$2:$S$23,7,FALSE)-Raw!$U$2</f>
        <v>0.73197406452620895</v>
      </c>
    </row>
    <row r="78" spans="1:10" x14ac:dyDescent="0.25">
      <c r="A78" s="31" t="s">
        <v>454</v>
      </c>
      <c r="B78" s="31" t="s">
        <v>250</v>
      </c>
      <c r="C78" s="31" t="s">
        <v>259</v>
      </c>
      <c r="D78" s="31" t="str">
        <f>IF(LEFT(LAC!$B78,1)="@","Away","Home")</f>
        <v>Home</v>
      </c>
      <c r="E78" s="39">
        <f>_xlfn.NUMBERVALUE(MID(LEFT(LAC!$C78,FIND("-",LAC!$C78)-1),FIND(" ",LAC!$C78)+1,LEN(LAC!$C78)))</f>
        <v>0</v>
      </c>
      <c r="F78" s="40">
        <f>_xlfn.NUMBERVALUE(RIGHT(LAC!$C78,LEN(LAC!$C78)-FIND("-",LAC!$C78)))</f>
        <v>5</v>
      </c>
      <c r="G78" s="40">
        <f t="shared" si="12"/>
        <v>5</v>
      </c>
      <c r="H78" s="41" t="str">
        <f>LEFT(LAC!$C78,1)</f>
        <v>L</v>
      </c>
      <c r="I78" s="34" t="str">
        <f>VLOOKUP(IF(Table24[[#This Row],[At]]="Home",Table24[[#This Row],[Opponent]],RIGHT(Table24[[#This Row],[Opponent]],LEN(Table24[[#This Row],[Opponent]])-1)),CHOOSE({1,2},[1]StandingsRAW!$J$1:$J$22,[1]StandingsRAW!$L$1:$L$22),2,FALSE)</f>
        <v>MAN</v>
      </c>
      <c r="J78" s="35">
        <f>VLOOKUP(Table24[[#This Row],[OPP]],Raw!$L$2:$S$23,7,FALSE)-Raw!$U$2</f>
        <v>0.73197406452620895</v>
      </c>
    </row>
    <row r="79" spans="1:10" x14ac:dyDescent="0.25">
      <c r="A79" s="31" t="s">
        <v>455</v>
      </c>
      <c r="B79" s="31" t="s">
        <v>210</v>
      </c>
      <c r="C79" s="31" t="s">
        <v>125</v>
      </c>
      <c r="D79" s="31" t="str">
        <f>IF(LEFT(LAC!$B79,1)="@","Away","Home")</f>
        <v>Away</v>
      </c>
      <c r="E79" s="39">
        <f>_xlfn.NUMBERVALUE(MID(LEFT(LAC!$C79,FIND("-",LAC!$C79)-1),FIND(" ",LAC!$C79)+1,LEN(LAC!$C79)))</f>
        <v>0</v>
      </c>
      <c r="F79" s="40">
        <f>_xlfn.NUMBERVALUE(RIGHT(LAC!$C79,LEN(LAC!$C79)-FIND("-",LAC!$C79)))</f>
        <v>4</v>
      </c>
      <c r="G79" s="40">
        <f t="shared" si="12"/>
        <v>4</v>
      </c>
      <c r="H79" s="41" t="str">
        <f>LEFT(LAC!$C79,1)</f>
        <v>L</v>
      </c>
      <c r="I79" s="34" t="str">
        <f>VLOOKUP(IF(Table24[[#This Row],[At]]="Home",Table24[[#This Row],[Opponent]],RIGHT(Table24[[#This Row],[Opponent]],LEN(Table24[[#This Row],[Opponent]])-1)),CHOOSE({1,2},[1]StandingsRAW!$J$1:$J$22,[1]StandingsRAW!$L$1:$L$22),2,FALSE)</f>
        <v>ROC</v>
      </c>
      <c r="J79" s="35">
        <f>VLOOKUP(Table24[[#This Row],[OPP]],Raw!$L$2:$S$23,7,FALSE)-Raw!$U$2</f>
        <v>-0.20920240606202639</v>
      </c>
    </row>
    <row r="80" spans="1:10" x14ac:dyDescent="0.25">
      <c r="A80" s="31" t="s">
        <v>456</v>
      </c>
      <c r="B80" s="31" t="s">
        <v>263</v>
      </c>
      <c r="C80" s="31" t="s">
        <v>264</v>
      </c>
      <c r="D80" s="31" t="str">
        <f>IF(LEFT(LAC!$B80,1)="@","Away","Home")</f>
        <v>Home</v>
      </c>
      <c r="E80" s="39">
        <f>_xlfn.NUMBERVALUE(MID(LEFT(LAC!$C80,FIND("-",LAC!$C80)-1),FIND(" ",LAC!$C80)+1,LEN(LAC!$C80)))</f>
        <v>6</v>
      </c>
      <c r="F80" s="40">
        <f>_xlfn.NUMBERVALUE(RIGHT(LAC!$C80,LEN(LAC!$C80)-FIND("-",LAC!$C80)))</f>
        <v>2</v>
      </c>
      <c r="G80" s="40">
        <f t="shared" si="12"/>
        <v>8</v>
      </c>
      <c r="H80" s="41" t="str">
        <f>LEFT(LAC!$C80,1)</f>
        <v>W</v>
      </c>
      <c r="I80" s="34" t="str">
        <f>VLOOKUP(IF(Table24[[#This Row],[At]]="Home",Table24[[#This Row],[Opponent]],RIGHT(Table24[[#This Row],[Opponent]],LEN(Table24[[#This Row],[Opponent]])-1)),CHOOSE({1,2},[1]StandingsRAW!$J$1:$J$22,[1]StandingsRAW!$L$1:$L$22),2,FALSE)</f>
        <v>ROC</v>
      </c>
      <c r="J80" s="35">
        <f>VLOOKUP(Table24[[#This Row],[OPP]],Raw!$L$2:$S$23,7,FALSE)-Raw!$U$2</f>
        <v>-0.20920240606202639</v>
      </c>
    </row>
    <row r="81" spans="1:10" x14ac:dyDescent="0.25">
      <c r="A81" s="31" t="s">
        <v>470</v>
      </c>
      <c r="B81" s="31" t="s">
        <v>211</v>
      </c>
      <c r="C81" s="31" t="s">
        <v>283</v>
      </c>
      <c r="D81" s="31" t="str">
        <f>IF(LEFT(LAC!$B81,1)="@","Away","Home")</f>
        <v>Away</v>
      </c>
      <c r="E81" s="39">
        <f>_xlfn.NUMBERVALUE(MID(LEFT(LAC!$C81,FIND("-",LAC!$C81)-1),FIND(" ",LAC!$C81)+1,LEN(LAC!$C81)))</f>
        <v>10</v>
      </c>
      <c r="F81" s="40">
        <f>_xlfn.NUMBERVALUE(RIGHT(LAC!$C81,LEN(LAC!$C81)-FIND("-",LAC!$C81)))</f>
        <v>8</v>
      </c>
      <c r="G81" s="40">
        <f t="shared" si="12"/>
        <v>18</v>
      </c>
      <c r="H81" s="41" t="str">
        <f>LEFT(LAC!$C81,1)</f>
        <v>W</v>
      </c>
      <c r="I81" s="34" t="str">
        <f>VLOOKUP(IF(Table24[[#This Row],[At]]="Home",Table24[[#This Row],[Opponent]],RIGHT(Table24[[#This Row],[Opponent]],LEN(Table24[[#This Row],[Opponent]])-1)),CHOOSE({1,2},[1]StandingsRAW!$J$1:$J$22,[1]StandingsRAW!$L$1:$L$22),2,FALSE)</f>
        <v>WIL</v>
      </c>
      <c r="J81" s="35">
        <f>VLOOKUP(Table24[[#This Row],[OPP]],Raw!$L$2:$S$23,7,FALSE)-Raw!$U$2</f>
        <v>3.0407975939379734</v>
      </c>
    </row>
    <row r="82" spans="1:10" x14ac:dyDescent="0.25">
      <c r="A82" s="31" t="s">
        <v>457</v>
      </c>
      <c r="B82" s="31" t="s">
        <v>211</v>
      </c>
      <c r="C82" s="31" t="s">
        <v>89</v>
      </c>
      <c r="D82" s="31" t="str">
        <f>IF(LEFT(LAC!$B82,1)="@","Away","Home")</f>
        <v>Away</v>
      </c>
      <c r="E82" s="39">
        <f>_xlfn.NUMBERVALUE(MID(LEFT(LAC!$C82,FIND("-",LAC!$C82)-1),FIND(" ",LAC!$C82)+1,LEN(LAC!$C82)))</f>
        <v>1</v>
      </c>
      <c r="F82" s="40">
        <f>_xlfn.NUMBERVALUE(RIGHT(LAC!$C82,LEN(LAC!$C82)-FIND("-",LAC!$C82)))</f>
        <v>6</v>
      </c>
      <c r="G82" s="40">
        <f t="shared" si="12"/>
        <v>7</v>
      </c>
      <c r="H82" s="41" t="str">
        <f>LEFT(LAC!$C82,1)</f>
        <v>L</v>
      </c>
      <c r="I82" s="34" t="str">
        <f>VLOOKUP(IF(Table24[[#This Row],[At]]="Home",Table24[[#This Row],[Opponent]],RIGHT(Table24[[#This Row],[Opponent]],LEN(Table24[[#This Row],[Opponent]])-1)),CHOOSE({1,2},[1]StandingsRAW!$J$1:$J$22,[1]StandingsRAW!$L$1:$L$22),2,FALSE)</f>
        <v>WIL</v>
      </c>
      <c r="J82" s="35">
        <f>VLOOKUP(Table24[[#This Row],[OPP]],Raw!$L$2:$S$23,7,FALSE)-Raw!$U$2</f>
        <v>3.0407975939379734</v>
      </c>
    </row>
    <row r="83" spans="1:10" x14ac:dyDescent="0.25">
      <c r="A83" s="31" t="s">
        <v>458</v>
      </c>
      <c r="B83" s="31" t="s">
        <v>203</v>
      </c>
      <c r="C83" s="31" t="s">
        <v>364</v>
      </c>
      <c r="D83" s="31" t="str">
        <f>IF(LEFT(LAC!$B83,1)="@","Away","Home")</f>
        <v>Away</v>
      </c>
      <c r="E83" s="39">
        <f>_xlfn.NUMBERVALUE(MID(LEFT(LAC!$C83,FIND("-",LAC!$C83)-1),FIND(" ",LAC!$C83)+1,LEN(LAC!$C83)))</f>
        <v>11</v>
      </c>
      <c r="F83" s="40">
        <f>_xlfn.NUMBERVALUE(RIGHT(LAC!$C83,LEN(LAC!$C83)-FIND("-",LAC!$C83)))</f>
        <v>9</v>
      </c>
      <c r="G83" s="40">
        <f t="shared" si="12"/>
        <v>20</v>
      </c>
      <c r="H83" s="41" t="str">
        <f>LEFT(LAC!$C83,1)</f>
        <v>W</v>
      </c>
      <c r="I83" s="34" t="str">
        <f>VLOOKUP(IF(Table24[[#This Row],[At]]="Home",Table24[[#This Row],[Opponent]],RIGHT(Table24[[#This Row],[Opponent]],LEN(Table24[[#This Row],[Opponent]])-1)),CHOOSE({1,2},[1]StandingsRAW!$J$1:$J$22,[1]StandingsRAW!$L$1:$L$22),2,FALSE)</f>
        <v>BIS</v>
      </c>
      <c r="J83" s="35">
        <f>VLOOKUP(Table24[[#This Row],[OPP]],Raw!$L$2:$S$23,7,FALSE)-Raw!$U$2</f>
        <v>-1.915084759003203</v>
      </c>
    </row>
    <row r="84" spans="1:10" x14ac:dyDescent="0.25">
      <c r="A84" s="31" t="s">
        <v>459</v>
      </c>
      <c r="B84" s="31" t="s">
        <v>203</v>
      </c>
      <c r="C84" s="31" t="s">
        <v>113</v>
      </c>
      <c r="D84" s="31" t="str">
        <f>IF(LEFT(LAC!$B84,1)="@","Away","Home")</f>
        <v>Away</v>
      </c>
      <c r="E84" s="39">
        <f>_xlfn.NUMBERVALUE(MID(LEFT(LAC!$C84,FIND("-",LAC!$C84)-1),FIND(" ",LAC!$C84)+1,LEN(LAC!$C84)))</f>
        <v>7</v>
      </c>
      <c r="F84" s="40">
        <f>_xlfn.NUMBERVALUE(RIGHT(LAC!$C84,LEN(LAC!$C84)-FIND("-",LAC!$C84)))</f>
        <v>9</v>
      </c>
      <c r="G84" s="40">
        <f t="shared" si="12"/>
        <v>16</v>
      </c>
      <c r="H84" s="41" t="str">
        <f>LEFT(LAC!$C84,1)</f>
        <v>L</v>
      </c>
      <c r="I84" s="34" t="str">
        <f>VLOOKUP(IF(Table24[[#This Row],[At]]="Home",Table24[[#This Row],[Opponent]],RIGHT(Table24[[#This Row],[Opponent]],LEN(Table24[[#This Row],[Opponent]])-1)),CHOOSE({1,2},[1]StandingsRAW!$J$1:$J$22,[1]StandingsRAW!$L$1:$L$22),2,FALSE)</f>
        <v>BIS</v>
      </c>
      <c r="J84" s="35">
        <f>VLOOKUP(Table24[[#This Row],[OPP]],Raw!$L$2:$S$23,7,FALSE)-Raw!$U$2</f>
        <v>-1.915084759003203</v>
      </c>
    </row>
    <row r="85" spans="1:10" x14ac:dyDescent="0.25">
      <c r="A85" s="31" t="s">
        <v>460</v>
      </c>
      <c r="B85" s="31" t="s">
        <v>203</v>
      </c>
      <c r="C85" s="31" t="s">
        <v>386</v>
      </c>
      <c r="D85" s="31" t="str">
        <f>IF(LEFT(LAC!$B85,1)="@","Away","Home")</f>
        <v>Away</v>
      </c>
      <c r="E85" s="39">
        <f>_xlfn.NUMBERVALUE(MID(LEFT(LAC!$C85,FIND("-",LAC!$C85)-1),FIND(" ",LAC!$C85)+1,LEN(LAC!$C85)))</f>
        <v>8</v>
      </c>
      <c r="F85" s="40">
        <f>_xlfn.NUMBERVALUE(RIGHT(LAC!$C85,LEN(LAC!$C85)-FIND("-",LAC!$C85)))</f>
        <v>12</v>
      </c>
      <c r="G85" s="40">
        <f t="shared" si="12"/>
        <v>20</v>
      </c>
      <c r="H85" s="41" t="str">
        <f>LEFT(LAC!$C85,1)</f>
        <v>L</v>
      </c>
      <c r="I85" s="34" t="str">
        <f>VLOOKUP(IF(Table24[[#This Row],[At]]="Home",Table24[[#This Row],[Opponent]],RIGHT(Table24[[#This Row],[Opponent]],LEN(Table24[[#This Row],[Opponent]])-1)),CHOOSE({1,2},[1]StandingsRAW!$J$1:$J$22,[1]StandingsRAW!$L$1:$L$22),2,FALSE)</f>
        <v>BIS</v>
      </c>
      <c r="J85" s="35">
        <f>VLOOKUP(Table24[[#This Row],[OPP]],Raw!$L$2:$S$23,7,FALSE)-Raw!$U$2</f>
        <v>-1.915084759003203</v>
      </c>
    </row>
    <row r="86" spans="1:10" x14ac:dyDescent="0.25">
      <c r="A86" s="31" t="s">
        <v>471</v>
      </c>
      <c r="B86" s="31" t="s">
        <v>203</v>
      </c>
      <c r="C86" s="31" t="s">
        <v>200</v>
      </c>
      <c r="D86" s="31" t="str">
        <f>IF(LEFT(LAC!$B86,1)="@","Away","Home")</f>
        <v>Away</v>
      </c>
      <c r="E86" s="39">
        <f>_xlfn.NUMBERVALUE(MID(LEFT(LAC!$C86,FIND("-",LAC!$C86)-1),FIND(" ",LAC!$C86)+1,LEN(LAC!$C86)))</f>
        <v>8</v>
      </c>
      <c r="F86" s="40">
        <f>_xlfn.NUMBERVALUE(RIGHT(LAC!$C86,LEN(LAC!$C86)-FIND("-",LAC!$C86)))</f>
        <v>0</v>
      </c>
      <c r="G86" s="40">
        <f t="shared" si="12"/>
        <v>8</v>
      </c>
      <c r="H86" s="41" t="str">
        <f>LEFT(LAC!$C86,1)</f>
        <v>W</v>
      </c>
      <c r="I86" s="34" t="str">
        <f>VLOOKUP(IF(Table24[[#This Row],[At]]="Home",Table24[[#This Row],[Opponent]],RIGHT(Table24[[#This Row],[Opponent]],LEN(Table24[[#This Row],[Opponent]])-1)),CHOOSE({1,2},[1]StandingsRAW!$J$1:$J$22,[1]StandingsRAW!$L$1:$L$22),2,FALSE)</f>
        <v>BIS</v>
      </c>
      <c r="J86" s="35">
        <f>VLOOKUP(Table24[[#This Row],[OPP]],Raw!$L$2:$S$23,7,FALSE)-Raw!$U$2</f>
        <v>-1.915084759003203</v>
      </c>
    </row>
    <row r="87" spans="1:10" x14ac:dyDescent="0.25">
      <c r="A87" s="31" t="s">
        <v>461</v>
      </c>
      <c r="B87" s="31" t="s">
        <v>258</v>
      </c>
      <c r="C87" s="31" t="s">
        <v>478</v>
      </c>
      <c r="D87" s="31" t="str">
        <f>IF(LEFT(LAC!$B87,1)="@","Away","Home")</f>
        <v>Home</v>
      </c>
      <c r="E87" s="39">
        <f>_xlfn.NUMBERVALUE(MID(LEFT(LAC!$C87,FIND("-",LAC!$C87)-1),FIND(" ",LAC!$C87)+1,LEN(LAC!$C87)))</f>
        <v>18</v>
      </c>
      <c r="F87" s="40">
        <f>_xlfn.NUMBERVALUE(RIGHT(LAC!$C87,LEN(LAC!$C87)-FIND("-",LAC!$C87)))</f>
        <v>4</v>
      </c>
      <c r="G87" s="40">
        <f t="shared" si="12"/>
        <v>22</v>
      </c>
      <c r="H87" s="41" t="str">
        <f>LEFT(LAC!$C87,1)</f>
        <v>W</v>
      </c>
      <c r="I87" s="34" t="str">
        <f>VLOOKUP(IF(Table24[[#This Row],[At]]="Home",Table24[[#This Row],[Opponent]],RIGHT(Table24[[#This Row],[Opponent]],LEN(Table24[[#This Row],[Opponent]])-1)),CHOOSE({1,2},[1]StandingsRAW!$J$1:$J$22,[1]StandingsRAW!$L$1:$L$22),2,FALSE)</f>
        <v>WAT</v>
      </c>
      <c r="J87" s="35">
        <f>VLOOKUP(Table24[[#This Row],[OPP]],Raw!$L$2:$S$23,7,FALSE)-Raw!$U$2</f>
        <v>-3.3415553472384971</v>
      </c>
    </row>
    <row r="88" spans="1:10" x14ac:dyDescent="0.25">
      <c r="A88" s="31" t="s">
        <v>462</v>
      </c>
      <c r="B88" s="31" t="s">
        <v>258</v>
      </c>
      <c r="C88" s="31" t="s">
        <v>282</v>
      </c>
      <c r="D88" s="31" t="str">
        <f>IF(LEFT(LAC!$B88,1)="@","Away","Home")</f>
        <v>Home</v>
      </c>
      <c r="E88" s="39">
        <f>_xlfn.NUMBERVALUE(MID(LEFT(LAC!$C88,FIND("-",LAC!$C88)-1),FIND(" ",LAC!$C88)+1,LEN(LAC!$C88)))</f>
        <v>6</v>
      </c>
      <c r="F88" s="40">
        <f>_xlfn.NUMBERVALUE(RIGHT(LAC!$C88,LEN(LAC!$C88)-FIND("-",LAC!$C88)))</f>
        <v>0</v>
      </c>
      <c r="G88" s="40">
        <f t="shared" si="12"/>
        <v>6</v>
      </c>
      <c r="H88" s="41" t="str">
        <f>LEFT(LAC!$C88,1)</f>
        <v>W</v>
      </c>
      <c r="I88" s="34" t="str">
        <f>VLOOKUP(IF(Table24[[#This Row],[At]]="Home",Table24[[#This Row],[Opponent]],RIGHT(Table24[[#This Row],[Opponent]],LEN(Table24[[#This Row],[Opponent]])-1)),CHOOSE({1,2},[1]StandingsRAW!$J$1:$J$22,[1]StandingsRAW!$L$1:$L$22),2,FALSE)</f>
        <v>WAT</v>
      </c>
      <c r="J88" s="35">
        <f>VLOOKUP(Table24[[#This Row],[OPP]],Raw!$L$2:$S$23,7,FALSE)-Raw!$U$2</f>
        <v>-3.3415553472384971</v>
      </c>
    </row>
    <row r="89" spans="1:10" x14ac:dyDescent="0.25">
      <c r="A89" s="31" t="s">
        <v>463</v>
      </c>
      <c r="B89" s="31" t="s">
        <v>241</v>
      </c>
      <c r="C89" s="31" t="s">
        <v>400</v>
      </c>
      <c r="D89" s="31" t="str">
        <f>IF(LEFT(LAC!$B89,1)="@","Away","Home")</f>
        <v>Home</v>
      </c>
      <c r="E89" s="39">
        <f>_xlfn.NUMBERVALUE(MID(LEFT(LAC!$C89,FIND("-",LAC!$C89)-1),FIND(" ",LAC!$C89)+1,LEN(LAC!$C89)))</f>
        <v>19</v>
      </c>
      <c r="F89" s="40">
        <f>_xlfn.NUMBERVALUE(RIGHT(LAC!$C89,LEN(LAC!$C89)-FIND("-",LAC!$C89)))</f>
        <v>3</v>
      </c>
      <c r="G89" s="40">
        <f t="shared" si="12"/>
        <v>22</v>
      </c>
      <c r="H89" s="41" t="str">
        <f>LEFT(LAC!$C89,1)</f>
        <v>W</v>
      </c>
      <c r="I89" s="34" t="str">
        <f>VLOOKUP(IF(Table24[[#This Row],[At]]="Home",Table24[[#This Row],[Opponent]],RIGHT(Table24[[#This Row],[Opponent]],LEN(Table24[[#This Row],[Opponent]])-1)),CHOOSE({1,2},[1]StandingsRAW!$J$1:$J$22,[1]StandingsRAW!$L$1:$L$22),2,FALSE)</f>
        <v>MIN</v>
      </c>
      <c r="J89" s="35">
        <f>VLOOKUP(Table24[[#This Row],[OPP]],Raw!$L$2:$S$23,7,FALSE)-Raw!$U$2</f>
        <v>-2.6422089420097388</v>
      </c>
    </row>
    <row r="90" spans="1:10" x14ac:dyDescent="0.25">
      <c r="A90" s="31" t="s">
        <v>463</v>
      </c>
      <c r="B90" s="31" t="s">
        <v>241</v>
      </c>
      <c r="C90" s="31" t="s">
        <v>128</v>
      </c>
      <c r="D90" s="31" t="str">
        <f>IF(LEFT(LAC!$B90,1)="@","Away","Home")</f>
        <v>Home</v>
      </c>
      <c r="E90" s="39">
        <f>_xlfn.NUMBERVALUE(MID(LEFT(LAC!$C90,FIND("-",LAC!$C90)-1),FIND(" ",LAC!$C90)+1,LEN(LAC!$C90)))</f>
        <v>6</v>
      </c>
      <c r="F90" s="40">
        <f>_xlfn.NUMBERVALUE(RIGHT(LAC!$C90,LEN(LAC!$C90)-FIND("-",LAC!$C90)))</f>
        <v>5</v>
      </c>
      <c r="G90" s="40">
        <f t="shared" si="12"/>
        <v>11</v>
      </c>
      <c r="H90" s="41" t="str">
        <f>LEFT(LAC!$C90,1)</f>
        <v>W</v>
      </c>
      <c r="I90" s="34" t="str">
        <f>VLOOKUP(IF(Table24[[#This Row],[At]]="Home",Table24[[#This Row],[Opponent]],RIGHT(Table24[[#This Row],[Opponent]],LEN(Table24[[#This Row],[Opponent]])-1)),CHOOSE({1,2},[1]StandingsRAW!$J$1:$J$22,[1]StandingsRAW!$L$1:$L$22),2,FALSE)</f>
        <v>MIN</v>
      </c>
      <c r="J90" s="35">
        <f>VLOOKUP(Table24[[#This Row],[OPP]],Raw!$L$2:$S$23,7,FALSE)-Raw!$U$2</f>
        <v>-2.6422089420097388</v>
      </c>
    </row>
    <row r="91" spans="1:10" x14ac:dyDescent="0.25">
      <c r="A91" s="31" t="s">
        <v>464</v>
      </c>
      <c r="B91" s="31" t="s">
        <v>194</v>
      </c>
      <c r="C91" s="31" t="s">
        <v>384</v>
      </c>
      <c r="D91" s="31" t="str">
        <f>IF(LEFT(LAC!$B91,1)="@","Away","Home")</f>
        <v>Away</v>
      </c>
      <c r="E91" s="39">
        <f>_xlfn.NUMBERVALUE(MID(LEFT(LAC!$C91,FIND("-",LAC!$C91)-1),FIND(" ",LAC!$C91)+1,LEN(LAC!$C91)))</f>
        <v>7</v>
      </c>
      <c r="F91" s="40">
        <f>_xlfn.NUMBERVALUE(RIGHT(LAC!$C91,LEN(LAC!$C91)-FIND("-",LAC!$C91)))</f>
        <v>5</v>
      </c>
      <c r="G91" s="40">
        <f t="shared" si="12"/>
        <v>12</v>
      </c>
      <c r="H91" s="41" t="str">
        <f>LEFT(LAC!$C91,1)</f>
        <v>W</v>
      </c>
      <c r="I91" s="34" t="str">
        <f>VLOOKUP(IF(Table24[[#This Row],[At]]="Home",Table24[[#This Row],[Opponent]],RIGHT(Table24[[#This Row],[Opponent]],LEN(Table24[[#This Row],[Opponent]])-1)),CHOOSE({1,2},[1]StandingsRAW!$J$1:$J$22,[1]StandingsRAW!$L$1:$L$22),2,FALSE)</f>
        <v>EC</v>
      </c>
      <c r="J91" s="35">
        <f>VLOOKUP(Table24[[#This Row],[OPP]],Raw!$L$2:$S$23,7,FALSE)-Raw!$U$2</f>
        <v>1.1143270057026795</v>
      </c>
    </row>
    <row r="92" spans="1:10" x14ac:dyDescent="0.25">
      <c r="A92" s="31" t="s">
        <v>465</v>
      </c>
      <c r="B92" s="31" t="s">
        <v>235</v>
      </c>
      <c r="C92" s="31" t="s">
        <v>347</v>
      </c>
      <c r="D92" s="31" t="str">
        <f>IF(LEFT(LAC!$B92,1)="@","Away","Home")</f>
        <v>Home</v>
      </c>
      <c r="E92" s="39">
        <f>_xlfn.NUMBERVALUE(MID(LEFT(LAC!$C92,FIND("-",LAC!$C92)-1),FIND(" ",LAC!$C92)+1,LEN(LAC!$C92)))</f>
        <v>9</v>
      </c>
      <c r="F92" s="40">
        <f>_xlfn.NUMBERVALUE(RIGHT(LAC!$C92,LEN(LAC!$C92)-FIND("-",LAC!$C92)))</f>
        <v>5</v>
      </c>
      <c r="G92" s="40">
        <f t="shared" si="12"/>
        <v>14</v>
      </c>
      <c r="H92" s="41" t="str">
        <f>LEFT(LAC!$C92,1)</f>
        <v>W</v>
      </c>
      <c r="I92" s="34" t="str">
        <f>VLOOKUP(IF(Table24[[#This Row],[At]]="Home",Table24[[#This Row],[Opponent]],RIGHT(Table24[[#This Row],[Opponent]],LEN(Table24[[#This Row],[Opponent]])-1)),CHOOSE({1,2},[1]StandingsRAW!$J$1:$J$22,[1]StandingsRAW!$L$1:$L$22),2,FALSE)</f>
        <v>EC</v>
      </c>
      <c r="J92" s="35">
        <f>VLOOKUP(Table24[[#This Row],[OPP]],Raw!$L$2:$S$23,7,FALSE)-Raw!$U$2</f>
        <v>1.1143270057026795</v>
      </c>
    </row>
    <row r="93" spans="1:10" x14ac:dyDescent="0.25">
      <c r="A93" s="31" t="s">
        <v>466</v>
      </c>
      <c r="B93" s="31" t="s">
        <v>192</v>
      </c>
      <c r="C93" s="31" t="s">
        <v>72</v>
      </c>
      <c r="D93" s="31" t="str">
        <f>IF(LEFT(LAC!$B93,1)="@","Away","Home")</f>
        <v>Away</v>
      </c>
      <c r="E93" s="39">
        <f>_xlfn.NUMBERVALUE(MID(LEFT(LAC!$C93,FIND("-",LAC!$C93)-1),FIND(" ",LAC!$C93)+1,LEN(LAC!$C93)))</f>
        <v>12</v>
      </c>
      <c r="F93" s="40">
        <f>_xlfn.NUMBERVALUE(RIGHT(LAC!$C93,LEN(LAC!$C93)-FIND("-",LAC!$C93)))</f>
        <v>3</v>
      </c>
      <c r="G93" s="40">
        <f t="shared" si="12"/>
        <v>15</v>
      </c>
      <c r="H93" s="41" t="str">
        <f>LEFT(LAC!$C93,1)</f>
        <v>W</v>
      </c>
      <c r="I93" s="34" t="str">
        <f>VLOOKUP(IF(Table24[[#This Row],[At]]="Home",Table24[[#This Row],[Opponent]],RIGHT(Table24[[#This Row],[Opponent]],LEN(Table24[[#This Row],[Opponent]])-1)),CHOOSE({1,2},[1]StandingsRAW!$J$1:$J$22,[1]StandingsRAW!$L$1:$L$22),2,FALSE)</f>
        <v>WAT</v>
      </c>
      <c r="J93" s="35">
        <f>VLOOKUP(Table24[[#This Row],[OPP]],Raw!$L$2:$S$23,7,FALSE)-Raw!$U$2</f>
        <v>-3.3415553472384971</v>
      </c>
    </row>
    <row r="94" spans="1:10" x14ac:dyDescent="0.25">
      <c r="A94" s="31" t="s">
        <v>467</v>
      </c>
      <c r="B94" s="31" t="s">
        <v>192</v>
      </c>
      <c r="C94" s="31" t="s">
        <v>18</v>
      </c>
      <c r="D94" s="31" t="str">
        <f>IF(LEFT(LAC!$B94,1)="@","Away","Home")</f>
        <v>Away</v>
      </c>
      <c r="E94" s="39">
        <f>_xlfn.NUMBERVALUE(MID(LEFT(LAC!$C94,FIND("-",LAC!$C94)-1),FIND(" ",LAC!$C94)+1,LEN(LAC!$C94)))</f>
        <v>8</v>
      </c>
      <c r="F94" s="40">
        <f>_xlfn.NUMBERVALUE(RIGHT(LAC!$C94,LEN(LAC!$C94)-FIND("-",LAC!$C94)))</f>
        <v>9</v>
      </c>
      <c r="G94" s="40">
        <f t="shared" si="12"/>
        <v>17</v>
      </c>
      <c r="H94" s="41" t="str">
        <f>LEFT(LAC!$C94,1)</f>
        <v>L</v>
      </c>
      <c r="I94" s="34" t="str">
        <f>VLOOKUP(IF(Table24[[#This Row],[At]]="Home",Table24[[#This Row],[Opponent]],RIGHT(Table24[[#This Row],[Opponent]],LEN(Table24[[#This Row],[Opponent]])-1)),CHOOSE({1,2},[1]StandingsRAW!$J$1:$J$22,[1]StandingsRAW!$L$1:$L$22),2,FALSE)</f>
        <v>WAT</v>
      </c>
      <c r="J94" s="35">
        <f>VLOOKUP(Table24[[#This Row],[OPP]],Raw!$L$2:$S$23,7,FALSE)-Raw!$U$2</f>
        <v>-3.3415553472384971</v>
      </c>
    </row>
    <row r="95" spans="1:10" x14ac:dyDescent="0.25">
      <c r="A95" s="26" t="s">
        <v>468</v>
      </c>
      <c r="B95" s="26" t="s">
        <v>225</v>
      </c>
      <c r="C95" s="26" t="s">
        <v>417</v>
      </c>
      <c r="D95" s="26" t="str">
        <f>IF(LEFT(LAC!$B95,1)="@","Away","Home")</f>
        <v>Home</v>
      </c>
      <c r="E95" s="42">
        <f>_xlfn.NUMBERVALUE(MID(LEFT(LAC!$C95,FIND("-",LAC!$C95)-1),FIND(" ",LAC!$C95)+1,LEN(LAC!$C95)))</f>
        <v>15</v>
      </c>
      <c r="F95" s="43">
        <f>_xlfn.NUMBERVALUE(RIGHT(LAC!$C95,LEN(LAC!$C95)-FIND("-",LAC!$C95)))</f>
        <v>2</v>
      </c>
      <c r="G95" s="43">
        <f t="shared" si="12"/>
        <v>17</v>
      </c>
      <c r="H95" s="44" t="str">
        <f>LEFT(LAC!$C95,1)</f>
        <v>W</v>
      </c>
      <c r="I95" s="34" t="str">
        <f>VLOOKUP(IF(Table24[[#This Row],[At]]="Home",Table24[[#This Row],[Opponent]],RIGHT(Table24[[#This Row],[Opponent]],LEN(Table24[[#This Row],[Opponent]])-1)),CHOOSE({1,2},[1]StandingsRAW!$J$1:$J$22,[1]StandingsRAW!$L$1:$L$22),2,FALSE)</f>
        <v>DUL</v>
      </c>
      <c r="J95" s="35">
        <f>VLOOKUP(Table24[[#This Row],[OPP]],Raw!$L$2:$S$23,7,FALSE)-Raw!$U$2</f>
        <v>-0.37645438147905891</v>
      </c>
    </row>
    <row r="96" spans="1:10" x14ac:dyDescent="0.25">
      <c r="A96" s="31" t="s">
        <v>498</v>
      </c>
      <c r="B96" s="31" t="s">
        <v>225</v>
      </c>
      <c r="C96" s="31" t="s">
        <v>77</v>
      </c>
      <c r="D96" s="31" t="str">
        <f>IF(LEFT(LAC!$B96,1)="@","Away","Home")</f>
        <v>Home</v>
      </c>
      <c r="E96" s="39">
        <f>_xlfn.NUMBERVALUE(MID(LEFT(LAC!$C96,FIND("-",LAC!$C96)-1),FIND(" ",LAC!$C96)+1,LEN(LAC!$C96)))</f>
        <v>1</v>
      </c>
      <c r="F96" s="40">
        <f>_xlfn.NUMBERVALUE(RIGHT(LAC!$C96,LEN(LAC!$C96)-FIND("-",LAC!$C96)))</f>
        <v>9</v>
      </c>
      <c r="G96" s="40">
        <f t="shared" ref="G96:G98" si="13">E96+F96</f>
        <v>10</v>
      </c>
      <c r="H96" s="41" t="str">
        <f>LEFT(LAC!$C96,1)</f>
        <v>L</v>
      </c>
      <c r="I96" s="34" t="str">
        <f>VLOOKUP(IF(Table24[[#This Row],[At]]="Home",Table24[[#This Row],[Opponent]],RIGHT(Table24[[#This Row],[Opponent]],LEN(Table24[[#This Row],[Opponent]])-1)),CHOOSE({1,2},[1]StandingsRAW!$J$1:$J$22,[1]StandingsRAW!$L$1:$L$22),2,FALSE)</f>
        <v>DUL</v>
      </c>
      <c r="J96" s="35">
        <f>VLOOKUP(Table24[[#This Row],[OPP]],Raw!$L$2:$S$23,7,FALSE)-Raw!$U$2</f>
        <v>-0.37645438147905891</v>
      </c>
    </row>
    <row r="97" spans="1:10" x14ac:dyDescent="0.25">
      <c r="A97" t="s">
        <v>499</v>
      </c>
      <c r="B97" t="s">
        <v>206</v>
      </c>
      <c r="C97" t="s">
        <v>46</v>
      </c>
      <c r="D97" t="str">
        <f>IF(LEFT(LAC!$B97,1)="@","Away","Home")</f>
        <v>Away</v>
      </c>
      <c r="E97" s="1">
        <f>_xlfn.NUMBERVALUE(MID(LEFT(LAC!$C97,FIND("-",LAC!$C97)-1),FIND(" ",LAC!$C97)+1,LEN(LAC!$C97)))</f>
        <v>6</v>
      </c>
      <c r="F97" s="3">
        <f>_xlfn.NUMBERVALUE(RIGHT(LAC!$C97,LEN(LAC!$C97)-FIND("-",LAC!$C97)))</f>
        <v>8</v>
      </c>
      <c r="G97" s="3">
        <f t="shared" si="13"/>
        <v>14</v>
      </c>
      <c r="H97" s="84" t="str">
        <f>LEFT(LAC!$C97,1)</f>
        <v>L</v>
      </c>
      <c r="I97" s="34" t="str">
        <f>VLOOKUP(IF(Table24[[#This Row],[At]]="Home",Table24[[#This Row],[Opponent]],RIGHT(Table24[[#This Row],[Opponent]],LEN(Table24[[#This Row],[Opponent]])-1)),CHOOSE({1,2},[1]StandingsRAW!$J$1:$J$22,[1]StandingsRAW!$L$1:$L$22),2,FALSE)</f>
        <v>MAN</v>
      </c>
      <c r="J97" s="35">
        <f>VLOOKUP(Table24[[#This Row],[OPP]],Raw!$L$2:$S$23,7,FALSE)-Raw!$U$2</f>
        <v>0.73197406452620895</v>
      </c>
    </row>
    <row r="98" spans="1:10" x14ac:dyDescent="0.25">
      <c r="A98" t="s">
        <v>500</v>
      </c>
      <c r="B98" t="s">
        <v>206</v>
      </c>
      <c r="C98" t="s">
        <v>28</v>
      </c>
      <c r="D98" t="str">
        <f>IF(LEFT(LAC!$B98,1)="@","Away","Home")</f>
        <v>Away</v>
      </c>
      <c r="E98" s="1">
        <f>_xlfn.NUMBERVALUE(MID(LEFT(LAC!$C98,FIND("-",LAC!$C98)-1),FIND(" ",LAC!$C98)+1,LEN(LAC!$C98)))</f>
        <v>4</v>
      </c>
      <c r="F98" s="3">
        <f>_xlfn.NUMBERVALUE(RIGHT(LAC!$C98,LEN(LAC!$C98)-FIND("-",LAC!$C98)))</f>
        <v>2</v>
      </c>
      <c r="G98" s="3">
        <f t="shared" si="13"/>
        <v>6</v>
      </c>
      <c r="H98" s="84" t="str">
        <f>LEFT(LAC!$C98,1)</f>
        <v>W</v>
      </c>
      <c r="I98" s="34" t="str">
        <f>VLOOKUP(IF(Table24[[#This Row],[At]]="Home",Table24[[#This Row],[Opponent]],RIGHT(Table24[[#This Row],[Opponent]],LEN(Table24[[#This Row],[Opponent]])-1)),CHOOSE({1,2},[1]StandingsRAW!$J$1:$J$22,[1]StandingsRAW!$L$1:$L$22),2,FALSE)</f>
        <v>MAN</v>
      </c>
      <c r="J98" s="35">
        <f>VLOOKUP(Table24[[#This Row],[OPP]],Raw!$L$2:$S$23,7,FALSE)-Raw!$U$2</f>
        <v>0.73197406452620895</v>
      </c>
    </row>
    <row r="99" spans="1:10" x14ac:dyDescent="0.25">
      <c r="A99" s="31" t="s">
        <v>501</v>
      </c>
      <c r="B99" s="31" t="s">
        <v>194</v>
      </c>
      <c r="C99" s="31" t="s">
        <v>48</v>
      </c>
      <c r="D99" s="31" t="str">
        <f>IF(LEFT(LAC!$B99,1)="@","Away","Home")</f>
        <v>Away</v>
      </c>
      <c r="E99" s="39">
        <f>_xlfn.NUMBERVALUE(MID(LEFT(LAC!$C99,FIND("-",LAC!$C99)-1),FIND(" ",LAC!$C99)+1,LEN(LAC!$C99)))</f>
        <v>4</v>
      </c>
      <c r="F99" s="40">
        <f>_xlfn.NUMBERVALUE(RIGHT(LAC!$C99,LEN(LAC!$C99)-FIND("-",LAC!$C99)))</f>
        <v>5</v>
      </c>
      <c r="G99" s="40">
        <f t="shared" ref="G99:G100" si="14">E99+F99</f>
        <v>9</v>
      </c>
      <c r="H99" s="41" t="str">
        <f>LEFT(LAC!$C99,1)</f>
        <v>L</v>
      </c>
      <c r="I99" t="str">
        <f>VLOOKUP(IF(Table24[[#This Row],[At]]="Home",Table24[[#This Row],[Opponent]],RIGHT(Table24[[#This Row],[Opponent]],LEN(Table24[[#This Row],[Opponent]])-1)),CHOOSE({1,2},[1]StandingsRAW!$J$1:$J$22,[1]StandingsRAW!$L$1:$L$22),2,FALSE)</f>
        <v>EC</v>
      </c>
      <c r="J99">
        <f>VLOOKUP(Table24[[#This Row],[OPP]],Raw!$L$2:$S$23,7,FALSE)-Raw!$U$2</f>
        <v>1.1143270057026795</v>
      </c>
    </row>
    <row r="100" spans="1:10" x14ac:dyDescent="0.25">
      <c r="A100" t="s">
        <v>502</v>
      </c>
      <c r="B100" t="s">
        <v>235</v>
      </c>
      <c r="C100" t="s">
        <v>323</v>
      </c>
      <c r="D100" t="str">
        <f>IF(LEFT(LAC!$B100,1)="@","Away","Home")</f>
        <v>Home</v>
      </c>
      <c r="E100" s="1">
        <f>_xlfn.NUMBERVALUE(MID(LEFT(LAC!$C100,FIND("-",LAC!$C100)-1),FIND(" ",LAC!$C100)+1,LEN(LAC!$C100)))</f>
        <v>7</v>
      </c>
      <c r="F100" s="3">
        <f>_xlfn.NUMBERVALUE(RIGHT(LAC!$C100,LEN(LAC!$C100)-FIND("-",LAC!$C100)))</f>
        <v>6</v>
      </c>
      <c r="G100" s="3">
        <f t="shared" si="14"/>
        <v>13</v>
      </c>
      <c r="H100" s="84" t="str">
        <f>LEFT(LAC!$C100,1)</f>
        <v>W</v>
      </c>
      <c r="I100" t="str">
        <f>VLOOKUP(IF(Table24[[#This Row],[At]]="Home",Table24[[#This Row],[Opponent]],RIGHT(Table24[[#This Row],[Opponent]],LEN(Table24[[#This Row],[Opponent]])-1)),CHOOSE({1,2},[1]StandingsRAW!$J$1:$J$22,[1]StandingsRAW!$L$1:$L$22),2,FALSE)</f>
        <v>EC</v>
      </c>
      <c r="J100">
        <f>VLOOKUP(Table24[[#This Row],[OPP]],Raw!$L$2:$S$23,7,FALSE)-Raw!$U$2</f>
        <v>1.1143270057026795</v>
      </c>
    </row>
    <row r="101" spans="1:10" x14ac:dyDescent="0.25">
      <c r="A101" s="31" t="s">
        <v>505</v>
      </c>
      <c r="B101" s="31" t="s">
        <v>201</v>
      </c>
      <c r="C101" s="31" t="s">
        <v>297</v>
      </c>
      <c r="D101" s="31" t="str">
        <f>IF(LEFT(LAC!$B101,1)="@","Away","Home")</f>
        <v>Away</v>
      </c>
      <c r="E101" s="39">
        <f>_xlfn.NUMBERVALUE(MID(LEFT(LAC!$C101,FIND("-",LAC!$C101)-1),FIND(" ",LAC!$C101)+1,LEN(LAC!$C101)))</f>
        <v>2</v>
      </c>
      <c r="F101" s="40">
        <f>_xlfn.NUMBERVALUE(RIGHT(LAC!$C101,LEN(LAC!$C101)-FIND("-",LAC!$C101)))</f>
        <v>10</v>
      </c>
      <c r="G101" s="40">
        <f>E101+F101</f>
        <v>12</v>
      </c>
      <c r="H101" s="41" t="str">
        <f>LEFT(LAC!$C101,1)</f>
        <v>L</v>
      </c>
      <c r="I101" t="str">
        <f>VLOOKUP(IF(Table24[[#This Row],[At]]="Home",Table24[[#This Row],[Opponent]],RIGHT(Table24[[#This Row],[Opponent]],LEN(Table24[[#This Row],[Opponent]])-1)),CHOOSE({1,2},[1]StandingsRAW!$J$1:$J$22,[1]StandingsRAW!$L$1:$L$22),2,FALSE)</f>
        <v>STC</v>
      </c>
      <c r="J101">
        <f>VLOOKUP(Table24[[#This Row],[OPP]],Raw!$L$2:$S$23,7,FALSE)-Raw!$U$2</f>
        <v>2.5702093586438561</v>
      </c>
    </row>
    <row r="102" spans="1:10" x14ac:dyDescent="0.25">
      <c r="A102" s="31" t="s">
        <v>508</v>
      </c>
      <c r="B102" s="31" t="s">
        <v>201</v>
      </c>
      <c r="C102" s="31" t="s">
        <v>298</v>
      </c>
      <c r="D102" s="31" t="str">
        <f>IF(LEFT(LAC!$B102,1)="@","Away","Home")</f>
        <v>Away</v>
      </c>
      <c r="E102" s="39">
        <f>_xlfn.NUMBERVALUE(MID(LEFT(LAC!$C102,FIND("-",LAC!$C102)-1),FIND(" ",LAC!$C102)+1,LEN(LAC!$C102)))</f>
        <v>1</v>
      </c>
      <c r="F102" s="40">
        <f>_xlfn.NUMBERVALUE(RIGHT(LAC!$C102,LEN(LAC!$C102)-FIND("-",LAC!$C102)))</f>
        <v>2</v>
      </c>
      <c r="G102" s="40">
        <f>E102+F102</f>
        <v>3</v>
      </c>
      <c r="H102" s="41" t="str">
        <f>LEFT(LAC!$C102,1)</f>
        <v>L</v>
      </c>
      <c r="I102" t="str">
        <f>VLOOKUP(IF(Table24[[#This Row],[At]]="Home",Table24[[#This Row],[Opponent]],RIGHT(Table24[[#This Row],[Opponent]],LEN(Table24[[#This Row],[Opponent]])-1)),CHOOSE({1,2},[1]StandingsRAW!$J$1:$J$22,[1]StandingsRAW!$L$1:$L$22),2,FALSE)</f>
        <v>STC</v>
      </c>
      <c r="J102">
        <f>VLOOKUP(Table24[[#This Row],[OPP]],Raw!$L$2:$S$23,7,FALSE)-Raw!$U$2</f>
        <v>2.5702093586438561</v>
      </c>
    </row>
    <row r="103" spans="1:10" x14ac:dyDescent="0.25">
      <c r="A103" s="31" t="s">
        <v>515</v>
      </c>
      <c r="B103" s="31" t="s">
        <v>225</v>
      </c>
      <c r="C103" s="31" t="s">
        <v>113</v>
      </c>
      <c r="D103" s="31" t="str">
        <f>IF(LEFT(LAC!$B103,1)="@","Away","Home")</f>
        <v>Home</v>
      </c>
      <c r="E103" s="39">
        <f>_xlfn.NUMBERVALUE(MID(LEFT(LAC!$C103,FIND("-",LAC!$C103)-1),FIND(" ",LAC!$C103)+1,LEN(LAC!$C103)))</f>
        <v>7</v>
      </c>
      <c r="F103" s="40">
        <f>_xlfn.NUMBERVALUE(RIGHT(LAC!$C103,LEN(LAC!$C103)-FIND("-",LAC!$C103)))</f>
        <v>9</v>
      </c>
      <c r="G103" s="40">
        <f>E103+F103</f>
        <v>16</v>
      </c>
      <c r="H103" s="41" t="str">
        <f>LEFT(LAC!$C103,1)</f>
        <v>L</v>
      </c>
      <c r="I103" t="str">
        <f>VLOOKUP(IF(Table24[[#This Row],[At]]="Home",Table24[[#This Row],[Opponent]],RIGHT(Table24[[#This Row],[Opponent]],LEN(Table24[[#This Row],[Opponent]])-1)),CHOOSE({1,2},[1]StandingsRAW!$J$1:$J$22,[1]StandingsRAW!$L$1:$L$22),2,FALSE)</f>
        <v>DUL</v>
      </c>
      <c r="J103">
        <f>VLOOKUP(Table24[[#This Row],[OPP]],Raw!$L$2:$S$23,7,FALSE)-Raw!$U$2</f>
        <v>-0.37645438147905891</v>
      </c>
    </row>
    <row r="104" spans="1:10" x14ac:dyDescent="0.25">
      <c r="A104" s="31" t="s">
        <v>518</v>
      </c>
      <c r="B104" s="31" t="s">
        <v>225</v>
      </c>
      <c r="C104" s="31" t="s">
        <v>125</v>
      </c>
      <c r="D104" s="31" t="str">
        <f>IF(LEFT(LAC!$B104,1)="@","Away","Home")</f>
        <v>Home</v>
      </c>
      <c r="E104" s="39">
        <f>_xlfn.NUMBERVALUE(MID(LEFT(LAC!$C104,FIND("-",LAC!$C104)-1),FIND(" ",LAC!$C104)+1,LEN(LAC!$C104)))</f>
        <v>0</v>
      </c>
      <c r="F104" s="40">
        <f>_xlfn.NUMBERVALUE(RIGHT(LAC!$C104,LEN(LAC!$C104)-FIND("-",LAC!$C104)))</f>
        <v>4</v>
      </c>
      <c r="G104" s="40">
        <f t="shared" ref="G104:G107" si="15">E104+F104</f>
        <v>4</v>
      </c>
      <c r="H104" s="41" t="str">
        <f>LEFT(LAC!$C104,1)</f>
        <v>L</v>
      </c>
      <c r="I104" t="str">
        <f>VLOOKUP(IF(Table24[[#This Row],[At]]="Home",Table24[[#This Row],[Opponent]],RIGHT(Table24[[#This Row],[Opponent]],LEN(Table24[[#This Row],[Opponent]])-1)),CHOOSE({1,2},[1]StandingsRAW!$J$1:$J$22,[1]StandingsRAW!$L$1:$L$22),2,FALSE)</f>
        <v>DUL</v>
      </c>
      <c r="J104">
        <f>VLOOKUP(Table24[[#This Row],[OPP]],Raw!$L$2:$S$23,7,FALSE)-Raw!$U$2</f>
        <v>-0.37645438147905891</v>
      </c>
    </row>
    <row r="105" spans="1:10" x14ac:dyDescent="0.25">
      <c r="A105" t="s">
        <v>519</v>
      </c>
      <c r="B105" t="s">
        <v>263</v>
      </c>
      <c r="C105" t="s">
        <v>401</v>
      </c>
      <c r="D105" t="str">
        <f>IF(LEFT(LAC!$B105,1)="@","Away","Home")</f>
        <v>Home</v>
      </c>
      <c r="E105" s="1">
        <f>_xlfn.NUMBERVALUE(MID(LEFT(LAC!$C105,FIND("-",LAC!$C105)-1),FIND(" ",LAC!$C105)+1,LEN(LAC!$C105)))</f>
        <v>11</v>
      </c>
      <c r="F105" s="3">
        <f>_xlfn.NUMBERVALUE(RIGHT(LAC!$C105,LEN(LAC!$C105)-FIND("-",LAC!$C105)))</f>
        <v>8</v>
      </c>
      <c r="G105" s="3">
        <f t="shared" si="15"/>
        <v>19</v>
      </c>
      <c r="H105" s="84" t="str">
        <f>LEFT(LAC!$C105,1)</f>
        <v>W</v>
      </c>
      <c r="I105" t="str">
        <f>VLOOKUP(IF(Table24[[#This Row],[At]]="Home",Table24[[#This Row],[Opponent]],RIGHT(Table24[[#This Row],[Opponent]],LEN(Table24[[#This Row],[Opponent]])-1)),CHOOSE({1,2},[1]StandingsRAW!$J$1:$J$22,[1]StandingsRAW!$L$1:$L$22),2,FALSE)</f>
        <v>ROC</v>
      </c>
      <c r="J105">
        <f>VLOOKUP(Table24[[#This Row],[OPP]],Raw!$L$2:$S$23,7,FALSE)-Raw!$U$2</f>
        <v>-0.20920240606202639</v>
      </c>
    </row>
    <row r="106" spans="1:10" x14ac:dyDescent="0.25">
      <c r="A106" t="s">
        <v>520</v>
      </c>
      <c r="B106" t="s">
        <v>210</v>
      </c>
      <c r="C106" t="s">
        <v>246</v>
      </c>
      <c r="D106" t="str">
        <f>IF(LEFT(LAC!$B106,1)="@","Away","Home")</f>
        <v>Away</v>
      </c>
      <c r="E106" s="1">
        <f>_xlfn.NUMBERVALUE(MID(LEFT(LAC!$C106,FIND("-",LAC!$C106)-1),FIND(" ",LAC!$C106)+1,LEN(LAC!$C106)))</f>
        <v>4</v>
      </c>
      <c r="F106" s="3">
        <f>_xlfn.NUMBERVALUE(RIGHT(LAC!$C106,LEN(LAC!$C106)-FIND("-",LAC!$C106)))</f>
        <v>6</v>
      </c>
      <c r="G106" s="3">
        <f t="shared" si="15"/>
        <v>10</v>
      </c>
      <c r="H106" s="84" t="str">
        <f>LEFT(LAC!$C106,1)</f>
        <v>L</v>
      </c>
      <c r="I106" t="str">
        <f>VLOOKUP(IF(Table24[[#This Row],[At]]="Home",Table24[[#This Row],[Opponent]],RIGHT(Table24[[#This Row],[Opponent]],LEN(Table24[[#This Row],[Opponent]])-1)),CHOOSE({1,2},[1]StandingsRAW!$J$1:$J$22,[1]StandingsRAW!$L$1:$L$22),2,FALSE)</f>
        <v>ROC</v>
      </c>
      <c r="J106">
        <f>VLOOKUP(Table24[[#This Row],[OPP]],Raw!$L$2:$S$23,7,FALSE)-Raw!$U$2</f>
        <v>-0.20920240606202639</v>
      </c>
    </row>
    <row r="107" spans="1:10" x14ac:dyDescent="0.25">
      <c r="A107" t="s">
        <v>521</v>
      </c>
      <c r="B107" t="s">
        <v>258</v>
      </c>
      <c r="C107" t="s">
        <v>226</v>
      </c>
      <c r="D107" t="str">
        <f>IF(LEFT(LAC!$B107,1)="@","Away","Home")</f>
        <v>Home</v>
      </c>
      <c r="E107" s="1">
        <f>_xlfn.NUMBERVALUE(MID(LEFT(LAC!$C107,FIND("-",LAC!$C107)-1),FIND(" ",LAC!$C107)+1,LEN(LAC!$C107)))</f>
        <v>3</v>
      </c>
      <c r="F107" s="3">
        <f>_xlfn.NUMBERVALUE(RIGHT(LAC!$C107,LEN(LAC!$C107)-FIND("-",LAC!$C107)))</f>
        <v>2</v>
      </c>
      <c r="G107" s="3">
        <f t="shared" si="15"/>
        <v>5</v>
      </c>
      <c r="H107" s="84" t="str">
        <f>LEFT(LAC!$C107,1)</f>
        <v>W</v>
      </c>
      <c r="I107" t="str">
        <f>VLOOKUP(IF(Table24[[#This Row],[At]]="Home",Table24[[#This Row],[Opponent]],RIGHT(Table24[[#This Row],[Opponent]],LEN(Table24[[#This Row],[Opponent]])-1)),CHOOSE({1,2},[1]StandingsRAW!$J$1:$J$22,[1]StandingsRAW!$L$1:$L$22),2,FALSE)</f>
        <v>WAT</v>
      </c>
      <c r="J107">
        <f>VLOOKUP(Table24[[#This Row],[OPP]],Raw!$L$2:$S$23,7,FALSE)-Raw!$U$2</f>
        <v>-3.3415553472384971</v>
      </c>
    </row>
    <row r="108" spans="1:10" x14ac:dyDescent="0.25">
      <c r="A108" s="31" t="s">
        <v>524</v>
      </c>
      <c r="B108" s="31" t="s">
        <v>258</v>
      </c>
      <c r="C108" s="31" t="s">
        <v>274</v>
      </c>
      <c r="D108" s="31" t="str">
        <f>IF(LEFT(LAC!$B108,1)="@","Away","Home")</f>
        <v>Home</v>
      </c>
      <c r="E108" s="39">
        <f>_xlfn.NUMBERVALUE(MID(LEFT(LAC!$C108,FIND("-",LAC!$C108)-1),FIND(" ",LAC!$C108)+1,LEN(LAC!$C108)))</f>
        <v>9</v>
      </c>
      <c r="F108" s="40">
        <f>_xlfn.NUMBERVALUE(RIGHT(LAC!$C108,LEN(LAC!$C108)-FIND("-",LAC!$C108)))</f>
        <v>10</v>
      </c>
      <c r="G108" s="40">
        <f t="shared" ref="G108:G114" si="16">E108+F108</f>
        <v>19</v>
      </c>
      <c r="H108" s="41" t="str">
        <f>LEFT(LAC!$C108,1)</f>
        <v>L</v>
      </c>
      <c r="I108" t="str">
        <f>VLOOKUP(IF(Table24[[#This Row],[At]]="Home",Table24[[#This Row],[Opponent]],RIGHT(Table24[[#This Row],[Opponent]],LEN(Table24[[#This Row],[Opponent]])-1)),CHOOSE({1,2},[1]StandingsRAW!$J$1:$J$22,[1]StandingsRAW!$L$1:$L$22),2,FALSE)</f>
        <v>WAT</v>
      </c>
      <c r="J108">
        <f>VLOOKUP(Table24[[#This Row],[OPP]],Raw!$L$2:$S$23,7,FALSE)-Raw!$U$2</f>
        <v>-3.3415553472384971</v>
      </c>
    </row>
    <row r="109" spans="1:10" x14ac:dyDescent="0.25">
      <c r="A109" t="s">
        <v>525</v>
      </c>
      <c r="B109" t="s">
        <v>198</v>
      </c>
      <c r="C109" t="s">
        <v>282</v>
      </c>
      <c r="D109" t="str">
        <f>IF(LEFT(LAC!$B109,1)="@","Away","Home")</f>
        <v>Away</v>
      </c>
      <c r="E109" s="1">
        <f>_xlfn.NUMBERVALUE(MID(LEFT(LAC!$C109,FIND("-",LAC!$C109)-1),FIND(" ",LAC!$C109)+1,LEN(LAC!$C109)))</f>
        <v>6</v>
      </c>
      <c r="F109" s="3">
        <f>_xlfn.NUMBERVALUE(RIGHT(LAC!$C109,LEN(LAC!$C109)-FIND("-",LAC!$C109)))</f>
        <v>0</v>
      </c>
      <c r="G109" s="3">
        <f t="shared" si="16"/>
        <v>6</v>
      </c>
      <c r="H109" s="84" t="str">
        <f>LEFT(LAC!$C109,1)</f>
        <v>W</v>
      </c>
      <c r="I109" t="str">
        <f>VLOOKUP(IF(Table24[[#This Row],[At]]="Home",Table24[[#This Row],[Opponent]],RIGHT(Table24[[#This Row],[Opponent]],LEN(Table24[[#This Row],[Opponent]])-1)),CHOOSE({1,2},[1]StandingsRAW!$J$1:$J$22,[1]StandingsRAW!$L$1:$L$22),2,FALSE)</f>
        <v>DUL</v>
      </c>
      <c r="J109">
        <f>VLOOKUP(Table24[[#This Row],[OPP]],Raw!$L$2:$S$23,7,FALSE)-Raw!$U$2</f>
        <v>-0.37645438147905891</v>
      </c>
    </row>
    <row r="110" spans="1:10" x14ac:dyDescent="0.25">
      <c r="A110" t="s">
        <v>526</v>
      </c>
      <c r="B110" t="s">
        <v>198</v>
      </c>
      <c r="C110" t="s">
        <v>234</v>
      </c>
      <c r="D110" t="str">
        <f>IF(LEFT(LAC!$B110,1)="@","Away","Home")</f>
        <v>Away</v>
      </c>
      <c r="E110" s="1">
        <f>_xlfn.NUMBERVALUE(MID(LEFT(LAC!$C110,FIND("-",LAC!$C110)-1),FIND(" ",LAC!$C110)+1,LEN(LAC!$C110)))</f>
        <v>2</v>
      </c>
      <c r="F110" s="3">
        <f>_xlfn.NUMBERVALUE(RIGHT(LAC!$C110,LEN(LAC!$C110)-FIND("-",LAC!$C110)))</f>
        <v>5</v>
      </c>
      <c r="G110" s="3">
        <f t="shared" si="16"/>
        <v>7</v>
      </c>
      <c r="H110" s="84" t="str">
        <f>LEFT(LAC!$C110,1)</f>
        <v>L</v>
      </c>
      <c r="I110" t="str">
        <f>VLOOKUP(IF(Table24[[#This Row],[At]]="Home",Table24[[#This Row],[Opponent]],RIGHT(Table24[[#This Row],[Opponent]],LEN(Table24[[#This Row],[Opponent]])-1)),CHOOSE({1,2},[1]StandingsRAW!$J$1:$J$22,[1]StandingsRAW!$L$1:$L$22),2,FALSE)</f>
        <v>DUL</v>
      </c>
      <c r="J110">
        <f>VLOOKUP(Table24[[#This Row],[OPP]],Raw!$L$2:$S$23,7,FALSE)-Raw!$U$2</f>
        <v>-0.37645438147905891</v>
      </c>
    </row>
    <row r="111" spans="1:10" x14ac:dyDescent="0.25">
      <c r="A111" t="s">
        <v>527</v>
      </c>
      <c r="B111" t="s">
        <v>210</v>
      </c>
      <c r="C111" t="s">
        <v>18</v>
      </c>
      <c r="D111" t="str">
        <f>IF(LEFT(LAC!$B111,1)="@","Away","Home")</f>
        <v>Away</v>
      </c>
      <c r="E111" s="1">
        <f>_xlfn.NUMBERVALUE(MID(LEFT(LAC!$C111,FIND("-",LAC!$C111)-1),FIND(" ",LAC!$C111)+1,LEN(LAC!$C111)))</f>
        <v>8</v>
      </c>
      <c r="F111" s="3">
        <f>_xlfn.NUMBERVALUE(RIGHT(LAC!$C111,LEN(LAC!$C111)-FIND("-",LAC!$C111)))</f>
        <v>9</v>
      </c>
      <c r="G111" s="3">
        <f t="shared" si="16"/>
        <v>17</v>
      </c>
      <c r="H111" s="84" t="str">
        <f>LEFT(LAC!$C111,1)</f>
        <v>L</v>
      </c>
      <c r="I111" t="str">
        <f>VLOOKUP(IF(Table24[[#This Row],[At]]="Home",Table24[[#This Row],[Opponent]],RIGHT(Table24[[#This Row],[Opponent]],LEN(Table24[[#This Row],[Opponent]])-1)),CHOOSE({1,2},[1]StandingsRAW!$J$1:$J$22,[1]StandingsRAW!$L$1:$L$22),2,FALSE)</f>
        <v>ROC</v>
      </c>
      <c r="J111">
        <f>VLOOKUP(Table24[[#This Row],[OPP]],Raw!$L$2:$S$23,7,FALSE)-Raw!$U$2</f>
        <v>-0.20920240606202639</v>
      </c>
    </row>
    <row r="112" spans="1:10" x14ac:dyDescent="0.25">
      <c r="A112" t="s">
        <v>528</v>
      </c>
      <c r="B112" t="s">
        <v>263</v>
      </c>
      <c r="C112" t="s">
        <v>326</v>
      </c>
      <c r="D112" t="str">
        <f>IF(LEFT(LAC!$B112,1)="@","Away","Home")</f>
        <v>Home</v>
      </c>
      <c r="E112" s="1">
        <f>_xlfn.NUMBERVALUE(MID(LEFT(LAC!$C112,FIND("-",LAC!$C112)-1),FIND(" ",LAC!$C112)+1,LEN(LAC!$C112)))</f>
        <v>10</v>
      </c>
      <c r="F112" s="3">
        <f>_xlfn.NUMBERVALUE(RIGHT(LAC!$C112,LEN(LAC!$C112)-FIND("-",LAC!$C112)))</f>
        <v>9</v>
      </c>
      <c r="G112" s="3">
        <f t="shared" si="16"/>
        <v>19</v>
      </c>
      <c r="H112" s="84" t="str">
        <f>LEFT(LAC!$C112,1)</f>
        <v>W</v>
      </c>
      <c r="I112" t="str">
        <f>VLOOKUP(IF(Table24[[#This Row],[At]]="Home",Table24[[#This Row],[Opponent]],RIGHT(Table24[[#This Row],[Opponent]],LEN(Table24[[#This Row],[Opponent]])-1)),CHOOSE({1,2},[1]StandingsRAW!$J$1:$J$22,[1]StandingsRAW!$L$1:$L$22),2,FALSE)</f>
        <v>ROC</v>
      </c>
      <c r="J112">
        <f>VLOOKUP(Table24[[#This Row],[OPP]],Raw!$L$2:$S$23,7,FALSE)-Raw!$U$2</f>
        <v>-0.20920240606202639</v>
      </c>
    </row>
    <row r="113" spans="1:10" x14ac:dyDescent="0.25">
      <c r="A113" t="s">
        <v>529</v>
      </c>
      <c r="B113" t="s">
        <v>201</v>
      </c>
      <c r="C113" t="s">
        <v>50</v>
      </c>
      <c r="D113" t="str">
        <f>IF(LEFT(LAC!$B113,1)="@","Away","Home")</f>
        <v>Away</v>
      </c>
      <c r="E113" s="1">
        <f>_xlfn.NUMBERVALUE(MID(LEFT(LAC!$C113,FIND("-",LAC!$C113)-1),FIND(" ",LAC!$C113)+1,LEN(LAC!$C113)))</f>
        <v>3</v>
      </c>
      <c r="F113" s="3">
        <f>_xlfn.NUMBERVALUE(RIGHT(LAC!$C113,LEN(LAC!$C113)-FIND("-",LAC!$C113)))</f>
        <v>4</v>
      </c>
      <c r="G113" s="3">
        <f t="shared" si="16"/>
        <v>7</v>
      </c>
      <c r="H113" s="84" t="str">
        <f>LEFT(LAC!$C113,1)</f>
        <v>L</v>
      </c>
      <c r="I113" t="str">
        <f>VLOOKUP(IF(Table24[[#This Row],[At]]="Home",Table24[[#This Row],[Opponent]],RIGHT(Table24[[#This Row],[Opponent]],LEN(Table24[[#This Row],[Opponent]])-1)),CHOOSE({1,2},[1]StandingsRAW!$J$1:$J$22,[1]StandingsRAW!$L$1:$L$22),2,FALSE)</f>
        <v>STC</v>
      </c>
      <c r="J113">
        <f>VLOOKUP(Table24[[#This Row],[OPP]],Raw!$L$2:$S$23,7,FALSE)-Raw!$U$2</f>
        <v>2.5702093586438561</v>
      </c>
    </row>
    <row r="114" spans="1:10" x14ac:dyDescent="0.25">
      <c r="A114" t="s">
        <v>530</v>
      </c>
      <c r="B114" t="s">
        <v>201</v>
      </c>
      <c r="C114" t="s">
        <v>85</v>
      </c>
      <c r="D114" t="str">
        <f>IF(LEFT(LAC!$B114,1)="@","Away","Home")</f>
        <v>Away</v>
      </c>
      <c r="E114" s="1">
        <f>_xlfn.NUMBERVALUE(MID(LEFT(LAC!$C114,FIND("-",LAC!$C114)-1),FIND(" ",LAC!$C114)+1,LEN(LAC!$C114)))</f>
        <v>5</v>
      </c>
      <c r="F114" s="3">
        <f>_xlfn.NUMBERVALUE(RIGHT(LAC!$C114,LEN(LAC!$C114)-FIND("-",LAC!$C114)))</f>
        <v>3</v>
      </c>
      <c r="G114" s="3">
        <f t="shared" si="16"/>
        <v>8</v>
      </c>
      <c r="H114" s="84" t="str">
        <f>LEFT(LAC!$C114,1)</f>
        <v>W</v>
      </c>
      <c r="I114" t="str">
        <f>VLOOKUP(IF(Table24[[#This Row],[At]]="Home",Table24[[#This Row],[Opponent]],RIGHT(Table24[[#This Row],[Opponent]],LEN(Table24[[#This Row],[Opponent]])-1)),CHOOSE({1,2},[1]StandingsRAW!$J$1:$J$22,[1]StandingsRAW!$L$1:$L$22),2,FALSE)</f>
        <v>STC</v>
      </c>
      <c r="J114">
        <f>VLOOKUP(Table24[[#This Row],[OPP]],Raw!$L$2:$S$23,7,FALSE)-Raw!$U$2</f>
        <v>2.5702093586438561</v>
      </c>
    </row>
    <row r="115" spans="1:10" x14ac:dyDescent="0.25">
      <c r="A115" s="31" t="s">
        <v>541</v>
      </c>
      <c r="B115" s="31" t="s">
        <v>278</v>
      </c>
      <c r="C115" s="31" t="s">
        <v>326</v>
      </c>
      <c r="D115" s="31" t="str">
        <f>IF(LEFT(LAC!$B115,1)="@","Away","Home")</f>
        <v>Home</v>
      </c>
      <c r="E115" s="39">
        <f>_xlfn.NUMBERVALUE(MID(LEFT(LAC!$C115,FIND("-",LAC!$C115)-1),FIND(" ",LAC!$C115)+1,LEN(LAC!$C115)))</f>
        <v>10</v>
      </c>
      <c r="F115" s="40">
        <f>_xlfn.NUMBERVALUE(RIGHT(LAC!$C115,LEN(LAC!$C115)-FIND("-",LAC!$C115)))</f>
        <v>9</v>
      </c>
      <c r="G115" s="40">
        <f>E115+F115</f>
        <v>19</v>
      </c>
      <c r="H115" s="41" t="str">
        <f>LEFT(LAC!$C115,1)</f>
        <v>W</v>
      </c>
      <c r="I115" t="str">
        <f>VLOOKUP(IF(Table24[[#This Row],[At]]="Home",Table24[[#This Row],[Opponent]],RIGHT(Table24[[#This Row],[Opponent]],LEN(Table24[[#This Row],[Opponent]])-1)),CHOOSE({1,2},[1]StandingsRAW!$J$1:$J$22,[1]StandingsRAW!$L$1:$L$22),2,FALSE)</f>
        <v>BIS</v>
      </c>
      <c r="J115">
        <f>VLOOKUP(Table24[[#This Row],[OPP]],Raw!$L$2:$S$23,7,FALSE)-Raw!$U$2</f>
        <v>-1.915084759003203</v>
      </c>
    </row>
    <row r="116" spans="1:10" x14ac:dyDescent="0.25">
      <c r="A116" s="31" t="s">
        <v>542</v>
      </c>
      <c r="B116" s="31" t="s">
        <v>278</v>
      </c>
      <c r="C116" s="31" t="s">
        <v>326</v>
      </c>
      <c r="D116" s="31" t="str">
        <f>IF(LEFT(LAC!$B116,1)="@","Away","Home")</f>
        <v>Home</v>
      </c>
      <c r="E116" s="39">
        <f>_xlfn.NUMBERVALUE(MID(LEFT(LAC!$C116,FIND("-",LAC!$C116)-1),FIND(" ",LAC!$C116)+1,LEN(LAC!$C116)))</f>
        <v>10</v>
      </c>
      <c r="F116" s="40">
        <f>_xlfn.NUMBERVALUE(RIGHT(LAC!$C116,LEN(LAC!$C116)-FIND("-",LAC!$C116)))</f>
        <v>9</v>
      </c>
      <c r="G116" s="40">
        <f>E116+F116</f>
        <v>19</v>
      </c>
      <c r="H116" s="41" t="str">
        <f>LEFT(LAC!$C116,1)</f>
        <v>W</v>
      </c>
      <c r="I116" t="str">
        <f>VLOOKUP(IF(Table24[[#This Row],[At]]="Home",Table24[[#This Row],[Opponent]],RIGHT(Table24[[#This Row],[Opponent]],LEN(Table24[[#This Row],[Opponent]])-1)),CHOOSE({1,2},[1]StandingsRAW!$J$1:$J$22,[1]StandingsRAW!$L$1:$L$22),2,FALSE)</f>
        <v>BIS</v>
      </c>
      <c r="J116">
        <f>VLOOKUP(Table24[[#This Row],[OPP]],Raw!$L$2:$S$23,7,FALSE)-Raw!$U$2</f>
        <v>-1.915084759003203</v>
      </c>
    </row>
    <row r="117" spans="1:10" x14ac:dyDescent="0.25">
      <c r="A117" s="31" t="s">
        <v>543</v>
      </c>
      <c r="B117" s="31" t="s">
        <v>278</v>
      </c>
      <c r="C117" s="31" t="s">
        <v>545</v>
      </c>
      <c r="D117" s="31" t="str">
        <f>IF(LEFT(LAC!$B117,1)="@","Away","Home")</f>
        <v>Home</v>
      </c>
      <c r="E117" s="39">
        <f>_xlfn.NUMBERVALUE(MID(LEFT(LAC!$C117,FIND("-",LAC!$C117)-1),FIND(" ",LAC!$C117)+1,LEN(LAC!$C117)))</f>
        <v>1</v>
      </c>
      <c r="F117" s="40">
        <f>_xlfn.NUMBERVALUE(RIGHT(LAC!$C117,LEN(LAC!$C117)-FIND("-",LAC!$C117)))</f>
        <v>12</v>
      </c>
      <c r="G117" s="40">
        <f>E117+F117</f>
        <v>13</v>
      </c>
      <c r="H117" s="41" t="str">
        <f>LEFT(LAC!$C117,1)</f>
        <v>L</v>
      </c>
      <c r="I117" t="str">
        <f>VLOOKUP(IF(Table24[[#This Row],[At]]="Home",Table24[[#This Row],[Opponent]],RIGHT(Table24[[#This Row],[Opponent]],LEN(Table24[[#This Row],[Opponent]])-1)),CHOOSE({1,2},[1]StandingsRAW!$J$1:$J$22,[1]StandingsRAW!$L$1:$L$22),2,FALSE)</f>
        <v>BIS</v>
      </c>
      <c r="J117">
        <f>VLOOKUP(Table24[[#This Row],[OPP]],Raw!$L$2:$S$23,7,FALSE)-Raw!$U$2</f>
        <v>-1.915084759003203</v>
      </c>
    </row>
    <row r="118" spans="1:10" x14ac:dyDescent="0.25">
      <c r="A118" s="31" t="s">
        <v>546</v>
      </c>
      <c r="B118" s="31" t="s">
        <v>278</v>
      </c>
      <c r="C118" s="31" t="s">
        <v>283</v>
      </c>
      <c r="D118" s="31" t="str">
        <f>IF(LEFT(LAC!$B118,1)="@","Away","Home")</f>
        <v>Home</v>
      </c>
      <c r="E118" s="39">
        <f>_xlfn.NUMBERVALUE(MID(LEFT(LAC!$C118,FIND("-",LAC!$C118)-1),FIND(" ",LAC!$C118)+1,LEN(LAC!$C118)))</f>
        <v>10</v>
      </c>
      <c r="F118" s="40">
        <f>_xlfn.NUMBERVALUE(RIGHT(LAC!$C118,LEN(LAC!$C118)-FIND("-",LAC!$C118)))</f>
        <v>8</v>
      </c>
      <c r="G118" s="40">
        <f>E118+F118</f>
        <v>18</v>
      </c>
      <c r="H118" s="41" t="str">
        <f>LEFT(LAC!$C118,1)</f>
        <v>W</v>
      </c>
      <c r="I118" t="str">
        <f>VLOOKUP(IF(Table24[[#This Row],[At]]="Home",Table24[[#This Row],[Opponent]],RIGHT(Table24[[#This Row],[Opponent]],LEN(Table24[[#This Row],[Opponent]])-1)),CHOOSE({1,2},[1]StandingsRAW!$J$1:$J$22,[1]StandingsRAW!$L$1:$L$22),2,FALSE)</f>
        <v>BIS</v>
      </c>
      <c r="J118">
        <f>VLOOKUP(Table24[[#This Row],[OPP]],Raw!$L$2:$S$23,7,FALSE)-Raw!$U$2</f>
        <v>-1.915084759003203</v>
      </c>
    </row>
    <row r="119" spans="1:10" x14ac:dyDescent="0.25">
      <c r="A119" s="31" t="s">
        <v>549</v>
      </c>
      <c r="B119" s="31" t="s">
        <v>194</v>
      </c>
      <c r="C119" s="31" t="s">
        <v>50</v>
      </c>
      <c r="D119" s="31" t="str">
        <f>IF(LEFT(LAC!$B119,1)="@","Away","Home")</f>
        <v>Away</v>
      </c>
      <c r="E119" s="39">
        <f>_xlfn.NUMBERVALUE(MID(LEFT(LAC!$C119,FIND("-",LAC!$C119)-1),FIND(" ",LAC!$C119)+1,LEN(LAC!$C119)))</f>
        <v>3</v>
      </c>
      <c r="F119" s="40">
        <f>_xlfn.NUMBERVALUE(RIGHT(LAC!$C119,LEN(LAC!$C119)-FIND("-",LAC!$C119)))</f>
        <v>4</v>
      </c>
      <c r="G119" s="40">
        <f t="shared" ref="G119:G122" si="17">E119+F119</f>
        <v>7</v>
      </c>
      <c r="H119" s="41" t="str">
        <f>LEFT(LAC!$C119,1)</f>
        <v>L</v>
      </c>
      <c r="I119" t="str">
        <f>VLOOKUP(IF(Table24[[#This Row],[At]]="Home",Table24[[#This Row],[Opponent]],RIGHT(Table24[[#This Row],[Opponent]],LEN(Table24[[#This Row],[Opponent]])-1)),CHOOSE({1,2},[1]StandingsRAW!$J$1:$J$22,[1]StandingsRAW!$L$1:$L$22),2,FALSE)</f>
        <v>EC</v>
      </c>
      <c r="J119">
        <f>VLOOKUP(Table24[[#This Row],[OPP]],Raw!$L$2:$S$23,7,FALSE)-Raw!$U$2</f>
        <v>1.1143270057026795</v>
      </c>
    </row>
    <row r="120" spans="1:10" x14ac:dyDescent="0.25">
      <c r="A120" t="s">
        <v>550</v>
      </c>
      <c r="B120" t="s">
        <v>235</v>
      </c>
      <c r="C120" t="s">
        <v>328</v>
      </c>
      <c r="D120" t="str">
        <f>IF(LEFT(LAC!$B120,1)="@","Away","Home")</f>
        <v>Home</v>
      </c>
      <c r="E120" s="1">
        <f>_xlfn.NUMBERVALUE(MID(LEFT(LAC!$C120,FIND("-",LAC!$C120)-1),FIND(" ",LAC!$C120)+1,LEN(LAC!$C120)))</f>
        <v>14</v>
      </c>
      <c r="F120" s="3">
        <f>_xlfn.NUMBERVALUE(RIGHT(LAC!$C120,LEN(LAC!$C120)-FIND("-",LAC!$C120)))</f>
        <v>5</v>
      </c>
      <c r="G120" s="3">
        <f t="shared" si="17"/>
        <v>19</v>
      </c>
      <c r="H120" s="84" t="str">
        <f>LEFT(LAC!$C120,1)</f>
        <v>W</v>
      </c>
      <c r="I120" t="str">
        <f>VLOOKUP(IF(Table24[[#This Row],[At]]="Home",Table24[[#This Row],[Opponent]],RIGHT(Table24[[#This Row],[Opponent]],LEN(Table24[[#This Row],[Opponent]])-1)),CHOOSE({1,2},[1]StandingsRAW!$J$1:$J$22,[1]StandingsRAW!$L$1:$L$22),2,FALSE)</f>
        <v>EC</v>
      </c>
      <c r="J120">
        <f>VLOOKUP(Table24[[#This Row],[OPP]],Raw!$L$2:$S$23,7,FALSE)-Raw!$U$2</f>
        <v>1.1143270057026795</v>
      </c>
    </row>
    <row r="121" spans="1:10" x14ac:dyDescent="0.25">
      <c r="A121" t="s">
        <v>551</v>
      </c>
      <c r="B121" t="s">
        <v>241</v>
      </c>
      <c r="C121" t="s">
        <v>238</v>
      </c>
      <c r="D121" t="str">
        <f>IF(LEFT(LAC!$B121,1)="@","Away","Home")</f>
        <v>Home</v>
      </c>
      <c r="E121" s="1">
        <f>_xlfn.NUMBERVALUE(MID(LEFT(LAC!$C121,FIND("-",LAC!$C121)-1),FIND(" ",LAC!$C121)+1,LEN(LAC!$C121)))</f>
        <v>10</v>
      </c>
      <c r="F121" s="3">
        <f>_xlfn.NUMBERVALUE(RIGHT(LAC!$C121,LEN(LAC!$C121)-FIND("-",LAC!$C121)))</f>
        <v>2</v>
      </c>
      <c r="G121" s="3">
        <f t="shared" si="17"/>
        <v>12</v>
      </c>
      <c r="H121" s="84" t="str">
        <f>LEFT(LAC!$C121,1)</f>
        <v>W</v>
      </c>
      <c r="I121" t="str">
        <f>VLOOKUP(IF(Table24[[#This Row],[At]]="Home",Table24[[#This Row],[Opponent]],RIGHT(Table24[[#This Row],[Opponent]],LEN(Table24[[#This Row],[Opponent]])-1)),CHOOSE({1,2},[1]StandingsRAW!$J$1:$J$22,[1]StandingsRAW!$L$1:$L$22),2,FALSE)</f>
        <v>MIN</v>
      </c>
      <c r="J121">
        <f>VLOOKUP(Table24[[#This Row],[OPP]],Raw!$L$2:$S$23,7,FALSE)-Raw!$U$2</f>
        <v>-2.6422089420097388</v>
      </c>
    </row>
    <row r="122" spans="1:10" x14ac:dyDescent="0.25">
      <c r="A122" t="s">
        <v>552</v>
      </c>
      <c r="B122" t="s">
        <v>241</v>
      </c>
      <c r="C122" t="s">
        <v>291</v>
      </c>
      <c r="D122" t="str">
        <f>IF(LEFT(LAC!$B122,1)="@","Away","Home")</f>
        <v>Home</v>
      </c>
      <c r="E122" s="1">
        <f>_xlfn.NUMBERVALUE(MID(LEFT(LAC!$C122,FIND("-",LAC!$C122)-1),FIND(" ",LAC!$C122)+1,LEN(LAC!$C122)))</f>
        <v>14</v>
      </c>
      <c r="F122" s="3">
        <f>_xlfn.NUMBERVALUE(RIGHT(LAC!$C122,LEN(LAC!$C122)-FIND("-",LAC!$C122)))</f>
        <v>8</v>
      </c>
      <c r="G122" s="3">
        <f t="shared" si="17"/>
        <v>22</v>
      </c>
      <c r="H122" s="84" t="str">
        <f>LEFT(LAC!$C122,1)</f>
        <v>W</v>
      </c>
      <c r="I122" t="str">
        <f>VLOOKUP(IF(Table24[[#This Row],[At]]="Home",Table24[[#This Row],[Opponent]],RIGHT(Table24[[#This Row],[Opponent]],LEN(Table24[[#This Row],[Opponent]])-1)),CHOOSE({1,2},[1]StandingsRAW!$J$1:$J$22,[1]StandingsRAW!$L$1:$L$22),2,FALSE)</f>
        <v>MIN</v>
      </c>
      <c r="J122">
        <f>VLOOKUP(Table24[[#This Row],[OPP]],Raw!$L$2:$S$23,7,FALSE)-Raw!$U$2</f>
        <v>-2.6422089420097388</v>
      </c>
    </row>
    <row r="123" spans="1:10" x14ac:dyDescent="0.25">
      <c r="A123" s="31" t="s">
        <v>555</v>
      </c>
      <c r="B123" s="31" t="s">
        <v>206</v>
      </c>
      <c r="C123" s="31" t="s">
        <v>292</v>
      </c>
      <c r="D123" s="31" t="str">
        <f>IF(LEFT(LAC!$B123,1)="@","Away","Home")</f>
        <v>Away</v>
      </c>
      <c r="E123" s="39">
        <f>_xlfn.NUMBERVALUE(MID(LEFT(LAC!$C123,FIND("-",LAC!$C123)-1),FIND(" ",LAC!$C123)+1,LEN(LAC!$C123)))</f>
        <v>7</v>
      </c>
      <c r="F123" s="40">
        <f>_xlfn.NUMBERVALUE(RIGHT(LAC!$C123,LEN(LAC!$C123)-FIND("-",LAC!$C123)))</f>
        <v>8</v>
      </c>
      <c r="G123" s="40">
        <f>E123+F123</f>
        <v>15</v>
      </c>
      <c r="H123" s="41" t="str">
        <f>LEFT(LAC!$C123,1)</f>
        <v>L</v>
      </c>
      <c r="I123" t="str">
        <f>VLOOKUP(IF(Table24[[#This Row],[At]]="Home",Table24[[#This Row],[Opponent]],RIGHT(Table24[[#This Row],[Opponent]],LEN(Table24[[#This Row],[Opponent]])-1)),CHOOSE({1,2},[1]StandingsRAW!$J$1:$J$22,[1]StandingsRAW!$L$1:$L$22),2,FALSE)</f>
        <v>MAN</v>
      </c>
      <c r="J123">
        <f>VLOOKUP(Table24[[#This Row],[OPP]],Raw!$L$2:$S$23,7,FALSE)-Raw!$U$2</f>
        <v>0.73197406452620895</v>
      </c>
    </row>
    <row r="124" spans="1:10" x14ac:dyDescent="0.25">
      <c r="A124" s="31" t="s">
        <v>557</v>
      </c>
      <c r="B124" s="31" t="s">
        <v>206</v>
      </c>
      <c r="C124" s="31" t="s">
        <v>244</v>
      </c>
      <c r="D124" s="31" t="str">
        <f>IF(LEFT(LAC!$B124,1)="@","Away","Home")</f>
        <v>Away</v>
      </c>
      <c r="E124" s="39">
        <f>_xlfn.NUMBERVALUE(MID(LEFT(LAC!$C124,FIND("-",LAC!$C124)-1),FIND(" ",LAC!$C124)+1,LEN(LAC!$C124)))</f>
        <v>6</v>
      </c>
      <c r="F124" s="40">
        <f>_xlfn.NUMBERVALUE(RIGHT(LAC!$C124,LEN(LAC!$C124)-FIND("-",LAC!$C124)))</f>
        <v>3</v>
      </c>
      <c r="G124" s="40">
        <f>E124+F124</f>
        <v>9</v>
      </c>
      <c r="H124" s="41" t="str">
        <f>LEFT(LAC!$C124,1)</f>
        <v>W</v>
      </c>
      <c r="I124" t="str">
        <f>VLOOKUP(IF(Table24[[#This Row],[At]]="Home",Table24[[#This Row],[Opponent]],RIGHT(Table24[[#This Row],[Opponent]],LEN(Table24[[#This Row],[Opponent]])-1)),CHOOSE({1,2},[1]StandingsRAW!$J$1:$J$22,[1]StandingsRAW!$L$1:$L$22),2,FALSE)</f>
        <v>MAN</v>
      </c>
      <c r="J124">
        <f>VLOOKUP(Table24[[#This Row],[OPP]],Raw!$L$2:$S$23,7,FALSE)-Raw!$U$2</f>
        <v>0.73197406452620895</v>
      </c>
    </row>
    <row r="125" spans="1:10" x14ac:dyDescent="0.25">
      <c r="A125" s="31" t="s">
        <v>558</v>
      </c>
      <c r="B125" s="31" t="s">
        <v>211</v>
      </c>
      <c r="C125" s="31" t="s">
        <v>197</v>
      </c>
      <c r="D125" s="31" t="str">
        <f>IF(LEFT(LAC!$B125,1)="@","Away","Home")</f>
        <v>Away</v>
      </c>
      <c r="E125" s="39">
        <f>_xlfn.NUMBERVALUE(MID(LEFT(LAC!$C125,FIND("-",LAC!$C125)-1),FIND(" ",LAC!$C125)+1,LEN(LAC!$C125)))</f>
        <v>0</v>
      </c>
      <c r="F125" s="40">
        <f>_xlfn.NUMBERVALUE(RIGHT(LAC!$C125,LEN(LAC!$C125)-FIND("-",LAC!$C125)))</f>
        <v>1</v>
      </c>
      <c r="G125" s="40">
        <f t="shared" ref="G125:G126" si="18">E125+F125</f>
        <v>1</v>
      </c>
      <c r="H125" s="41" t="str">
        <f>LEFT(LAC!$C125,1)</f>
        <v>L</v>
      </c>
      <c r="I125" t="str">
        <f>VLOOKUP(IF(Table24[[#This Row],[At]]="Home",Table24[[#This Row],[Opponent]],RIGHT(Table24[[#This Row],[Opponent]],LEN(Table24[[#This Row],[Opponent]])-1)),CHOOSE({1,2},[1]StandingsRAW!$J$1:$J$22,[1]StandingsRAW!$L$1:$L$22),2,FALSE)</f>
        <v>WIL</v>
      </c>
      <c r="J125">
        <f>VLOOKUP(Table24[[#This Row],[OPP]],Raw!$L$2:$S$23,7,FALSE)-Raw!$U$2</f>
        <v>3.0407975939379734</v>
      </c>
    </row>
    <row r="126" spans="1:10" x14ac:dyDescent="0.25">
      <c r="A126" t="s">
        <v>558</v>
      </c>
      <c r="B126" t="s">
        <v>211</v>
      </c>
      <c r="C126" t="s">
        <v>48</v>
      </c>
      <c r="D126" t="str">
        <f>IF(LEFT(LAC!$B126,1)="@","Away","Home")</f>
        <v>Away</v>
      </c>
      <c r="E126" s="1">
        <f>_xlfn.NUMBERVALUE(MID(LEFT(LAC!$C126,FIND("-",LAC!$C126)-1),FIND(" ",LAC!$C126)+1,LEN(LAC!$C126)))</f>
        <v>4</v>
      </c>
      <c r="F126" s="3">
        <f>_xlfn.NUMBERVALUE(RIGHT(LAC!$C126,LEN(LAC!$C126)-FIND("-",LAC!$C126)))</f>
        <v>5</v>
      </c>
      <c r="G126" s="3">
        <f t="shared" si="18"/>
        <v>9</v>
      </c>
      <c r="H126" s="84" t="str">
        <f>LEFT(LAC!$C126,1)</f>
        <v>L</v>
      </c>
      <c r="I126" t="str">
        <f>VLOOKUP(IF(Table24[[#This Row],[At]]="Home",Table24[[#This Row],[Opponent]],RIGHT(Table24[[#This Row],[Opponent]],LEN(Table24[[#This Row],[Opponent]])-1)),CHOOSE({1,2},[1]StandingsRAW!$J$1:$J$22,[1]StandingsRAW!$L$1:$L$22),2,FALSE)</f>
        <v>WIL</v>
      </c>
      <c r="J126">
        <f>VLOOKUP(Table24[[#This Row],[OPP]],Raw!$L$2:$S$23,7,FALSE)-Raw!$U$2</f>
        <v>3.0407975939379734</v>
      </c>
    </row>
    <row r="127" spans="1:10" x14ac:dyDescent="0.25">
      <c r="A127" s="31" t="s">
        <v>565</v>
      </c>
      <c r="B127" s="31" t="s">
        <v>245</v>
      </c>
      <c r="C127" s="31" t="s">
        <v>571</v>
      </c>
      <c r="D127" s="31" t="str">
        <f>IF(LEFT(LAC!$B127,1)="@","Away","Home")</f>
        <v>Home</v>
      </c>
      <c r="E127" s="39">
        <f>_xlfn.NUMBERVALUE(MID(LEFT(LAC!$C127,FIND("-",LAC!$C127)-1),FIND(" ",LAC!$C127)+1,LEN(LAC!$C127)))</f>
        <v>10</v>
      </c>
      <c r="F127" s="40">
        <f>_xlfn.NUMBERVALUE(RIGHT(LAC!$C127,LEN(LAC!$C127)-FIND("-",LAC!$C127)))</f>
        <v>15</v>
      </c>
      <c r="G127" s="40">
        <f t="shared" ref="G127:G129" si="19">E127+F127</f>
        <v>25</v>
      </c>
      <c r="H127" s="41" t="str">
        <f>LEFT(LAC!$C127,1)</f>
        <v>L</v>
      </c>
      <c r="I127" t="str">
        <f>VLOOKUP(IF(Table24[[#This Row],[At]]="Home",Table24[[#This Row],[Opponent]],RIGHT(Table24[[#This Row],[Opponent]],LEN(Table24[[#This Row],[Opponent]])-1)),CHOOSE({1,2},[1]StandingsRAW!$J$1:$J$22,[1]StandingsRAW!$L$1:$L$22),2,FALSE)</f>
        <v>STC</v>
      </c>
      <c r="J127">
        <f>VLOOKUP(Table24[[#This Row],[OPP]],Raw!$L$2:$S$23,7,FALSE)-Raw!$U$2</f>
        <v>2.5702093586438561</v>
      </c>
    </row>
    <row r="128" spans="1:10" x14ac:dyDescent="0.25">
      <c r="A128" t="s">
        <v>566</v>
      </c>
      <c r="B128" t="s">
        <v>245</v>
      </c>
      <c r="C128" t="s">
        <v>36</v>
      </c>
      <c r="D128" t="str">
        <f>IF(LEFT(LAC!$B128,1)="@","Away","Home")</f>
        <v>Home</v>
      </c>
      <c r="E128" s="1">
        <f>_xlfn.NUMBERVALUE(MID(LEFT(LAC!$C128,FIND("-",LAC!$C128)-1),FIND(" ",LAC!$C128)+1,LEN(LAC!$C128)))</f>
        <v>1</v>
      </c>
      <c r="F128" s="3">
        <f>_xlfn.NUMBERVALUE(RIGHT(LAC!$C128,LEN(LAC!$C128)-FIND("-",LAC!$C128)))</f>
        <v>5</v>
      </c>
      <c r="G128" s="3">
        <f t="shared" si="19"/>
        <v>6</v>
      </c>
      <c r="H128" s="84" t="str">
        <f>LEFT(LAC!$C128,1)</f>
        <v>L</v>
      </c>
      <c r="I128" t="str">
        <f>VLOOKUP(IF(Table24[[#This Row],[At]]="Home",Table24[[#This Row],[Opponent]],RIGHT(Table24[[#This Row],[Opponent]],LEN(Table24[[#This Row],[Opponent]])-1)),CHOOSE({1,2},[1]StandingsRAW!$J$1:$J$22,[1]StandingsRAW!$L$1:$L$22),2,FALSE)</f>
        <v>STC</v>
      </c>
      <c r="J128">
        <f>VLOOKUP(Table24[[#This Row],[OPP]],Raw!$L$2:$S$23,7,FALSE)-Raw!$U$2</f>
        <v>2.5702093586438561</v>
      </c>
    </row>
    <row r="129" spans="1:10" x14ac:dyDescent="0.25">
      <c r="A129" t="s">
        <v>568</v>
      </c>
      <c r="B129" t="s">
        <v>222</v>
      </c>
      <c r="C129" t="s">
        <v>419</v>
      </c>
      <c r="D129" t="str">
        <f>IF(LEFT(LAC!$B129,1)="@","Away","Home")</f>
        <v>Home</v>
      </c>
      <c r="E129" s="1">
        <f>_xlfn.NUMBERVALUE(MID(LEFT(LAC!$C129,FIND("-",LAC!$C129)-1),FIND(" ",LAC!$C129)+1,LEN(LAC!$C129)))</f>
        <v>4</v>
      </c>
      <c r="F129" s="3">
        <f>_xlfn.NUMBERVALUE(RIGHT(LAC!$C129,LEN(LAC!$C129)-FIND("-",LAC!$C129)))</f>
        <v>14</v>
      </c>
      <c r="G129" s="3">
        <f t="shared" si="19"/>
        <v>18</v>
      </c>
      <c r="H129" s="84" t="str">
        <f>LEFT(LAC!$C129,1)</f>
        <v>L</v>
      </c>
      <c r="I129" t="str">
        <f>VLOOKUP(IF(Table24[[#This Row],[At]]="Home",Table24[[#This Row],[Opponent]],RIGHT(Table24[[#This Row],[Opponent]],LEN(Table24[[#This Row],[Opponent]])-1)),CHOOSE({1,2},[1]StandingsRAW!$J$1:$J$22,[1]StandingsRAW!$L$1:$L$22),2,FALSE)</f>
        <v>WIL</v>
      </c>
      <c r="J129">
        <f>VLOOKUP(Table24[[#This Row],[OPP]],Raw!$L$2:$S$23,7,FALSE)-Raw!$U$2</f>
        <v>3.0407975939379734</v>
      </c>
    </row>
    <row r="130" spans="1:10" x14ac:dyDescent="0.25">
      <c r="A130" s="31" t="s">
        <v>589</v>
      </c>
      <c r="B130" s="31" t="s">
        <v>222</v>
      </c>
      <c r="C130" s="31" t="s">
        <v>323</v>
      </c>
      <c r="D130" s="31" t="str">
        <f>IF(LEFT(LAC!$B130,1)="@","Away","Home")</f>
        <v>Home</v>
      </c>
      <c r="E130" s="39">
        <f>_xlfn.NUMBERVALUE(MID(LEFT(LAC!$C130,FIND("-",LAC!$C130)-1),FIND(" ",LAC!$C130)+1,LEN(LAC!$C130)))</f>
        <v>7</v>
      </c>
      <c r="F130" s="40">
        <f>_xlfn.NUMBERVALUE(RIGHT(LAC!$C130,LEN(LAC!$C130)-FIND("-",LAC!$C130)))</f>
        <v>6</v>
      </c>
      <c r="G130" s="40">
        <f>E130+F130</f>
        <v>13</v>
      </c>
      <c r="H130" s="41" t="str">
        <f>LEFT(LAC!$C130,1)</f>
        <v>W</v>
      </c>
      <c r="I130" t="str">
        <f>VLOOKUP(IF(Table24[[#This Row],[At]]="Home",Table24[[#This Row],[Opponent]],RIGHT(Table24[[#This Row],[Opponent]],LEN(Table24[[#This Row],[Opponent]])-1)),CHOOSE({1,2},[1]StandingsRAW!$J$1:$J$22,[1]StandingsRAW!$L$1:$L$22),2,FALSE)</f>
        <v>WIL</v>
      </c>
      <c r="J130">
        <f>VLOOKUP(Table24[[#This Row],[OPP]],Raw!$L$2:$S$23,7,FALSE)-Raw!$U$2</f>
        <v>3.0407975939379734</v>
      </c>
    </row>
    <row r="131" spans="1:10" x14ac:dyDescent="0.25">
      <c r="A131" s="31" t="s">
        <v>592</v>
      </c>
      <c r="B131" s="31" t="s">
        <v>192</v>
      </c>
      <c r="C131" s="31" t="s">
        <v>567</v>
      </c>
      <c r="D131" s="31" t="str">
        <f>IF(LEFT(LAC!$B131,1)="@","Away","Home")</f>
        <v>Away</v>
      </c>
      <c r="E131" s="39">
        <f>_xlfn.NUMBERVALUE(MID(LEFT(LAC!$C131,FIND("-",LAC!$C131)-1),FIND(" ",LAC!$C131)+1,LEN(LAC!$C131)))</f>
        <v>14</v>
      </c>
      <c r="F131" s="40">
        <f>_xlfn.NUMBERVALUE(RIGHT(LAC!$C131,LEN(LAC!$C131)-FIND("-",LAC!$C131)))</f>
        <v>10</v>
      </c>
      <c r="G131" s="40">
        <f>E131+F131</f>
        <v>24</v>
      </c>
      <c r="H131" s="41" t="str">
        <f>LEFT(LAC!$C131,1)</f>
        <v>W</v>
      </c>
      <c r="I131" t="str">
        <f>VLOOKUP(IF(Table24[[#This Row],[At]]="Home",Table24[[#This Row],[Opponent]],RIGHT(Table24[[#This Row],[Opponent]],LEN(Table24[[#This Row],[Opponent]])-1)),CHOOSE({1,2},[1]StandingsRAW!$J$1:$J$22,[1]StandingsRAW!$L$1:$L$22),2,FALSE)</f>
        <v>WAT</v>
      </c>
      <c r="J131">
        <f>VLOOKUP(Table24[[#This Row],[OPP]],Raw!$L$2:$S$23,7,FALSE)-Raw!$U$2</f>
        <v>-3.3415553472384971</v>
      </c>
    </row>
    <row r="132" spans="1:10" x14ac:dyDescent="0.25">
      <c r="A132" s="31" t="s">
        <v>595</v>
      </c>
      <c r="B132" s="31" t="s">
        <v>192</v>
      </c>
      <c r="C132" s="31" t="s">
        <v>205</v>
      </c>
      <c r="D132" s="31" t="str">
        <f>IF(LEFT(LAC!$B132,1)="@","Away","Home")</f>
        <v>Away</v>
      </c>
      <c r="E132" s="39">
        <f>_xlfn.NUMBERVALUE(MID(LEFT(LAC!$C132,FIND("-",LAC!$C132)-1),FIND(" ",LAC!$C132)+1,LEN(LAC!$C132)))</f>
        <v>5</v>
      </c>
      <c r="F132" s="40">
        <f>_xlfn.NUMBERVALUE(RIGHT(LAC!$C132,LEN(LAC!$C132)-FIND("-",LAC!$C132)))</f>
        <v>6</v>
      </c>
      <c r="G132" s="40">
        <f>E132+F132</f>
        <v>11</v>
      </c>
      <c r="H132" s="41" t="str">
        <f>LEFT(LAC!$C132,1)</f>
        <v>L</v>
      </c>
      <c r="I132" t="str">
        <f>VLOOKUP(IF(Table24[[#This Row],[At]]="Home",Table24[[#This Row],[Opponent]],RIGHT(Table24[[#This Row],[Opponent]],LEN(Table24[[#This Row],[Opponent]])-1)),CHOOSE({1,2},[1]StandingsRAW!$J$1:$J$22,[1]StandingsRAW!$L$1:$L$22),2,FALSE)</f>
        <v>WAT</v>
      </c>
      <c r="J132">
        <f>VLOOKUP(Table24[[#This Row],[OPP]],Raw!$L$2:$S$23,7,FALSE)-Raw!$U$2</f>
        <v>-3.3415553472384971</v>
      </c>
    </row>
    <row r="133" spans="1:10" x14ac:dyDescent="0.25">
      <c r="A133" s="31" t="s">
        <v>599</v>
      </c>
      <c r="B133" s="31" t="s">
        <v>263</v>
      </c>
      <c r="C133" s="31" t="s">
        <v>297</v>
      </c>
      <c r="D133" s="31" t="str">
        <f>IF(LEFT(LAC!$B133,1)="@","Away","Home")</f>
        <v>Home</v>
      </c>
      <c r="E133" s="39">
        <f>_xlfn.NUMBERVALUE(MID(LEFT(LAC!$C133,FIND("-",LAC!$C133)-1),FIND(" ",LAC!$C133)+1,LEN(LAC!$C133)))</f>
        <v>2</v>
      </c>
      <c r="F133" s="40">
        <f>_xlfn.NUMBERVALUE(RIGHT(LAC!$C133,LEN(LAC!$C133)-FIND("-",LAC!$C133)))</f>
        <v>10</v>
      </c>
      <c r="G133" s="40">
        <f t="shared" ref="G133:G134" si="20">E133+F133</f>
        <v>12</v>
      </c>
      <c r="H133" s="41" t="str">
        <f>LEFT(LAC!$C133,1)</f>
        <v>L</v>
      </c>
      <c r="I133" t="str">
        <f>VLOOKUP(IF(Table24[[#This Row],[At]]="Home",Table24[[#This Row],[Opponent]],RIGHT(Table24[[#This Row],[Opponent]],LEN(Table24[[#This Row],[Opponent]])-1)),CHOOSE({1,2},[1]StandingsRAW!$J$1:$J$22,[1]StandingsRAW!$L$1:$L$22),2,FALSE)</f>
        <v>ROC</v>
      </c>
      <c r="J133">
        <f>VLOOKUP(Table24[[#This Row],[OPP]],Raw!$L$2:$S$23,7,FALSE)-Raw!$U$2</f>
        <v>-0.20920240606202639</v>
      </c>
    </row>
    <row r="134" spans="1:10" x14ac:dyDescent="0.25">
      <c r="A134" t="s">
        <v>599</v>
      </c>
      <c r="B134" t="s">
        <v>210</v>
      </c>
      <c r="C134" t="s">
        <v>48</v>
      </c>
      <c r="D134" t="str">
        <f>IF(LEFT(LAC!$B134,1)="@","Away","Home")</f>
        <v>Away</v>
      </c>
      <c r="E134" s="1">
        <f>_xlfn.NUMBERVALUE(MID(LEFT(LAC!$C134,FIND("-",LAC!$C134)-1),FIND(" ",LAC!$C134)+1,LEN(LAC!$C134)))</f>
        <v>4</v>
      </c>
      <c r="F134" s="3">
        <f>_xlfn.NUMBERVALUE(RIGHT(LAC!$C134,LEN(LAC!$C134)-FIND("-",LAC!$C134)))</f>
        <v>5</v>
      </c>
      <c r="G134" s="3">
        <f t="shared" si="20"/>
        <v>9</v>
      </c>
      <c r="H134" s="84" t="str">
        <f>LEFT(LAC!$C134,1)</f>
        <v>L</v>
      </c>
      <c r="I134" t="str">
        <f>VLOOKUP(IF(Table24[[#This Row],[At]]="Home",Table24[[#This Row],[Opponent]],RIGHT(Table24[[#This Row],[Opponent]],LEN(Table24[[#This Row],[Opponent]])-1)),CHOOSE({1,2},[1]StandingsRAW!$J$1:$J$22,[1]StandingsRAW!$L$1:$L$22),2,FALSE)</f>
        <v>ROC</v>
      </c>
      <c r="J134">
        <f>VLOOKUP(Table24[[#This Row],[OPP]],Raw!$L$2:$S$23,7,FALSE)-Raw!$U$2</f>
        <v>-0.20920240606202639</v>
      </c>
    </row>
    <row r="135" spans="1:10" x14ac:dyDescent="0.25">
      <c r="A135" s="31" t="s">
        <v>600</v>
      </c>
      <c r="B135" s="31" t="s">
        <v>222</v>
      </c>
      <c r="C135" s="31" t="s">
        <v>378</v>
      </c>
      <c r="D135" s="31" t="str">
        <f>IF(LEFT(LAC!$B135,1)="@","Away","Home")</f>
        <v>Home</v>
      </c>
      <c r="E135" s="39">
        <f>_xlfn.NUMBERVALUE(MID(LEFT(LAC!$C135,FIND("-",LAC!$C135)-1),FIND(" ",LAC!$C135)+1,LEN(LAC!$C135)))</f>
        <v>12</v>
      </c>
      <c r="F135" s="40">
        <f>_xlfn.NUMBERVALUE(RIGHT(LAC!$C135,LEN(LAC!$C135)-FIND("-",LAC!$C135)))</f>
        <v>9</v>
      </c>
      <c r="G135" s="40">
        <f t="shared" ref="G135:G138" si="21">E135+F135</f>
        <v>21</v>
      </c>
      <c r="H135" s="41" t="str">
        <f>LEFT(LAC!$C135,1)</f>
        <v>W</v>
      </c>
      <c r="I135" t="str">
        <f>VLOOKUP(IF(Table24[[#This Row],[At]]="Home",Table24[[#This Row],[Opponent]],RIGHT(Table24[[#This Row],[Opponent]],LEN(Table24[[#This Row],[Opponent]])-1)),CHOOSE({1,2},[1]StandingsRAW!$J$1:$J$22,[1]StandingsRAW!$L$1:$L$22),2,FALSE)</f>
        <v>WIL</v>
      </c>
      <c r="J135">
        <f>VLOOKUP(Table24[[#This Row],[OPP]],Raw!$L$2:$S$23,7,FALSE)-Raw!$U$2</f>
        <v>3.0407975939379734</v>
      </c>
    </row>
    <row r="136" spans="1:10" x14ac:dyDescent="0.25">
      <c r="A136" t="s">
        <v>601</v>
      </c>
      <c r="B136" t="s">
        <v>222</v>
      </c>
      <c r="C136" t="s">
        <v>604</v>
      </c>
      <c r="D136" t="str">
        <f>IF(LEFT(LAC!$B136,1)="@","Away","Home")</f>
        <v>Home</v>
      </c>
      <c r="E136" s="1">
        <f>_xlfn.NUMBERVALUE(MID(LEFT(LAC!$C136,FIND("-",LAC!$C136)-1),FIND(" ",LAC!$C136)+1,LEN(LAC!$C136)))</f>
        <v>3</v>
      </c>
      <c r="F136" s="3">
        <f>_xlfn.NUMBERVALUE(RIGHT(LAC!$C136,LEN(LAC!$C136)-FIND("-",LAC!$C136)))</f>
        <v>20</v>
      </c>
      <c r="G136" s="3">
        <f t="shared" si="21"/>
        <v>23</v>
      </c>
      <c r="H136" s="84" t="str">
        <f>LEFT(LAC!$C136,1)</f>
        <v>L</v>
      </c>
      <c r="I136" t="str">
        <f>VLOOKUP(IF(Table24[[#This Row],[At]]="Home",Table24[[#This Row],[Opponent]],RIGHT(Table24[[#This Row],[Opponent]],LEN(Table24[[#This Row],[Opponent]])-1)),CHOOSE({1,2},[1]StandingsRAW!$J$1:$J$22,[1]StandingsRAW!$L$1:$L$22),2,FALSE)</f>
        <v>WIL</v>
      </c>
      <c r="J136">
        <f>VLOOKUP(Table24[[#This Row],[OPP]],Raw!$L$2:$S$23,7,FALSE)-Raw!$U$2</f>
        <v>3.0407975939379734</v>
      </c>
    </row>
    <row r="137" spans="1:10" x14ac:dyDescent="0.25">
      <c r="A137" t="s">
        <v>602</v>
      </c>
      <c r="B137" t="s">
        <v>198</v>
      </c>
      <c r="C137" t="s">
        <v>125</v>
      </c>
      <c r="D137" t="str">
        <f>IF(LEFT(LAC!$B137,1)="@","Away","Home")</f>
        <v>Away</v>
      </c>
      <c r="E137" s="1">
        <f>_xlfn.NUMBERVALUE(MID(LEFT(LAC!$C137,FIND("-",LAC!$C137)-1),FIND(" ",LAC!$C137)+1,LEN(LAC!$C137)))</f>
        <v>0</v>
      </c>
      <c r="F137" s="3">
        <f>_xlfn.NUMBERVALUE(RIGHT(LAC!$C137,LEN(LAC!$C137)-FIND("-",LAC!$C137)))</f>
        <v>4</v>
      </c>
      <c r="G137" s="3">
        <f t="shared" si="21"/>
        <v>4</v>
      </c>
      <c r="H137" s="84" t="str">
        <f>LEFT(LAC!$C137,1)</f>
        <v>L</v>
      </c>
      <c r="I137" t="str">
        <f>VLOOKUP(IF(Table24[[#This Row],[At]]="Home",Table24[[#This Row],[Opponent]],RIGHT(Table24[[#This Row],[Opponent]],LEN(Table24[[#This Row],[Opponent]])-1)),CHOOSE({1,2},[1]StandingsRAW!$J$1:$J$22,[1]StandingsRAW!$L$1:$L$22),2,FALSE)</f>
        <v>DUL</v>
      </c>
      <c r="J137">
        <f>VLOOKUP(Table24[[#This Row],[OPP]],Raw!$L$2:$S$23,7,FALSE)-Raw!$U$2</f>
        <v>-0.37645438147905891</v>
      </c>
    </row>
    <row r="138" spans="1:10" x14ac:dyDescent="0.25">
      <c r="A138" t="s">
        <v>603</v>
      </c>
      <c r="B138" t="s">
        <v>198</v>
      </c>
      <c r="C138" t="s">
        <v>205</v>
      </c>
      <c r="D138" t="str">
        <f>IF(LEFT(LAC!$B138,1)="@","Away","Home")</f>
        <v>Away</v>
      </c>
      <c r="E138" s="1">
        <f>_xlfn.NUMBERVALUE(MID(LEFT(LAC!$C138,FIND("-",LAC!$C138)-1),FIND(" ",LAC!$C138)+1,LEN(LAC!$C138)))</f>
        <v>5</v>
      </c>
      <c r="F138" s="3">
        <f>_xlfn.NUMBERVALUE(RIGHT(LAC!$C138,LEN(LAC!$C138)-FIND("-",LAC!$C138)))</f>
        <v>6</v>
      </c>
      <c r="G138" s="3">
        <f t="shared" si="21"/>
        <v>11</v>
      </c>
      <c r="H138" s="84" t="str">
        <f>LEFT(LAC!$C138,1)</f>
        <v>L</v>
      </c>
      <c r="I138" t="str">
        <f>VLOOKUP(IF(Table24[[#This Row],[At]]="Home",Table24[[#This Row],[Opponent]],RIGHT(Table24[[#This Row],[Opponent]],LEN(Table24[[#This Row],[Opponent]])-1)),CHOOSE({1,2},[1]StandingsRAW!$J$1:$J$22,[1]StandingsRAW!$L$1:$L$22),2,FALSE)</f>
        <v>DUL</v>
      </c>
      <c r="J138">
        <f>VLOOKUP(Table24[[#This Row],[OPP]],Raw!$L$2:$S$23,7,FALSE)-Raw!$U$2</f>
        <v>-0.37645438147905891</v>
      </c>
    </row>
    <row r="139" spans="1:10" x14ac:dyDescent="0.25">
      <c r="A139" s="94" t="s">
        <v>608</v>
      </c>
      <c r="B139" s="94" t="s">
        <v>250</v>
      </c>
      <c r="C139" s="94" t="s">
        <v>254</v>
      </c>
      <c r="D139" s="94" t="str">
        <f>IF(LEFT(LAC!$B139,1)="@","Away","Home")</f>
        <v>Home</v>
      </c>
      <c r="E139" s="96">
        <f>_xlfn.NUMBERVALUE(MID(LEFT(LAC!$C139,FIND("-",LAC!$C139)-1),FIND(" ",LAC!$C139)+1,LEN(LAC!$C139)))</f>
        <v>5</v>
      </c>
      <c r="F139" s="98">
        <f>_xlfn.NUMBERVALUE(RIGHT(LAC!$C139,LEN(LAC!$C139)-FIND("-",LAC!$C139)))</f>
        <v>4</v>
      </c>
      <c r="G139" s="98">
        <f t="shared" ref="G139:G140" si="22">E139+F139</f>
        <v>9</v>
      </c>
      <c r="H139" s="100" t="str">
        <f>LEFT(LAC!$C139,1)</f>
        <v>W</v>
      </c>
      <c r="I139" t="str">
        <f>VLOOKUP(IF(Table24[[#This Row],[At]]="Home",Table24[[#This Row],[Opponent]],RIGHT(Table24[[#This Row],[Opponent]],LEN(Table24[[#This Row],[Opponent]])-1)),CHOOSE({1,2},[1]StandingsRAW!$J$1:$J$22,[1]StandingsRAW!$L$1:$L$22),2,FALSE)</f>
        <v>MAN</v>
      </c>
      <c r="J139">
        <f>VLOOKUP(Table24[[#This Row],[OPP]],Raw!$L$2:$S$23,7,FALSE)-Raw!$U$2</f>
        <v>0.73197406452620895</v>
      </c>
    </row>
    <row r="140" spans="1:10" x14ac:dyDescent="0.25">
      <c r="A140" s="95" t="s">
        <v>609</v>
      </c>
      <c r="B140" s="95" t="s">
        <v>250</v>
      </c>
      <c r="C140" s="95" t="s">
        <v>113</v>
      </c>
      <c r="D140" s="95" t="str">
        <f>IF(LEFT(LAC!$B140,1)="@","Away","Home")</f>
        <v>Home</v>
      </c>
      <c r="E140" s="97">
        <f>_xlfn.NUMBERVALUE(MID(LEFT(LAC!$C140,FIND("-",LAC!$C140)-1),FIND(" ",LAC!$C140)+1,LEN(LAC!$C140)))</f>
        <v>7</v>
      </c>
      <c r="F140" s="99">
        <f>_xlfn.NUMBERVALUE(RIGHT(LAC!$C140,LEN(LAC!$C140)-FIND("-",LAC!$C140)))</f>
        <v>9</v>
      </c>
      <c r="G140" s="99">
        <f t="shared" si="22"/>
        <v>16</v>
      </c>
      <c r="H140" s="101" t="str">
        <f>LEFT(LAC!$C140,1)</f>
        <v>L</v>
      </c>
      <c r="I140" t="str">
        <f>VLOOKUP(IF(Table24[[#This Row],[At]]="Home",Table24[[#This Row],[Opponent]],RIGHT(Table24[[#This Row],[Opponent]],LEN(Table24[[#This Row],[Opponent]])-1)),CHOOSE({1,2},[1]StandingsRAW!$J$1:$J$22,[1]StandingsRAW!$L$1:$L$22),2,FALSE)</f>
        <v>MAN</v>
      </c>
      <c r="J140">
        <f>VLOOKUP(Table24[[#This Row],[OPP]],Raw!$L$2:$S$23,7,FALSE)-Raw!$U$2</f>
        <v>0.73197406452620895</v>
      </c>
    </row>
  </sheetData>
  <conditionalFormatting sqref="L17">
    <cfRule type="cellIs" dxfId="64" priority="4" operator="greaterThan">
      <formula>100</formula>
    </cfRule>
    <cfRule type="cellIs" dxfId="63" priority="5" operator="lessThan">
      <formula>100</formula>
    </cfRule>
  </conditionalFormatting>
  <conditionalFormatting sqref="L18">
    <cfRule type="cellIs" dxfId="62" priority="2" operator="greaterThan">
      <formula>100</formula>
    </cfRule>
    <cfRule type="cellIs" dxfId="61" priority="3" operator="lessThan">
      <formula>100</formula>
    </cfRule>
  </conditionalFormatting>
  <conditionalFormatting sqref="L17:L18">
    <cfRule type="cellIs" dxfId="60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BFC5-B3EA-47BD-A0C7-947D5F8C2724}">
  <sheetPr codeName="Sheet13"/>
  <dimension ref="A1:P147"/>
  <sheetViews>
    <sheetView topLeftCell="A75" workbookViewId="0">
      <selection activeCell="A76" sqref="A76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388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319</v>
      </c>
      <c r="C3" t="s">
        <v>251</v>
      </c>
      <c r="E3" s="1" t="str">
        <f>IF(LEFT(B3,1)="@","Away","Home")</f>
        <v>Away</v>
      </c>
      <c r="F3" s="3">
        <f>_xlfn.NUMBERVALUE(MID(LEFT(C3,FIND("-",C3)-1),FIND(" ",C3)+1,LEN(C3)))</f>
        <v>2</v>
      </c>
      <c r="G3" s="3">
        <f>_xlfn.NUMBERVALUE(RIGHT(C3,LEN(C3)-FIND("-",C3)))</f>
        <v>7</v>
      </c>
      <c r="H3" s="3">
        <f t="shared" ref="H3:H66" si="0">F3+G3</f>
        <v>9</v>
      </c>
      <c r="I3" s="3" t="str">
        <f>LEFT(C3,1)</f>
        <v>L</v>
      </c>
      <c r="K3" s="4" t="s">
        <v>139</v>
      </c>
      <c r="L3" s="5">
        <f>(SUMIF($E$3:$E$74,$K3,F$3:F$74) + SUMIF(Table12[At],$K3,Table12[Scored]))/(COUNTIF($E$3:$E$74,$K3) + COUNTIF(Table12[At],$K3))</f>
        <v>5.3888888888888893</v>
      </c>
      <c r="M3" s="5">
        <f>(SUMIF($E$3:$E$74,$K3,G$3:G$74) + SUMIF(Table12[At],$K3,Table12[Allowed]))/(COUNTIF($E$3:$E$74,$K3) + COUNTIF(Table12[At],$K3))</f>
        <v>5</v>
      </c>
      <c r="N3" s="5">
        <f>L3+M3</f>
        <v>10.388888888888889</v>
      </c>
      <c r="O3" s="5">
        <f>(COUNTIFS($E$3:$E$74,$K3,$I$3:$I$74,O$2) + COUNTIFS(Table12[At],$K3,Table12[Result],O$2))/(COUNTIF($E$3:$E$74,$K3) + COUNTIF(Table12[At],$K3))</f>
        <v>0.4861111111111111</v>
      </c>
      <c r="P3" s="5">
        <f>(COUNTIFS($E$3:$E$74,$K3,$I$3:$I$74,P$2) + COUNTIFS(Table12[At],$K3,Table12[Result],P$2))/(COUNTIF($E$3:$E$74,$K3) + COUNTIF(Table12[At],$K3))</f>
        <v>0.51388888888888884</v>
      </c>
    </row>
    <row r="4" spans="1:16" x14ac:dyDescent="0.25">
      <c r="A4" t="s">
        <v>7</v>
      </c>
      <c r="B4" t="s">
        <v>319</v>
      </c>
      <c r="C4" t="s">
        <v>299</v>
      </c>
      <c r="E4" s="1" t="str">
        <f t="shared" ref="E4:E67" si="1">IF(LEFT(B4,1)="@","Away","Home")</f>
        <v>Away</v>
      </c>
      <c r="F4" s="3">
        <f t="shared" ref="F4:F67" si="2">_xlfn.NUMBERVALUE(MID(LEFT(C4,FIND("-",C4)-1),FIND(" ",C4)+1,LEN(C4)))</f>
        <v>11</v>
      </c>
      <c r="G4" s="3">
        <f t="shared" ref="G4:G67" si="3">_xlfn.NUMBERVALUE(RIGHT(C4,LEN(C4)-FIND("-",C4)))</f>
        <v>3</v>
      </c>
      <c r="H4" s="3">
        <f t="shared" si="0"/>
        <v>14</v>
      </c>
      <c r="I4" s="3" t="str">
        <f t="shared" ref="I4:I67" si="4">LEFT(C4,1)</f>
        <v>W</v>
      </c>
      <c r="K4" s="4" t="s">
        <v>140</v>
      </c>
      <c r="L4" s="5">
        <f>(SUMIF($E$3:$E$74,$K4,F$3:F$74) + SUMIF(Table12[At],$K4,Table12[Scored]))/(COUNTIF($E$3:$E$74,$K4) + COUNTIF(Table12[At],$K4))</f>
        <v>5.225352112676056</v>
      </c>
      <c r="M4" s="5">
        <f>(SUMIF($E$3:$E$74,$K4,G$3:G$74) + SUMIF(Table12[At],$K4,Table12[Allowed]))/(COUNTIF($E$3:$E$74,$K4) + COUNTIF(Table12[At],$K4))</f>
        <v>5.28169014084507</v>
      </c>
      <c r="N4" s="5">
        <f>L4+M4</f>
        <v>10.507042253521126</v>
      </c>
      <c r="O4" s="5">
        <f>(COUNTIFS($E$3:$E$74,$K4,$I$3:$I$74,O$2) + COUNTIFS(Table12[At],$K4,Table12[Result],O$2))/(COUNTIF($E$3:$E$74,$K4) + COUNTIF(Table12[At],$K4))</f>
        <v>0.45070422535211269</v>
      </c>
      <c r="P4" s="5">
        <f>(COUNTIFS($E$3:$E$74,$K4,$I$3:$I$74,P$2) + COUNTIFS(Table12[At],$K4,Table12[Result],P$2))/(COUNTIF($E$3:$E$74,$K4) + COUNTIF(Table12[At],$K4))</f>
        <v>0.54929577464788737</v>
      </c>
    </row>
    <row r="5" spans="1:16" x14ac:dyDescent="0.25">
      <c r="A5" t="s">
        <v>9</v>
      </c>
      <c r="B5" t="s">
        <v>332</v>
      </c>
      <c r="C5" t="s">
        <v>270</v>
      </c>
      <c r="E5" s="1" t="str">
        <f t="shared" si="1"/>
        <v>Away</v>
      </c>
      <c r="F5" s="3">
        <f t="shared" si="2"/>
        <v>4</v>
      </c>
      <c r="G5" s="3">
        <f t="shared" si="3"/>
        <v>3</v>
      </c>
      <c r="H5" s="3">
        <f t="shared" si="0"/>
        <v>7</v>
      </c>
      <c r="I5" s="3" t="str">
        <f t="shared" si="4"/>
        <v>W</v>
      </c>
    </row>
    <row r="6" spans="1:16" x14ac:dyDescent="0.25">
      <c r="A6" t="s">
        <v>12</v>
      </c>
      <c r="B6" t="s">
        <v>333</v>
      </c>
      <c r="C6" t="s">
        <v>374</v>
      </c>
      <c r="E6" s="1" t="str">
        <f t="shared" si="1"/>
        <v>Home</v>
      </c>
      <c r="F6" s="3">
        <f t="shared" si="2"/>
        <v>6</v>
      </c>
      <c r="G6" s="3">
        <f t="shared" si="3"/>
        <v>9</v>
      </c>
      <c r="H6" s="3">
        <f t="shared" si="0"/>
        <v>15</v>
      </c>
      <c r="I6" s="3" t="str">
        <f t="shared" si="4"/>
        <v>L</v>
      </c>
      <c r="K6" s="4" t="s">
        <v>144</v>
      </c>
      <c r="L6" s="5">
        <f>N3/N4</f>
        <v>0.98875484063151631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74</v>
      </c>
      <c r="C7" t="s">
        <v>31</v>
      </c>
      <c r="E7" s="1" t="str">
        <f t="shared" si="1"/>
        <v>Home</v>
      </c>
      <c r="F7" s="3">
        <f t="shared" si="2"/>
        <v>5</v>
      </c>
      <c r="G7" s="3">
        <f t="shared" si="3"/>
        <v>9</v>
      </c>
      <c r="H7" s="3">
        <f t="shared" si="0"/>
        <v>14</v>
      </c>
      <c r="I7" s="3" t="str">
        <f t="shared" si="4"/>
        <v>L</v>
      </c>
      <c r="K7" s="7" t="s">
        <v>143</v>
      </c>
      <c r="L7" s="5">
        <f>(18.5 - O3)/(18.5-P4)</f>
        <v>1.003519898871017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74</v>
      </c>
      <c r="C8" t="s">
        <v>374</v>
      </c>
      <c r="E8" s="1" t="str">
        <f t="shared" si="1"/>
        <v>Home</v>
      </c>
      <c r="F8" s="3">
        <f t="shared" si="2"/>
        <v>6</v>
      </c>
      <c r="G8" s="3">
        <f t="shared" si="3"/>
        <v>9</v>
      </c>
      <c r="H8" s="3">
        <f t="shared" si="0"/>
        <v>15</v>
      </c>
      <c r="I8" s="3" t="str">
        <f t="shared" si="4"/>
        <v>L</v>
      </c>
      <c r="K8" s="7" t="s">
        <v>146</v>
      </c>
      <c r="L8" s="5">
        <f>L6/L7</f>
        <v>0.98528673097951347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115</v>
      </c>
      <c r="C9" t="s">
        <v>38</v>
      </c>
      <c r="E9" s="1" t="str">
        <f t="shared" si="1"/>
        <v>Away</v>
      </c>
      <c r="F9" s="3">
        <f t="shared" si="2"/>
        <v>3</v>
      </c>
      <c r="G9" s="3">
        <f t="shared" si="3"/>
        <v>5</v>
      </c>
      <c r="H9" s="3">
        <f t="shared" si="0"/>
        <v>8</v>
      </c>
      <c r="I9" s="3" t="str">
        <f t="shared" si="4"/>
        <v>L</v>
      </c>
      <c r="K9" s="7" t="s">
        <v>145</v>
      </c>
      <c r="L9" s="5">
        <f>(P7)/(P7-1+L8)</f>
        <v>1.0012276109325324</v>
      </c>
      <c r="O9" s="4"/>
      <c r="P9" s="1"/>
    </row>
    <row r="10" spans="1:16" x14ac:dyDescent="0.25">
      <c r="A10" t="s">
        <v>193</v>
      </c>
      <c r="B10" t="s">
        <v>98</v>
      </c>
      <c r="C10" t="s">
        <v>259</v>
      </c>
      <c r="E10" s="1" t="str">
        <f t="shared" si="1"/>
        <v>Home</v>
      </c>
      <c r="F10" s="3">
        <f t="shared" si="2"/>
        <v>0</v>
      </c>
      <c r="G10" s="3">
        <f t="shared" si="3"/>
        <v>5</v>
      </c>
      <c r="H10" s="3">
        <f t="shared" si="0"/>
        <v>5</v>
      </c>
      <c r="I10" s="3" t="str">
        <f t="shared" si="4"/>
        <v>L</v>
      </c>
      <c r="K10" s="4" t="s">
        <v>149</v>
      </c>
      <c r="L10" s="5">
        <f>L8*L9</f>
        <v>0.98649627974214305</v>
      </c>
      <c r="O10" s="4"/>
      <c r="P10" s="1"/>
    </row>
    <row r="11" spans="1:16" x14ac:dyDescent="0.25">
      <c r="A11" t="s">
        <v>22</v>
      </c>
      <c r="B11" t="s">
        <v>17</v>
      </c>
      <c r="C11" t="s">
        <v>216</v>
      </c>
      <c r="E11" s="1" t="str">
        <f t="shared" si="1"/>
        <v>Away</v>
      </c>
      <c r="F11" s="3">
        <f t="shared" si="2"/>
        <v>13</v>
      </c>
      <c r="G11" s="3">
        <f t="shared" si="3"/>
        <v>9</v>
      </c>
      <c r="H11" s="3">
        <f t="shared" si="0"/>
        <v>22</v>
      </c>
      <c r="I11" s="3" t="str">
        <f t="shared" si="4"/>
        <v>W</v>
      </c>
      <c r="K11" s="4" t="s">
        <v>148</v>
      </c>
      <c r="L11" s="5">
        <f>1 - ((L10-1)/(P7-1))</f>
        <v>1.0012276109325324</v>
      </c>
      <c r="O11" s="4"/>
      <c r="P11" s="1"/>
    </row>
    <row r="12" spans="1:16" x14ac:dyDescent="0.25">
      <c r="A12" t="s">
        <v>25</v>
      </c>
      <c r="B12" t="s">
        <v>115</v>
      </c>
      <c r="C12" t="s">
        <v>239</v>
      </c>
      <c r="E12" s="1" t="str">
        <f t="shared" si="1"/>
        <v>Away</v>
      </c>
      <c r="F12" s="3">
        <f t="shared" si="2"/>
        <v>8</v>
      </c>
      <c r="G12" s="3">
        <f t="shared" si="3"/>
        <v>5</v>
      </c>
      <c r="H12" s="3">
        <f t="shared" si="0"/>
        <v>13</v>
      </c>
      <c r="I12" s="3" t="str">
        <f t="shared" si="4"/>
        <v>W</v>
      </c>
      <c r="K12" s="4" t="s">
        <v>150</v>
      </c>
      <c r="L12" s="5">
        <f>(($L4/$L11)+($L3/$L10)) * (1 + (L13-1)/($P7-1)) / $P8</f>
        <v>0.9340559045904957</v>
      </c>
      <c r="M12" s="5">
        <f t="shared" ref="M12:O12" si="5">(($L4/$L11)+($L3/$L10)) * (1 + (M13-1)/($P7-1)) / $P8</f>
        <v>0.925486529260097</v>
      </c>
      <c r="N12" s="5">
        <f t="shared" si="5"/>
        <v>0.92542669535832234</v>
      </c>
      <c r="O12" s="8">
        <f t="shared" si="5"/>
        <v>0.9254262775804023</v>
      </c>
      <c r="P12" s="5"/>
    </row>
    <row r="13" spans="1:16" x14ac:dyDescent="0.25">
      <c r="A13" t="s">
        <v>27</v>
      </c>
      <c r="B13" t="s">
        <v>98</v>
      </c>
      <c r="C13" t="s">
        <v>50</v>
      </c>
      <c r="E13" s="1" t="str">
        <f t="shared" si="1"/>
        <v>Home</v>
      </c>
      <c r="F13" s="3">
        <f t="shared" si="2"/>
        <v>3</v>
      </c>
      <c r="G13" s="3">
        <f t="shared" si="3"/>
        <v>4</v>
      </c>
      <c r="H13" s="3">
        <f t="shared" si="0"/>
        <v>7</v>
      </c>
      <c r="I13" s="3" t="str">
        <f t="shared" si="4"/>
        <v>L</v>
      </c>
      <c r="K13" s="4" t="s">
        <v>182</v>
      </c>
      <c r="L13" s="5">
        <v>1</v>
      </c>
      <c r="M13" s="5">
        <f>(($M4/$L11)+($M3/$L10)) * (1 + (L12-1)/($P7-1)) / $P8</f>
        <v>0.89908191986034047</v>
      </c>
      <c r="N13" s="5">
        <f>(($M4/$L11)+($M3/$L10)) * (1 + (M12-1)/($P7-1)) / $P8</f>
        <v>0.8983772801098866</v>
      </c>
      <c r="O13" s="5">
        <f>(($M4/$L11)+($M3/$L10)) * (1 + (N12-1)/($P7-1)) / $P8</f>
        <v>0.89837236010767052</v>
      </c>
      <c r="P13" s="8">
        <f>(($M4/$L11)+($M3/$L10)) * (1 + (O12-1)/($P7-1)) / $P8</f>
        <v>0.89837232575476644</v>
      </c>
    </row>
    <row r="14" spans="1:16" x14ac:dyDescent="0.25">
      <c r="A14" t="s">
        <v>29</v>
      </c>
      <c r="B14" t="s">
        <v>124</v>
      </c>
      <c r="C14" t="s">
        <v>295</v>
      </c>
      <c r="E14" s="1" t="str">
        <f t="shared" si="1"/>
        <v>Away</v>
      </c>
      <c r="F14" s="3">
        <f t="shared" si="2"/>
        <v>1</v>
      </c>
      <c r="G14" s="3">
        <f t="shared" si="3"/>
        <v>0</v>
      </c>
      <c r="H14" s="3">
        <f t="shared" si="0"/>
        <v>1</v>
      </c>
      <c r="I14" s="3" t="str">
        <f t="shared" si="4"/>
        <v>W</v>
      </c>
      <c r="K14" s="4" t="s">
        <v>183</v>
      </c>
      <c r="L14" s="5">
        <f xml:space="preserve"> (L10+L11) / (2 * (1 + ((P13-1)/(P7-1))))</f>
        <v>1.0031297401058086</v>
      </c>
      <c r="N14" s="5"/>
    </row>
    <row r="15" spans="1:16" x14ac:dyDescent="0.25">
      <c r="A15" t="s">
        <v>32</v>
      </c>
      <c r="B15" t="s">
        <v>124</v>
      </c>
      <c r="C15" t="s">
        <v>389</v>
      </c>
      <c r="E15" s="1" t="str">
        <f t="shared" si="1"/>
        <v>Away</v>
      </c>
      <c r="F15" s="3">
        <f t="shared" si="2"/>
        <v>11</v>
      </c>
      <c r="G15" s="3">
        <f t="shared" si="3"/>
        <v>0</v>
      </c>
      <c r="H15" s="3">
        <f t="shared" si="0"/>
        <v>11</v>
      </c>
      <c r="I15" s="3" t="str">
        <f t="shared" si="4"/>
        <v>W</v>
      </c>
      <c r="K15" s="4" t="s">
        <v>184</v>
      </c>
      <c r="L15" s="5">
        <f xml:space="preserve"> (L10+L11) / (2 * (1 + ((O12-1)/(P7-1))))</f>
        <v>1.0006457524815109</v>
      </c>
    </row>
    <row r="16" spans="1:16" ht="15.75" thickBot="1" x14ac:dyDescent="0.3">
      <c r="A16" t="s">
        <v>34</v>
      </c>
      <c r="B16" t="s">
        <v>74</v>
      </c>
      <c r="C16" t="s">
        <v>320</v>
      </c>
      <c r="E16" s="1" t="str">
        <f t="shared" si="1"/>
        <v>Home</v>
      </c>
      <c r="F16" s="3">
        <f t="shared" si="2"/>
        <v>5</v>
      </c>
      <c r="G16" s="3">
        <f t="shared" si="3"/>
        <v>1</v>
      </c>
      <c r="H16" s="3">
        <f t="shared" si="0"/>
        <v>6</v>
      </c>
      <c r="I16" s="3" t="str">
        <f t="shared" si="4"/>
        <v>W</v>
      </c>
    </row>
    <row r="17" spans="1:14" x14ac:dyDescent="0.25">
      <c r="A17" t="s">
        <v>37</v>
      </c>
      <c r="B17" t="s">
        <v>74</v>
      </c>
      <c r="C17" t="s">
        <v>15</v>
      </c>
      <c r="E17" s="1" t="str">
        <f t="shared" si="1"/>
        <v>Home</v>
      </c>
      <c r="F17" s="3">
        <f t="shared" si="2"/>
        <v>3</v>
      </c>
      <c r="G17" s="3">
        <f t="shared" si="3"/>
        <v>1</v>
      </c>
      <c r="H17" s="3">
        <f t="shared" si="0"/>
        <v>4</v>
      </c>
      <c r="I17" s="3" t="str">
        <f t="shared" si="4"/>
        <v>W</v>
      </c>
      <c r="K17" s="9" t="s">
        <v>185</v>
      </c>
      <c r="L17" s="10">
        <f>L14*100</f>
        <v>100.31297401058086</v>
      </c>
    </row>
    <row r="18" spans="1:14" ht="15.75" thickBot="1" x14ac:dyDescent="0.3">
      <c r="A18" t="s">
        <v>39</v>
      </c>
      <c r="B18" t="s">
        <v>58</v>
      </c>
      <c r="C18" t="s">
        <v>59</v>
      </c>
      <c r="E18" s="1" t="str">
        <f t="shared" si="1"/>
        <v>Away</v>
      </c>
      <c r="F18" s="3">
        <f t="shared" si="2"/>
        <v>11</v>
      </c>
      <c r="G18" s="3">
        <f t="shared" si="3"/>
        <v>7</v>
      </c>
      <c r="H18" s="3">
        <f t="shared" si="0"/>
        <v>18</v>
      </c>
      <c r="I18" s="3" t="str">
        <f t="shared" si="4"/>
        <v>W</v>
      </c>
      <c r="K18" s="11" t="s">
        <v>186</v>
      </c>
      <c r="L18" s="12">
        <f>L15*100</f>
        <v>100.06457524815109</v>
      </c>
    </row>
    <row r="19" spans="1:14" x14ac:dyDescent="0.25">
      <c r="A19" t="s">
        <v>41</v>
      </c>
      <c r="B19" t="s">
        <v>20</v>
      </c>
      <c r="C19" t="s">
        <v>270</v>
      </c>
      <c r="E19" s="1" t="str">
        <f t="shared" si="1"/>
        <v>Home</v>
      </c>
      <c r="F19" s="3">
        <f t="shared" si="2"/>
        <v>4</v>
      </c>
      <c r="G19" s="3">
        <f t="shared" si="3"/>
        <v>3</v>
      </c>
      <c r="H19" s="3">
        <f t="shared" si="0"/>
        <v>7</v>
      </c>
      <c r="I19" s="3" t="str">
        <f t="shared" si="4"/>
        <v>W</v>
      </c>
    </row>
    <row r="20" spans="1:14" x14ac:dyDescent="0.25">
      <c r="A20" t="s">
        <v>43</v>
      </c>
      <c r="B20" t="s">
        <v>17</v>
      </c>
      <c r="C20" t="s">
        <v>269</v>
      </c>
      <c r="E20" s="1" t="str">
        <f t="shared" si="1"/>
        <v>Away</v>
      </c>
      <c r="F20" s="3">
        <f t="shared" si="2"/>
        <v>2</v>
      </c>
      <c r="G20" s="3">
        <f t="shared" si="3"/>
        <v>3</v>
      </c>
      <c r="H20" s="3">
        <f t="shared" si="0"/>
        <v>5</v>
      </c>
      <c r="I20" s="3" t="str">
        <f t="shared" si="4"/>
        <v>L</v>
      </c>
    </row>
    <row r="21" spans="1:14" x14ac:dyDescent="0.25">
      <c r="A21" t="s">
        <v>43</v>
      </c>
      <c r="B21" t="s">
        <v>5</v>
      </c>
      <c r="C21" t="s">
        <v>197</v>
      </c>
      <c r="E21" s="1" t="str">
        <f t="shared" si="1"/>
        <v>Home</v>
      </c>
      <c r="F21" s="3">
        <f t="shared" si="2"/>
        <v>0</v>
      </c>
      <c r="G21" s="3">
        <f t="shared" si="3"/>
        <v>1</v>
      </c>
      <c r="H21" s="3">
        <f t="shared" si="0"/>
        <v>1</v>
      </c>
      <c r="I21" s="3" t="str">
        <f t="shared" si="4"/>
        <v>L</v>
      </c>
    </row>
    <row r="22" spans="1:14" x14ac:dyDescent="0.25">
      <c r="A22" t="s">
        <v>45</v>
      </c>
      <c r="B22" t="s">
        <v>5</v>
      </c>
      <c r="C22" t="s">
        <v>36</v>
      </c>
      <c r="E22" s="1" t="str">
        <f t="shared" si="1"/>
        <v>Home</v>
      </c>
      <c r="F22" s="3">
        <f t="shared" si="2"/>
        <v>1</v>
      </c>
      <c r="G22" s="3">
        <f t="shared" si="3"/>
        <v>5</v>
      </c>
      <c r="H22" s="3">
        <f t="shared" si="0"/>
        <v>6</v>
      </c>
      <c r="I22" s="3" t="str">
        <f t="shared" si="4"/>
        <v>L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124</v>
      </c>
      <c r="C23" t="s">
        <v>21</v>
      </c>
      <c r="E23" s="1" t="str">
        <f t="shared" si="1"/>
        <v>Away</v>
      </c>
      <c r="F23" s="3">
        <f t="shared" si="2"/>
        <v>6</v>
      </c>
      <c r="G23" s="3">
        <f t="shared" si="3"/>
        <v>1</v>
      </c>
      <c r="H23" s="3">
        <f t="shared" si="0"/>
        <v>7</v>
      </c>
      <c r="I23" s="3" t="str">
        <f t="shared" si="4"/>
        <v>W</v>
      </c>
      <c r="K23" s="1">
        <f>COUNTIFS(Table12[At], "Home",Table12[Result], "W")</f>
        <v>21</v>
      </c>
      <c r="L23" s="1">
        <f>COUNTIFS(Table12[At], "Home",Table12[Result], "L")</f>
        <v>15</v>
      </c>
      <c r="M23" s="1">
        <f>COUNTIFS(Table12[At], "Away",Table12[Result], "W")</f>
        <v>15</v>
      </c>
      <c r="N23" s="1">
        <f>COUNTIFS(Table12[At], "Away",Table12[Result], "L")</f>
        <v>21</v>
      </c>
    </row>
    <row r="24" spans="1:14" x14ac:dyDescent="0.25">
      <c r="A24" t="s">
        <v>49</v>
      </c>
      <c r="B24" t="s">
        <v>124</v>
      </c>
      <c r="C24" t="s">
        <v>132</v>
      </c>
      <c r="E24" s="1" t="str">
        <f t="shared" si="1"/>
        <v>Away</v>
      </c>
      <c r="F24" s="3">
        <f t="shared" si="2"/>
        <v>3</v>
      </c>
      <c r="G24" s="3">
        <f t="shared" si="3"/>
        <v>6</v>
      </c>
      <c r="H24" s="3">
        <f t="shared" si="0"/>
        <v>9</v>
      </c>
      <c r="I24" s="3" t="str">
        <f t="shared" si="4"/>
        <v>L</v>
      </c>
      <c r="K24" s="1"/>
      <c r="M24" s="1"/>
      <c r="N24" s="1"/>
    </row>
    <row r="25" spans="1:14" x14ac:dyDescent="0.25">
      <c r="A25" t="s">
        <v>51</v>
      </c>
      <c r="B25" t="s">
        <v>321</v>
      </c>
      <c r="C25" t="s">
        <v>390</v>
      </c>
      <c r="E25" s="1" t="str">
        <f t="shared" si="1"/>
        <v>Home</v>
      </c>
      <c r="F25" s="3">
        <f t="shared" si="2"/>
        <v>26</v>
      </c>
      <c r="G25" s="3">
        <f t="shared" si="3"/>
        <v>7</v>
      </c>
      <c r="H25" s="3">
        <f t="shared" si="0"/>
        <v>33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321</v>
      </c>
      <c r="C26" t="s">
        <v>205</v>
      </c>
      <c r="E26" s="1" t="str">
        <f t="shared" si="1"/>
        <v>Home</v>
      </c>
      <c r="F26" s="3">
        <f t="shared" si="2"/>
        <v>5</v>
      </c>
      <c r="G26" s="3">
        <f t="shared" si="3"/>
        <v>6</v>
      </c>
      <c r="H26" s="3">
        <f t="shared" si="0"/>
        <v>11</v>
      </c>
      <c r="I26" s="3" t="str">
        <f t="shared" si="4"/>
        <v>L</v>
      </c>
      <c r="K26" s="1">
        <f>COUNTIFS(Table12[oR/G], "&gt;0",Table12[Result], "W")</f>
        <v>18</v>
      </c>
      <c r="L26" s="1">
        <f>COUNTIFS(Table12[oR/G], "&gt;0",Table12[Result], "l")</f>
        <v>22</v>
      </c>
      <c r="M26" s="1">
        <f>COUNTIFS(Table12[oR/G], "&lt;0",Table12[Result], "W")</f>
        <v>18</v>
      </c>
      <c r="N26" s="1">
        <f>COUNTIFS(Table12[oR/G], "&lt;0",Table12[Result], "l")</f>
        <v>14</v>
      </c>
    </row>
    <row r="27" spans="1:14" x14ac:dyDescent="0.25">
      <c r="A27" t="s">
        <v>53</v>
      </c>
      <c r="B27" t="s">
        <v>333</v>
      </c>
      <c r="C27" t="s">
        <v>230</v>
      </c>
      <c r="E27" s="1" t="str">
        <f t="shared" si="1"/>
        <v>Home</v>
      </c>
      <c r="F27" s="3">
        <f t="shared" si="2"/>
        <v>4</v>
      </c>
      <c r="G27" s="3">
        <f t="shared" si="3"/>
        <v>9</v>
      </c>
      <c r="H27" s="3">
        <f t="shared" si="0"/>
        <v>13</v>
      </c>
      <c r="I27" s="3" t="str">
        <f t="shared" si="4"/>
        <v>L</v>
      </c>
    </row>
    <row r="28" spans="1:14" x14ac:dyDescent="0.25">
      <c r="A28" t="s">
        <v>54</v>
      </c>
      <c r="B28" t="s">
        <v>115</v>
      </c>
      <c r="C28" t="s">
        <v>269</v>
      </c>
      <c r="E28" s="1" t="str">
        <f t="shared" si="1"/>
        <v>Away</v>
      </c>
      <c r="F28" s="3">
        <f t="shared" si="2"/>
        <v>2</v>
      </c>
      <c r="G28" s="3">
        <f t="shared" si="3"/>
        <v>3</v>
      </c>
      <c r="H28" s="3">
        <f t="shared" si="0"/>
        <v>5</v>
      </c>
      <c r="I28" s="3" t="str">
        <f t="shared" si="4"/>
        <v>L</v>
      </c>
    </row>
    <row r="29" spans="1:14" x14ac:dyDescent="0.25">
      <c r="A29" t="s">
        <v>54</v>
      </c>
      <c r="B29" t="s">
        <v>115</v>
      </c>
      <c r="C29" t="s">
        <v>128</v>
      </c>
      <c r="E29" s="1" t="str">
        <f t="shared" si="1"/>
        <v>Away</v>
      </c>
      <c r="F29" s="3">
        <f t="shared" si="2"/>
        <v>6</v>
      </c>
      <c r="G29" s="3">
        <f t="shared" si="3"/>
        <v>5</v>
      </c>
      <c r="H29" s="3">
        <f t="shared" si="0"/>
        <v>11</v>
      </c>
      <c r="I29" s="3" t="str">
        <f t="shared" si="4"/>
        <v>W</v>
      </c>
    </row>
    <row r="30" spans="1:14" x14ac:dyDescent="0.25">
      <c r="A30" t="s">
        <v>57</v>
      </c>
      <c r="B30" t="s">
        <v>333</v>
      </c>
      <c r="C30" t="s">
        <v>322</v>
      </c>
      <c r="E30" s="1" t="str">
        <f t="shared" si="1"/>
        <v>Home</v>
      </c>
      <c r="F30" s="3">
        <f t="shared" si="2"/>
        <v>6</v>
      </c>
      <c r="G30" s="3">
        <f t="shared" si="3"/>
        <v>7</v>
      </c>
      <c r="H30" s="3">
        <f t="shared" si="0"/>
        <v>13</v>
      </c>
      <c r="I30" s="3" t="str">
        <f t="shared" si="4"/>
        <v>L</v>
      </c>
    </row>
    <row r="31" spans="1:14" x14ac:dyDescent="0.25">
      <c r="A31" t="s">
        <v>57</v>
      </c>
      <c r="B31" t="s">
        <v>333</v>
      </c>
      <c r="C31" t="s">
        <v>322</v>
      </c>
      <c r="E31" s="1" t="str">
        <f t="shared" si="1"/>
        <v>Home</v>
      </c>
      <c r="F31" s="3">
        <f t="shared" si="2"/>
        <v>6</v>
      </c>
      <c r="G31" s="3">
        <f t="shared" si="3"/>
        <v>7</v>
      </c>
      <c r="H31" s="3">
        <f t="shared" si="0"/>
        <v>13</v>
      </c>
      <c r="I31" s="3" t="str">
        <f t="shared" si="4"/>
        <v>L</v>
      </c>
    </row>
    <row r="32" spans="1:14" x14ac:dyDescent="0.25">
      <c r="A32" t="s">
        <v>60</v>
      </c>
      <c r="B32" t="s">
        <v>332</v>
      </c>
      <c r="C32" t="s">
        <v>276</v>
      </c>
      <c r="E32" s="1" t="str">
        <f t="shared" si="1"/>
        <v>Away</v>
      </c>
      <c r="F32" s="3">
        <f t="shared" si="2"/>
        <v>2</v>
      </c>
      <c r="G32" s="3">
        <f t="shared" si="3"/>
        <v>4</v>
      </c>
      <c r="H32" s="3">
        <f t="shared" si="0"/>
        <v>6</v>
      </c>
      <c r="I32" s="3" t="str">
        <f t="shared" si="4"/>
        <v>L</v>
      </c>
    </row>
    <row r="33" spans="1:9" x14ac:dyDescent="0.25">
      <c r="A33" t="s">
        <v>62</v>
      </c>
      <c r="B33" t="s">
        <v>124</v>
      </c>
      <c r="C33" t="s">
        <v>207</v>
      </c>
      <c r="E33" s="1" t="str">
        <f t="shared" si="1"/>
        <v>Away</v>
      </c>
      <c r="F33" s="3">
        <f t="shared" si="2"/>
        <v>3</v>
      </c>
      <c r="G33" s="3">
        <f t="shared" si="3"/>
        <v>8</v>
      </c>
      <c r="H33" s="3">
        <f t="shared" si="0"/>
        <v>11</v>
      </c>
      <c r="I33" s="3" t="str">
        <f t="shared" si="4"/>
        <v>L</v>
      </c>
    </row>
    <row r="34" spans="1:9" x14ac:dyDescent="0.25">
      <c r="A34" t="s">
        <v>64</v>
      </c>
      <c r="B34" t="s">
        <v>124</v>
      </c>
      <c r="C34" t="s">
        <v>264</v>
      </c>
      <c r="E34" s="1" t="str">
        <f t="shared" si="1"/>
        <v>Away</v>
      </c>
      <c r="F34" s="3">
        <f t="shared" si="2"/>
        <v>6</v>
      </c>
      <c r="G34" s="3">
        <f t="shared" si="3"/>
        <v>2</v>
      </c>
      <c r="H34" s="3">
        <f t="shared" si="0"/>
        <v>8</v>
      </c>
      <c r="I34" s="3" t="str">
        <f t="shared" si="4"/>
        <v>W</v>
      </c>
    </row>
    <row r="35" spans="1:9" x14ac:dyDescent="0.25">
      <c r="A35" t="s">
        <v>66</v>
      </c>
      <c r="B35" t="s">
        <v>98</v>
      </c>
      <c r="C35" t="s">
        <v>293</v>
      </c>
      <c r="E35" s="1" t="str">
        <f t="shared" si="1"/>
        <v>Home</v>
      </c>
      <c r="F35" s="3">
        <f t="shared" si="2"/>
        <v>13</v>
      </c>
      <c r="G35" s="3">
        <f t="shared" si="3"/>
        <v>3</v>
      </c>
      <c r="H35" s="3">
        <f t="shared" si="0"/>
        <v>16</v>
      </c>
      <c r="I35" s="3" t="str">
        <f t="shared" si="4"/>
        <v>W</v>
      </c>
    </row>
    <row r="36" spans="1:9" x14ac:dyDescent="0.25">
      <c r="A36" t="s">
        <v>67</v>
      </c>
      <c r="B36" t="s">
        <v>115</v>
      </c>
      <c r="C36" t="s">
        <v>79</v>
      </c>
      <c r="E36" s="1" t="str">
        <f t="shared" si="1"/>
        <v>Away</v>
      </c>
      <c r="F36" s="3">
        <f t="shared" si="2"/>
        <v>8</v>
      </c>
      <c r="G36" s="3">
        <f t="shared" si="3"/>
        <v>15</v>
      </c>
      <c r="H36" s="3">
        <f t="shared" si="0"/>
        <v>23</v>
      </c>
      <c r="I36" s="3" t="str">
        <f t="shared" si="4"/>
        <v>L</v>
      </c>
    </row>
    <row r="37" spans="1:9" x14ac:dyDescent="0.25">
      <c r="A37" t="s">
        <v>68</v>
      </c>
      <c r="B37" t="s">
        <v>120</v>
      </c>
      <c r="C37" t="s">
        <v>24</v>
      </c>
      <c r="E37" s="1" t="str">
        <f t="shared" si="1"/>
        <v>Away</v>
      </c>
      <c r="F37" s="3">
        <f t="shared" si="2"/>
        <v>10</v>
      </c>
      <c r="G37" s="3">
        <f t="shared" si="3"/>
        <v>5</v>
      </c>
      <c r="H37" s="3">
        <f t="shared" si="0"/>
        <v>15</v>
      </c>
      <c r="I37" s="3" t="str">
        <f t="shared" si="4"/>
        <v>W</v>
      </c>
    </row>
    <row r="38" spans="1:9" x14ac:dyDescent="0.25">
      <c r="A38" t="s">
        <v>73</v>
      </c>
      <c r="B38" t="s">
        <v>98</v>
      </c>
      <c r="C38" t="s">
        <v>90</v>
      </c>
      <c r="E38" s="1" t="str">
        <f t="shared" si="1"/>
        <v>Home</v>
      </c>
      <c r="F38" s="3">
        <f t="shared" si="2"/>
        <v>0</v>
      </c>
      <c r="G38" s="3">
        <f t="shared" si="3"/>
        <v>8</v>
      </c>
      <c r="H38" s="3">
        <f t="shared" si="0"/>
        <v>8</v>
      </c>
      <c r="I38" s="3" t="str">
        <f t="shared" si="4"/>
        <v>L</v>
      </c>
    </row>
    <row r="39" spans="1:9" x14ac:dyDescent="0.25">
      <c r="A39" t="s">
        <v>209</v>
      </c>
      <c r="B39" t="s">
        <v>98</v>
      </c>
      <c r="C39" t="s">
        <v>50</v>
      </c>
      <c r="E39" s="1" t="str">
        <f t="shared" si="1"/>
        <v>Home</v>
      </c>
      <c r="F39" s="3">
        <f t="shared" si="2"/>
        <v>3</v>
      </c>
      <c r="G39" s="3">
        <f t="shared" si="3"/>
        <v>4</v>
      </c>
      <c r="H39" s="3">
        <f t="shared" si="0"/>
        <v>7</v>
      </c>
      <c r="I39" s="3" t="str">
        <f t="shared" si="4"/>
        <v>L</v>
      </c>
    </row>
    <row r="40" spans="1:9" x14ac:dyDescent="0.25">
      <c r="A40" t="s">
        <v>76</v>
      </c>
      <c r="B40" t="s">
        <v>103</v>
      </c>
      <c r="C40" t="s">
        <v>15</v>
      </c>
      <c r="E40" s="1" t="str">
        <f t="shared" si="1"/>
        <v>Home</v>
      </c>
      <c r="F40" s="3">
        <f t="shared" si="2"/>
        <v>3</v>
      </c>
      <c r="G40" s="3">
        <f t="shared" si="3"/>
        <v>1</v>
      </c>
      <c r="H40" s="3">
        <f t="shared" si="0"/>
        <v>4</v>
      </c>
      <c r="I40" s="3" t="str">
        <f t="shared" si="4"/>
        <v>W</v>
      </c>
    </row>
    <row r="41" spans="1:9" x14ac:dyDescent="0.25">
      <c r="A41" t="s">
        <v>78</v>
      </c>
      <c r="B41" t="s">
        <v>103</v>
      </c>
      <c r="C41" t="s">
        <v>15</v>
      </c>
      <c r="E41" s="1" t="str">
        <f t="shared" si="1"/>
        <v>Home</v>
      </c>
      <c r="F41" s="3">
        <f t="shared" si="2"/>
        <v>3</v>
      </c>
      <c r="G41" s="3">
        <f t="shared" si="3"/>
        <v>1</v>
      </c>
      <c r="H41" s="3">
        <f t="shared" si="0"/>
        <v>4</v>
      </c>
      <c r="I41" s="3" t="str">
        <f t="shared" si="4"/>
        <v>W</v>
      </c>
    </row>
    <row r="42" spans="1:9" x14ac:dyDescent="0.25">
      <c r="A42" t="s">
        <v>80</v>
      </c>
      <c r="B42" t="s">
        <v>69</v>
      </c>
      <c r="C42" t="s">
        <v>298</v>
      </c>
      <c r="E42" s="1" t="str">
        <f t="shared" si="1"/>
        <v>Home</v>
      </c>
      <c r="F42" s="3">
        <f t="shared" si="2"/>
        <v>1</v>
      </c>
      <c r="G42" s="3">
        <f t="shared" si="3"/>
        <v>2</v>
      </c>
      <c r="H42" s="3">
        <f t="shared" si="0"/>
        <v>3</v>
      </c>
      <c r="I42" s="3" t="str">
        <f t="shared" si="4"/>
        <v>L</v>
      </c>
    </row>
    <row r="43" spans="1:9" x14ac:dyDescent="0.25">
      <c r="A43" t="s">
        <v>81</v>
      </c>
      <c r="B43" t="s">
        <v>69</v>
      </c>
      <c r="C43" t="s">
        <v>255</v>
      </c>
      <c r="E43" s="1" t="str">
        <f t="shared" si="1"/>
        <v>Home</v>
      </c>
      <c r="F43" s="3">
        <f t="shared" si="2"/>
        <v>4</v>
      </c>
      <c r="G43" s="3">
        <f t="shared" si="3"/>
        <v>10</v>
      </c>
      <c r="H43" s="3">
        <f t="shared" si="0"/>
        <v>14</v>
      </c>
      <c r="I43" s="3" t="str">
        <f t="shared" si="4"/>
        <v>L</v>
      </c>
    </row>
    <row r="44" spans="1:9" x14ac:dyDescent="0.25">
      <c r="A44" t="s">
        <v>82</v>
      </c>
      <c r="B44" t="s">
        <v>120</v>
      </c>
      <c r="C44" t="s">
        <v>125</v>
      </c>
      <c r="E44" s="1" t="str">
        <f t="shared" si="1"/>
        <v>Away</v>
      </c>
      <c r="F44" s="3">
        <f t="shared" si="2"/>
        <v>0</v>
      </c>
      <c r="G44" s="3">
        <f t="shared" si="3"/>
        <v>4</v>
      </c>
      <c r="H44" s="3">
        <f t="shared" si="0"/>
        <v>4</v>
      </c>
      <c r="I44" s="3" t="str">
        <f t="shared" si="4"/>
        <v>L</v>
      </c>
    </row>
    <row r="45" spans="1:9" x14ac:dyDescent="0.25">
      <c r="A45" t="s">
        <v>82</v>
      </c>
      <c r="B45" t="s">
        <v>120</v>
      </c>
      <c r="C45" t="s">
        <v>269</v>
      </c>
      <c r="E45" s="1" t="str">
        <f t="shared" si="1"/>
        <v>Away</v>
      </c>
      <c r="F45" s="3">
        <f t="shared" si="2"/>
        <v>2</v>
      </c>
      <c r="G45" s="3">
        <f t="shared" si="3"/>
        <v>3</v>
      </c>
      <c r="H45" s="3">
        <f t="shared" si="0"/>
        <v>5</v>
      </c>
      <c r="I45" s="3" t="str">
        <f t="shared" si="4"/>
        <v>L</v>
      </c>
    </row>
    <row r="46" spans="1:9" x14ac:dyDescent="0.25">
      <c r="A46" t="s">
        <v>84</v>
      </c>
      <c r="B46" t="s">
        <v>120</v>
      </c>
      <c r="C46" t="s">
        <v>242</v>
      </c>
      <c r="E46" s="1" t="str">
        <f t="shared" si="1"/>
        <v>Away</v>
      </c>
      <c r="F46" s="3">
        <f t="shared" si="2"/>
        <v>13</v>
      </c>
      <c r="G46" s="3">
        <f t="shared" si="3"/>
        <v>1</v>
      </c>
      <c r="H46" s="3">
        <f t="shared" si="0"/>
        <v>14</v>
      </c>
      <c r="I46" s="3" t="str">
        <f t="shared" si="4"/>
        <v>W</v>
      </c>
    </row>
    <row r="47" spans="1:9" x14ac:dyDescent="0.25">
      <c r="A47" t="s">
        <v>86</v>
      </c>
      <c r="B47" t="s">
        <v>319</v>
      </c>
      <c r="C47" t="s">
        <v>125</v>
      </c>
      <c r="E47" s="1" t="str">
        <f t="shared" si="1"/>
        <v>Away</v>
      </c>
      <c r="F47" s="3">
        <f t="shared" si="2"/>
        <v>0</v>
      </c>
      <c r="G47" s="3">
        <f t="shared" si="3"/>
        <v>4</v>
      </c>
      <c r="H47" s="3">
        <f t="shared" si="0"/>
        <v>4</v>
      </c>
      <c r="I47" s="3" t="str">
        <f t="shared" si="4"/>
        <v>L</v>
      </c>
    </row>
    <row r="48" spans="1:9" x14ac:dyDescent="0.25">
      <c r="A48" t="s">
        <v>86</v>
      </c>
      <c r="B48" t="s">
        <v>319</v>
      </c>
      <c r="C48" t="s">
        <v>391</v>
      </c>
      <c r="E48" s="1" t="str">
        <f t="shared" si="1"/>
        <v>Away</v>
      </c>
      <c r="F48" s="3">
        <f t="shared" si="2"/>
        <v>11</v>
      </c>
      <c r="G48" s="3">
        <f t="shared" si="3"/>
        <v>5</v>
      </c>
      <c r="H48" s="3">
        <f t="shared" si="0"/>
        <v>16</v>
      </c>
      <c r="I48" s="3" t="str">
        <f t="shared" si="4"/>
        <v>W</v>
      </c>
    </row>
    <row r="49" spans="1:9" x14ac:dyDescent="0.25">
      <c r="A49" t="s">
        <v>88</v>
      </c>
      <c r="B49" t="s">
        <v>103</v>
      </c>
      <c r="C49" t="s">
        <v>226</v>
      </c>
      <c r="E49" s="1" t="str">
        <f t="shared" si="1"/>
        <v>Home</v>
      </c>
      <c r="F49" s="3">
        <f t="shared" si="2"/>
        <v>3</v>
      </c>
      <c r="G49" s="3">
        <f t="shared" si="3"/>
        <v>2</v>
      </c>
      <c r="H49" s="3">
        <f t="shared" si="0"/>
        <v>5</v>
      </c>
      <c r="I49" s="3" t="str">
        <f t="shared" si="4"/>
        <v>W</v>
      </c>
    </row>
    <row r="50" spans="1:9" x14ac:dyDescent="0.25">
      <c r="A50" t="s">
        <v>91</v>
      </c>
      <c r="B50" t="s">
        <v>103</v>
      </c>
      <c r="C50" t="s">
        <v>226</v>
      </c>
      <c r="E50" s="1" t="str">
        <f t="shared" si="1"/>
        <v>Home</v>
      </c>
      <c r="F50" s="3">
        <f t="shared" si="2"/>
        <v>3</v>
      </c>
      <c r="G50" s="3">
        <f t="shared" si="3"/>
        <v>2</v>
      </c>
      <c r="H50" s="3">
        <f t="shared" si="0"/>
        <v>5</v>
      </c>
      <c r="I50" s="3" t="str">
        <f t="shared" si="4"/>
        <v>W</v>
      </c>
    </row>
    <row r="51" spans="1:9" x14ac:dyDescent="0.25">
      <c r="A51" t="s">
        <v>93</v>
      </c>
      <c r="B51" t="s">
        <v>321</v>
      </c>
      <c r="C51" t="s">
        <v>42</v>
      </c>
      <c r="E51" s="1" t="str">
        <f t="shared" si="1"/>
        <v>Home</v>
      </c>
      <c r="F51" s="3">
        <f t="shared" si="2"/>
        <v>0</v>
      </c>
      <c r="G51" s="3">
        <f t="shared" si="3"/>
        <v>3</v>
      </c>
      <c r="H51" s="3">
        <f t="shared" si="0"/>
        <v>3</v>
      </c>
      <c r="I51" s="3" t="str">
        <f t="shared" si="4"/>
        <v>L</v>
      </c>
    </row>
    <row r="52" spans="1:9" x14ac:dyDescent="0.25">
      <c r="A52" t="s">
        <v>96</v>
      </c>
      <c r="B52" t="s">
        <v>321</v>
      </c>
      <c r="C52" t="s">
        <v>132</v>
      </c>
      <c r="E52" s="1" t="str">
        <f t="shared" si="1"/>
        <v>Home</v>
      </c>
      <c r="F52" s="3">
        <f t="shared" si="2"/>
        <v>3</v>
      </c>
      <c r="G52" s="3">
        <f t="shared" si="3"/>
        <v>6</v>
      </c>
      <c r="H52" s="3">
        <f t="shared" si="0"/>
        <v>9</v>
      </c>
      <c r="I52" s="3" t="str">
        <f t="shared" si="4"/>
        <v>L</v>
      </c>
    </row>
    <row r="53" spans="1:9" x14ac:dyDescent="0.25">
      <c r="A53" t="s">
        <v>97</v>
      </c>
      <c r="B53" t="s">
        <v>120</v>
      </c>
      <c r="C53" t="s">
        <v>205</v>
      </c>
      <c r="E53" s="1" t="str">
        <f t="shared" si="1"/>
        <v>Away</v>
      </c>
      <c r="F53" s="3">
        <f t="shared" si="2"/>
        <v>5</v>
      </c>
      <c r="G53" s="3">
        <f t="shared" si="3"/>
        <v>6</v>
      </c>
      <c r="H53" s="3">
        <f t="shared" si="0"/>
        <v>11</v>
      </c>
      <c r="I53" s="3" t="str">
        <f t="shared" si="4"/>
        <v>L</v>
      </c>
    </row>
    <row r="54" spans="1:9" x14ac:dyDescent="0.25">
      <c r="A54" t="s">
        <v>100</v>
      </c>
      <c r="B54" t="s">
        <v>120</v>
      </c>
      <c r="C54" t="s">
        <v>317</v>
      </c>
      <c r="E54" s="1" t="str">
        <f t="shared" si="1"/>
        <v>Away</v>
      </c>
      <c r="F54" s="3">
        <f t="shared" si="2"/>
        <v>15</v>
      </c>
      <c r="G54" s="3">
        <f t="shared" si="3"/>
        <v>7</v>
      </c>
      <c r="H54" s="3">
        <f t="shared" si="0"/>
        <v>22</v>
      </c>
      <c r="I54" s="3" t="str">
        <f t="shared" si="4"/>
        <v>W</v>
      </c>
    </row>
    <row r="55" spans="1:9" x14ac:dyDescent="0.25">
      <c r="A55" t="s">
        <v>215</v>
      </c>
      <c r="B55" t="s">
        <v>332</v>
      </c>
      <c r="C55" t="s">
        <v>239</v>
      </c>
      <c r="E55" s="1" t="str">
        <f t="shared" si="1"/>
        <v>Away</v>
      </c>
      <c r="F55" s="3">
        <f t="shared" si="2"/>
        <v>8</v>
      </c>
      <c r="G55" s="3">
        <f t="shared" si="3"/>
        <v>5</v>
      </c>
      <c r="H55" s="3">
        <f t="shared" si="0"/>
        <v>13</v>
      </c>
      <c r="I55" s="3" t="str">
        <f t="shared" si="4"/>
        <v>W</v>
      </c>
    </row>
    <row r="56" spans="1:9" x14ac:dyDescent="0.25">
      <c r="A56" t="s">
        <v>102</v>
      </c>
      <c r="B56" t="s">
        <v>333</v>
      </c>
      <c r="C56" t="s">
        <v>212</v>
      </c>
      <c r="E56" s="1" t="str">
        <f t="shared" si="1"/>
        <v>Home</v>
      </c>
      <c r="F56" s="3">
        <f t="shared" si="2"/>
        <v>6</v>
      </c>
      <c r="G56" s="3">
        <f t="shared" si="3"/>
        <v>10</v>
      </c>
      <c r="H56" s="3">
        <f t="shared" si="0"/>
        <v>16</v>
      </c>
      <c r="I56" s="3" t="str">
        <f t="shared" si="4"/>
        <v>L</v>
      </c>
    </row>
    <row r="57" spans="1:9" x14ac:dyDescent="0.25">
      <c r="A57" t="s">
        <v>105</v>
      </c>
      <c r="B57" t="s">
        <v>103</v>
      </c>
      <c r="C57" t="s">
        <v>90</v>
      </c>
      <c r="E57" s="1" t="str">
        <f t="shared" si="1"/>
        <v>Home</v>
      </c>
      <c r="F57" s="3">
        <f t="shared" si="2"/>
        <v>0</v>
      </c>
      <c r="G57" s="3">
        <f t="shared" si="3"/>
        <v>8</v>
      </c>
      <c r="H57" s="3">
        <f t="shared" si="0"/>
        <v>8</v>
      </c>
      <c r="I57" s="3" t="str">
        <f t="shared" si="4"/>
        <v>L</v>
      </c>
    </row>
    <row r="58" spans="1:9" x14ac:dyDescent="0.25">
      <c r="A58" t="s">
        <v>107</v>
      </c>
      <c r="B58" t="s">
        <v>103</v>
      </c>
      <c r="C58" t="s">
        <v>226</v>
      </c>
      <c r="E58" s="1" t="str">
        <f t="shared" si="1"/>
        <v>Home</v>
      </c>
      <c r="F58" s="3">
        <f t="shared" si="2"/>
        <v>3</v>
      </c>
      <c r="G58" s="3">
        <f t="shared" si="3"/>
        <v>2</v>
      </c>
      <c r="H58" s="3">
        <f t="shared" si="0"/>
        <v>5</v>
      </c>
      <c r="I58" s="3" t="str">
        <f t="shared" si="4"/>
        <v>W</v>
      </c>
    </row>
    <row r="59" spans="1:9" x14ac:dyDescent="0.25">
      <c r="A59" t="s">
        <v>108</v>
      </c>
      <c r="B59" t="s">
        <v>332</v>
      </c>
      <c r="C59" t="s">
        <v>83</v>
      </c>
      <c r="E59" s="1" t="str">
        <f t="shared" si="1"/>
        <v>Away</v>
      </c>
      <c r="F59" s="3">
        <f t="shared" si="2"/>
        <v>4</v>
      </c>
      <c r="G59" s="3">
        <f t="shared" si="3"/>
        <v>7</v>
      </c>
      <c r="H59" s="3">
        <f t="shared" si="0"/>
        <v>11</v>
      </c>
      <c r="I59" s="3" t="str">
        <f t="shared" si="4"/>
        <v>L</v>
      </c>
    </row>
    <row r="60" spans="1:9" x14ac:dyDescent="0.25">
      <c r="A60" t="s">
        <v>110</v>
      </c>
      <c r="B60" t="s">
        <v>332</v>
      </c>
      <c r="C60" t="s">
        <v>132</v>
      </c>
      <c r="E60" s="1" t="str">
        <f t="shared" si="1"/>
        <v>Away</v>
      </c>
      <c r="F60" s="3">
        <f t="shared" si="2"/>
        <v>3</v>
      </c>
      <c r="G60" s="3">
        <f t="shared" si="3"/>
        <v>6</v>
      </c>
      <c r="H60" s="3">
        <f t="shared" si="0"/>
        <v>9</v>
      </c>
      <c r="I60" s="3" t="str">
        <f t="shared" si="4"/>
        <v>L</v>
      </c>
    </row>
    <row r="61" spans="1:9" x14ac:dyDescent="0.25">
      <c r="A61" t="s">
        <v>111</v>
      </c>
      <c r="B61" t="s">
        <v>74</v>
      </c>
      <c r="C61" t="s">
        <v>371</v>
      </c>
      <c r="E61" s="1" t="str">
        <f t="shared" si="1"/>
        <v>Home</v>
      </c>
      <c r="F61" s="3">
        <f t="shared" si="2"/>
        <v>18</v>
      </c>
      <c r="G61" s="3">
        <f t="shared" si="3"/>
        <v>2</v>
      </c>
      <c r="H61" s="3">
        <f t="shared" si="0"/>
        <v>20</v>
      </c>
      <c r="I61" s="3" t="str">
        <f t="shared" si="4"/>
        <v>W</v>
      </c>
    </row>
    <row r="62" spans="1:9" x14ac:dyDescent="0.25">
      <c r="A62" t="s">
        <v>112</v>
      </c>
      <c r="B62" t="s">
        <v>74</v>
      </c>
      <c r="C62" t="s">
        <v>246</v>
      </c>
      <c r="E62" s="1" t="str">
        <f t="shared" si="1"/>
        <v>Home</v>
      </c>
      <c r="F62" s="3">
        <f t="shared" si="2"/>
        <v>4</v>
      </c>
      <c r="G62" s="3">
        <f t="shared" si="3"/>
        <v>6</v>
      </c>
      <c r="H62" s="3">
        <f t="shared" si="0"/>
        <v>10</v>
      </c>
      <c r="I62" s="3" t="str">
        <f t="shared" si="4"/>
        <v>L</v>
      </c>
    </row>
    <row r="63" spans="1:9" x14ac:dyDescent="0.25">
      <c r="A63" t="s">
        <v>114</v>
      </c>
      <c r="B63" t="s">
        <v>319</v>
      </c>
      <c r="C63" t="s">
        <v>276</v>
      </c>
      <c r="E63" s="1" t="str">
        <f t="shared" si="1"/>
        <v>Away</v>
      </c>
      <c r="F63" s="3">
        <f t="shared" si="2"/>
        <v>2</v>
      </c>
      <c r="G63" s="3">
        <f t="shared" si="3"/>
        <v>4</v>
      </c>
      <c r="H63" s="3">
        <f t="shared" si="0"/>
        <v>6</v>
      </c>
      <c r="I63" s="3" t="str">
        <f t="shared" si="4"/>
        <v>L</v>
      </c>
    </row>
    <row r="64" spans="1:9" x14ac:dyDescent="0.25">
      <c r="A64" t="s">
        <v>117</v>
      </c>
      <c r="B64" t="s">
        <v>319</v>
      </c>
      <c r="C64" t="s">
        <v>259</v>
      </c>
      <c r="E64" s="1" t="str">
        <f t="shared" si="1"/>
        <v>Away</v>
      </c>
      <c r="F64" s="3">
        <f t="shared" si="2"/>
        <v>0</v>
      </c>
      <c r="G64" s="3">
        <f t="shared" si="3"/>
        <v>5</v>
      </c>
      <c r="H64" s="3">
        <f t="shared" si="0"/>
        <v>5</v>
      </c>
      <c r="I64" s="3" t="str">
        <f t="shared" si="4"/>
        <v>L</v>
      </c>
    </row>
    <row r="65" spans="1:10" x14ac:dyDescent="0.25">
      <c r="A65" t="s">
        <v>119</v>
      </c>
      <c r="B65" t="s">
        <v>20</v>
      </c>
      <c r="C65" t="s">
        <v>269</v>
      </c>
      <c r="E65" s="1" t="str">
        <f t="shared" si="1"/>
        <v>Home</v>
      </c>
      <c r="F65" s="3">
        <f t="shared" si="2"/>
        <v>2</v>
      </c>
      <c r="G65" s="3">
        <f t="shared" si="3"/>
        <v>3</v>
      </c>
      <c r="H65" s="3">
        <f t="shared" si="0"/>
        <v>5</v>
      </c>
      <c r="I65" s="3" t="str">
        <f t="shared" si="4"/>
        <v>L</v>
      </c>
    </row>
    <row r="66" spans="1:10" x14ac:dyDescent="0.25">
      <c r="A66" t="s">
        <v>122</v>
      </c>
      <c r="B66" t="s">
        <v>58</v>
      </c>
      <c r="C66" t="s">
        <v>28</v>
      </c>
      <c r="E66" s="1" t="str">
        <f t="shared" si="1"/>
        <v>Away</v>
      </c>
      <c r="F66" s="3">
        <f t="shared" si="2"/>
        <v>4</v>
      </c>
      <c r="G66" s="3">
        <f t="shared" si="3"/>
        <v>2</v>
      </c>
      <c r="H66" s="3">
        <f t="shared" si="0"/>
        <v>6</v>
      </c>
      <c r="I66" s="3" t="str">
        <f t="shared" si="4"/>
        <v>W</v>
      </c>
    </row>
    <row r="67" spans="1:10" x14ac:dyDescent="0.25">
      <c r="A67" t="s">
        <v>218</v>
      </c>
      <c r="B67" t="s">
        <v>10</v>
      </c>
      <c r="C67" t="s">
        <v>246</v>
      </c>
      <c r="E67" s="1" t="str">
        <f t="shared" si="1"/>
        <v>Away</v>
      </c>
      <c r="F67" s="3">
        <f t="shared" si="2"/>
        <v>4</v>
      </c>
      <c r="G67" s="3">
        <f t="shared" si="3"/>
        <v>6</v>
      </c>
      <c r="H67" s="3">
        <f t="shared" ref="H67:H73" si="6">F67+G67</f>
        <v>10</v>
      </c>
      <c r="I67" s="3" t="str">
        <f t="shared" si="4"/>
        <v>L</v>
      </c>
    </row>
    <row r="68" spans="1:10" x14ac:dyDescent="0.25">
      <c r="A68" t="s">
        <v>123</v>
      </c>
      <c r="B68" t="s">
        <v>10</v>
      </c>
      <c r="C68" t="s">
        <v>301</v>
      </c>
      <c r="E68" s="1" t="str">
        <f t="shared" ref="E68:E73" si="7">IF(LEFT(B68,1)="@","Away","Home")</f>
        <v>Away</v>
      </c>
      <c r="F68" s="3">
        <f t="shared" ref="F68:F73" si="8">_xlfn.NUMBERVALUE(MID(LEFT(C68,FIND("-",C68)-1),FIND(" ",C68)+1,LEN(C68)))</f>
        <v>3</v>
      </c>
      <c r="G68" s="3">
        <f t="shared" ref="G68:G73" si="9">_xlfn.NUMBERVALUE(RIGHT(C68,LEN(C68)-FIND("-",C68)))</f>
        <v>9</v>
      </c>
      <c r="H68" s="3">
        <f t="shared" si="6"/>
        <v>12</v>
      </c>
      <c r="I68" s="3" t="str">
        <f t="shared" ref="I68:I73" si="10">LEFT(C68,1)</f>
        <v>L</v>
      </c>
    </row>
    <row r="69" spans="1:10" x14ac:dyDescent="0.25">
      <c r="A69" t="s">
        <v>126</v>
      </c>
      <c r="B69" t="s">
        <v>333</v>
      </c>
      <c r="C69" t="s">
        <v>85</v>
      </c>
      <c r="E69" s="1" t="str">
        <f t="shared" si="7"/>
        <v>Home</v>
      </c>
      <c r="F69" s="3">
        <f t="shared" si="8"/>
        <v>5</v>
      </c>
      <c r="G69" s="3">
        <f t="shared" si="9"/>
        <v>3</v>
      </c>
      <c r="H69" s="3">
        <f t="shared" si="6"/>
        <v>8</v>
      </c>
      <c r="I69" s="3" t="str">
        <f t="shared" si="10"/>
        <v>W</v>
      </c>
    </row>
    <row r="70" spans="1:10" x14ac:dyDescent="0.25">
      <c r="A70" t="s">
        <v>129</v>
      </c>
      <c r="B70" t="s">
        <v>321</v>
      </c>
      <c r="C70" t="s">
        <v>260</v>
      </c>
      <c r="E70" s="1" t="str">
        <f t="shared" si="7"/>
        <v>Home</v>
      </c>
      <c r="F70" s="3">
        <f t="shared" si="8"/>
        <v>5</v>
      </c>
      <c r="G70" s="3">
        <f t="shared" si="9"/>
        <v>12</v>
      </c>
      <c r="H70" s="3">
        <f t="shared" si="6"/>
        <v>17</v>
      </c>
      <c r="I70" s="3" t="str">
        <f t="shared" si="10"/>
        <v>L</v>
      </c>
    </row>
    <row r="71" spans="1:10" x14ac:dyDescent="0.25">
      <c r="A71" t="s">
        <v>131</v>
      </c>
      <c r="B71" t="s">
        <v>321</v>
      </c>
      <c r="C71" t="s">
        <v>270</v>
      </c>
      <c r="E71" s="1" t="str">
        <f t="shared" si="7"/>
        <v>Home</v>
      </c>
      <c r="F71" s="3">
        <f t="shared" si="8"/>
        <v>4</v>
      </c>
      <c r="G71" s="3">
        <f t="shared" si="9"/>
        <v>3</v>
      </c>
      <c r="H71" s="3">
        <f t="shared" si="6"/>
        <v>7</v>
      </c>
      <c r="I71" s="3" t="str">
        <f t="shared" si="10"/>
        <v>W</v>
      </c>
    </row>
    <row r="72" spans="1:10" x14ac:dyDescent="0.25">
      <c r="A72" t="s">
        <v>133</v>
      </c>
      <c r="B72" t="s">
        <v>115</v>
      </c>
      <c r="C72" t="s">
        <v>223</v>
      </c>
      <c r="E72" s="1" t="str">
        <f t="shared" si="7"/>
        <v>Away</v>
      </c>
      <c r="F72" s="3">
        <f t="shared" si="8"/>
        <v>10</v>
      </c>
      <c r="G72" s="3">
        <f t="shared" si="9"/>
        <v>4</v>
      </c>
      <c r="H72" s="3">
        <f t="shared" si="6"/>
        <v>14</v>
      </c>
      <c r="I72" s="3" t="str">
        <f t="shared" si="10"/>
        <v>W</v>
      </c>
    </row>
    <row r="73" spans="1:10" x14ac:dyDescent="0.25">
      <c r="A73" t="s">
        <v>134</v>
      </c>
      <c r="B73" t="s">
        <v>98</v>
      </c>
      <c r="C73" t="s">
        <v>351</v>
      </c>
      <c r="E73" s="1" t="str">
        <f t="shared" si="7"/>
        <v>Home</v>
      </c>
      <c r="F73" s="3">
        <f t="shared" si="8"/>
        <v>2</v>
      </c>
      <c r="G73" s="3">
        <f t="shared" si="9"/>
        <v>1</v>
      </c>
      <c r="H73" s="3">
        <f t="shared" si="6"/>
        <v>3</v>
      </c>
      <c r="I73" s="3" t="str">
        <f t="shared" si="10"/>
        <v>W</v>
      </c>
    </row>
    <row r="74" spans="1:10" x14ac:dyDescent="0.25">
      <c r="E74" s="1"/>
      <c r="F74" s="3"/>
      <c r="G74" s="3"/>
      <c r="H74" s="3"/>
      <c r="I74" s="3"/>
    </row>
    <row r="75" spans="1:10" x14ac:dyDescent="0.25">
      <c r="A75" t="s">
        <v>1</v>
      </c>
      <c r="B75" t="s">
        <v>2</v>
      </c>
      <c r="C75" t="s">
        <v>469</v>
      </c>
      <c r="D75" t="s">
        <v>135</v>
      </c>
      <c r="E75" t="s">
        <v>136</v>
      </c>
      <c r="F75" t="s">
        <v>137</v>
      </c>
      <c r="G75" t="s">
        <v>138</v>
      </c>
      <c r="H75" t="s">
        <v>3</v>
      </c>
      <c r="I75" t="s">
        <v>494</v>
      </c>
      <c r="J75" t="s">
        <v>495</v>
      </c>
    </row>
    <row r="76" spans="1:10" x14ac:dyDescent="0.25">
      <c r="A76" t="s">
        <v>448</v>
      </c>
      <c r="B76" t="s">
        <v>319</v>
      </c>
      <c r="C76" t="s">
        <v>269</v>
      </c>
      <c r="D76" t="str">
        <f>IF(LEFT(Table12[[#This Row],[Opponent]],1)="@","Away","Home")</f>
        <v>Away</v>
      </c>
      <c r="E76">
        <f>_xlfn.NUMBERVALUE(MID(LEFT(Table12[[#This Row],[Score]],FIND("-",Table12[[#This Row],[Score]])-1),FIND(" ",Table12[[#This Row],[Score]])+1,LEN(Table12[[#This Row],[Score]])))</f>
        <v>2</v>
      </c>
      <c r="F76">
        <f>_xlfn.NUMBERVALUE(RIGHT(Table12[[#This Row],[Score]],LEN(Table12[[#This Row],[Score]])-FIND("-",Table12[[#This Row],[Score]])))</f>
        <v>3</v>
      </c>
      <c r="G76">
        <f t="shared" ref="G76" si="11">E76+F76</f>
        <v>5</v>
      </c>
      <c r="H76" t="str">
        <f>LEFT(Table12[[#This Row],[Score]],1)</f>
        <v>L</v>
      </c>
      <c r="I76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76" s="33">
        <f>VLOOKUP(Table12[[#This Row],[OPP]],Raw!$L$2:$S$23,7,FALSE)-Raw!$U$2</f>
        <v>-1.5172089420097388</v>
      </c>
    </row>
    <row r="77" spans="1:10" x14ac:dyDescent="0.25">
      <c r="A77" t="s">
        <v>449</v>
      </c>
      <c r="B77" t="s">
        <v>319</v>
      </c>
      <c r="C77" t="s">
        <v>50</v>
      </c>
      <c r="D77" t="str">
        <f>IF(LEFT(Table12[[#This Row],[Opponent]],1)="@","Away","Home")</f>
        <v>Away</v>
      </c>
      <c r="E77">
        <f>_xlfn.NUMBERVALUE(MID(LEFT(Table12[[#This Row],[Score]],FIND("-",Table12[[#This Row],[Score]])-1),FIND(" ",Table12[[#This Row],[Score]])+1,LEN(Table12[[#This Row],[Score]])))</f>
        <v>3</v>
      </c>
      <c r="F77">
        <f>_xlfn.NUMBERVALUE(RIGHT(Table12[[#This Row],[Score]],LEN(Table12[[#This Row],[Score]])-FIND("-",Table12[[#This Row],[Score]])))</f>
        <v>4</v>
      </c>
      <c r="G77">
        <f t="shared" ref="G77:G98" si="12">E77+F77</f>
        <v>7</v>
      </c>
      <c r="H77" t="str">
        <f>LEFT(Table12[[#This Row],[Score]],1)</f>
        <v>L</v>
      </c>
      <c r="I77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77" s="33">
        <f>VLOOKUP(Table12[[#This Row],[OPP]],Raw!$L$2:$S$23,7,FALSE)-Raw!$U$2</f>
        <v>-1.5172089420097388</v>
      </c>
    </row>
    <row r="78" spans="1:10" x14ac:dyDescent="0.25">
      <c r="A78" t="s">
        <v>450</v>
      </c>
      <c r="B78" t="s">
        <v>120</v>
      </c>
      <c r="C78" t="s">
        <v>85</v>
      </c>
      <c r="D78" t="str">
        <f>IF(LEFT(Table12[[#This Row],[Opponent]],1)="@","Away","Home")</f>
        <v>Away</v>
      </c>
      <c r="E78">
        <f>_xlfn.NUMBERVALUE(MID(LEFT(Table12[[#This Row],[Score]],FIND("-",Table12[[#This Row],[Score]])-1),FIND(" ",Table12[[#This Row],[Score]])+1,LEN(Table12[[#This Row],[Score]])))</f>
        <v>5</v>
      </c>
      <c r="F78">
        <f>_xlfn.NUMBERVALUE(RIGHT(Table12[[#This Row],[Score]],LEN(Table12[[#This Row],[Score]])-FIND("-",Table12[[#This Row],[Score]])))</f>
        <v>3</v>
      </c>
      <c r="G78">
        <f t="shared" si="12"/>
        <v>8</v>
      </c>
      <c r="H78" t="str">
        <f>LEFT(Table12[[#This Row],[Score]],1)</f>
        <v>W</v>
      </c>
      <c r="I78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78" s="33">
        <f>VLOOKUP(Table12[[#This Row],[OPP]],Raw!$L$2:$S$23,7,FALSE)-Raw!$U$2</f>
        <v>0.17977853842844585</v>
      </c>
    </row>
    <row r="79" spans="1:10" x14ac:dyDescent="0.25">
      <c r="A79" t="s">
        <v>451</v>
      </c>
      <c r="B79" t="s">
        <v>120</v>
      </c>
      <c r="C79" t="s">
        <v>259</v>
      </c>
      <c r="D79" t="str">
        <f>IF(LEFT(Table12[[#This Row],[Opponent]],1)="@","Away","Home")</f>
        <v>Away</v>
      </c>
      <c r="E79">
        <f>_xlfn.NUMBERVALUE(MID(LEFT(Table12[[#This Row],[Score]],FIND("-",Table12[[#This Row],[Score]])-1),FIND(" ",Table12[[#This Row],[Score]])+1,LEN(Table12[[#This Row],[Score]])))</f>
        <v>0</v>
      </c>
      <c r="F79">
        <f>_xlfn.NUMBERVALUE(RIGHT(Table12[[#This Row],[Score]],LEN(Table12[[#This Row],[Score]])-FIND("-",Table12[[#This Row],[Score]])))</f>
        <v>5</v>
      </c>
      <c r="G79">
        <f t="shared" si="12"/>
        <v>5</v>
      </c>
      <c r="H79" t="str">
        <f>LEFT(Table12[[#This Row],[Score]],1)</f>
        <v>L</v>
      </c>
      <c r="I79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79" s="33">
        <f>VLOOKUP(Table12[[#This Row],[OPP]],Raw!$L$2:$S$23,7,FALSE)-Raw!$U$2</f>
        <v>0.17977853842844585</v>
      </c>
    </row>
    <row r="80" spans="1:10" x14ac:dyDescent="0.25">
      <c r="A80" t="s">
        <v>453</v>
      </c>
      <c r="B80" t="s">
        <v>103</v>
      </c>
      <c r="C80" t="s">
        <v>132</v>
      </c>
      <c r="D80" t="str">
        <f>IF(LEFT(Table12[[#This Row],[Opponent]],1)="@","Away","Home")</f>
        <v>Home</v>
      </c>
      <c r="E80">
        <f>_xlfn.NUMBERVALUE(MID(LEFT(Table12[[#This Row],[Score]],FIND("-",Table12[[#This Row],[Score]])-1),FIND(" ",Table12[[#This Row],[Score]])+1,LEN(Table12[[#This Row],[Score]])))</f>
        <v>3</v>
      </c>
      <c r="F80">
        <f>_xlfn.NUMBERVALUE(RIGHT(Table12[[#This Row],[Score]],LEN(Table12[[#This Row],[Score]])-FIND("-",Table12[[#This Row],[Score]])))</f>
        <v>6</v>
      </c>
      <c r="G80">
        <f t="shared" si="12"/>
        <v>9</v>
      </c>
      <c r="H80" t="str">
        <f>LEFT(Table12[[#This Row],[Score]],1)</f>
        <v>L</v>
      </c>
      <c r="I80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80" s="33">
        <f>VLOOKUP(Table12[[#This Row],[OPP]],Raw!$L$2:$S$23,7,FALSE)-Raw!$U$2</f>
        <v>2.7744577246569277</v>
      </c>
    </row>
    <row r="81" spans="1:10" x14ac:dyDescent="0.25">
      <c r="A81" t="s">
        <v>454</v>
      </c>
      <c r="B81" t="s">
        <v>103</v>
      </c>
      <c r="C81" t="s">
        <v>246</v>
      </c>
      <c r="D81" t="str">
        <f>IF(LEFT(Table12[[#This Row],[Opponent]],1)="@","Away","Home")</f>
        <v>Home</v>
      </c>
      <c r="E81">
        <f>_xlfn.NUMBERVALUE(MID(LEFT(Table12[[#This Row],[Score]],FIND("-",Table12[[#This Row],[Score]])-1),FIND(" ",Table12[[#This Row],[Score]])+1,LEN(Table12[[#This Row],[Score]])))</f>
        <v>4</v>
      </c>
      <c r="F81">
        <f>_xlfn.NUMBERVALUE(RIGHT(Table12[[#This Row],[Score]],LEN(Table12[[#This Row],[Score]])-FIND("-",Table12[[#This Row],[Score]])))</f>
        <v>6</v>
      </c>
      <c r="G81">
        <f t="shared" si="12"/>
        <v>10</v>
      </c>
      <c r="H81" t="str">
        <f>LEFT(Table12[[#This Row],[Score]],1)</f>
        <v>L</v>
      </c>
      <c r="I81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81" s="33">
        <f>VLOOKUP(Table12[[#This Row],[OPP]],Raw!$L$2:$S$23,7,FALSE)-Raw!$U$2</f>
        <v>2.7744577246569277</v>
      </c>
    </row>
    <row r="82" spans="1:10" x14ac:dyDescent="0.25">
      <c r="A82" t="s">
        <v>455</v>
      </c>
      <c r="B82" t="s">
        <v>332</v>
      </c>
      <c r="C82" t="s">
        <v>207</v>
      </c>
      <c r="D82" t="str">
        <f>IF(LEFT(Table12[[#This Row],[Opponent]],1)="@","Away","Home")</f>
        <v>Away</v>
      </c>
      <c r="E82">
        <f>_xlfn.NUMBERVALUE(MID(LEFT(Table12[[#This Row],[Score]],FIND("-",Table12[[#This Row],[Score]])-1),FIND(" ",Table12[[#This Row],[Score]])+1,LEN(Table12[[#This Row],[Score]])))</f>
        <v>3</v>
      </c>
      <c r="F82">
        <f>_xlfn.NUMBERVALUE(RIGHT(Table12[[#This Row],[Score]],LEN(Table12[[#This Row],[Score]])-FIND("-",Table12[[#This Row],[Score]])))</f>
        <v>8</v>
      </c>
      <c r="G82">
        <f t="shared" si="12"/>
        <v>11</v>
      </c>
      <c r="H82" t="str">
        <f>LEFT(Table12[[#This Row],[Score]],1)</f>
        <v>L</v>
      </c>
      <c r="I82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82" s="33">
        <f>VLOOKUP(Table12[[#This Row],[OPP]],Raw!$L$2:$S$23,7,FALSE)-Raw!$U$2</f>
        <v>0.7572433271608402</v>
      </c>
    </row>
    <row r="83" spans="1:10" x14ac:dyDescent="0.25">
      <c r="A83" t="s">
        <v>456</v>
      </c>
      <c r="B83" t="s">
        <v>333</v>
      </c>
      <c r="C83" t="s">
        <v>48</v>
      </c>
      <c r="D83" t="str">
        <f>IF(LEFT(Table12[[#This Row],[Opponent]],1)="@","Away","Home")</f>
        <v>Home</v>
      </c>
      <c r="E83">
        <f>_xlfn.NUMBERVALUE(MID(LEFT(Table12[[#This Row],[Score]],FIND("-",Table12[[#This Row],[Score]])-1),FIND(" ",Table12[[#This Row],[Score]])+1,LEN(Table12[[#This Row],[Score]])))</f>
        <v>4</v>
      </c>
      <c r="F83">
        <f>_xlfn.NUMBERVALUE(RIGHT(Table12[[#This Row],[Score]],LEN(Table12[[#This Row],[Score]])-FIND("-",Table12[[#This Row],[Score]])))</f>
        <v>5</v>
      </c>
      <c r="G83">
        <f t="shared" si="12"/>
        <v>9</v>
      </c>
      <c r="H83" t="str">
        <f>LEFT(Table12[[#This Row],[Score]],1)</f>
        <v>L</v>
      </c>
      <c r="I83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83" s="33">
        <f>VLOOKUP(Table12[[#This Row],[OPP]],Raw!$L$2:$S$23,7,FALSE)-Raw!$U$2</f>
        <v>0.7572433271608402</v>
      </c>
    </row>
    <row r="84" spans="1:10" x14ac:dyDescent="0.25">
      <c r="A84" t="s">
        <v>470</v>
      </c>
      <c r="B84" t="s">
        <v>319</v>
      </c>
      <c r="C84" t="s">
        <v>290</v>
      </c>
      <c r="D84" t="str">
        <f>IF(LEFT(Table12[[#This Row],[Opponent]],1)="@","Away","Home")</f>
        <v>Away</v>
      </c>
      <c r="E84">
        <f>_xlfn.NUMBERVALUE(MID(LEFT(Table12[[#This Row],[Score]],FIND("-",Table12[[#This Row],[Score]])-1),FIND(" ",Table12[[#This Row],[Score]])+1,LEN(Table12[[#This Row],[Score]])))</f>
        <v>5</v>
      </c>
      <c r="F84">
        <f>_xlfn.NUMBERVALUE(RIGHT(Table12[[#This Row],[Score]],LEN(Table12[[#This Row],[Score]])-FIND("-",Table12[[#This Row],[Score]])))</f>
        <v>0</v>
      </c>
      <c r="G84">
        <f t="shared" si="12"/>
        <v>5</v>
      </c>
      <c r="H84" t="str">
        <f>LEFT(Table12[[#This Row],[Score]],1)</f>
        <v>W</v>
      </c>
      <c r="I84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84" s="33">
        <f>VLOOKUP(Table12[[#This Row],[OPP]],Raw!$L$2:$S$23,7,FALSE)-Raw!$U$2</f>
        <v>-1.5172089420097388</v>
      </c>
    </row>
    <row r="85" spans="1:10" x14ac:dyDescent="0.25">
      <c r="A85" t="s">
        <v>457</v>
      </c>
      <c r="B85" t="s">
        <v>321</v>
      </c>
      <c r="C85" t="s">
        <v>38</v>
      </c>
      <c r="D85" t="str">
        <f>IF(LEFT(Table12[[#This Row],[Opponent]],1)="@","Away","Home")</f>
        <v>Home</v>
      </c>
      <c r="E85">
        <f>_xlfn.NUMBERVALUE(MID(LEFT(Table12[[#This Row],[Score]],FIND("-",Table12[[#This Row],[Score]])-1),FIND(" ",Table12[[#This Row],[Score]])+1,LEN(Table12[[#This Row],[Score]])))</f>
        <v>3</v>
      </c>
      <c r="F85">
        <f>_xlfn.NUMBERVALUE(RIGHT(Table12[[#This Row],[Score]],LEN(Table12[[#This Row],[Score]])-FIND("-",Table12[[#This Row],[Score]])))</f>
        <v>5</v>
      </c>
      <c r="G85">
        <f t="shared" si="12"/>
        <v>8</v>
      </c>
      <c r="H85" t="str">
        <f>LEFT(Table12[[#This Row],[Score]],1)</f>
        <v>L</v>
      </c>
      <c r="I85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85" s="33">
        <f>VLOOKUP(Table12[[#This Row],[OPP]],Raw!$L$2:$S$23,7,FALSE)-Raw!$U$2</f>
        <v>-1.5172089420097388</v>
      </c>
    </row>
    <row r="86" spans="1:10" x14ac:dyDescent="0.25">
      <c r="A86" t="s">
        <v>458</v>
      </c>
      <c r="B86" t="s">
        <v>333</v>
      </c>
      <c r="C86" t="s">
        <v>118</v>
      </c>
      <c r="D86" t="str">
        <f>IF(LEFT(Table12[[#This Row],[Opponent]],1)="@","Away","Home")</f>
        <v>Home</v>
      </c>
      <c r="E86">
        <f>_xlfn.NUMBERVALUE(MID(LEFT(Table12[[#This Row],[Score]],FIND("-",Table12[[#This Row],[Score]])-1),FIND(" ",Table12[[#This Row],[Score]])+1,LEN(Table12[[#This Row],[Score]])))</f>
        <v>9</v>
      </c>
      <c r="F86">
        <f>_xlfn.NUMBERVALUE(RIGHT(Table12[[#This Row],[Score]],LEN(Table12[[#This Row],[Score]])-FIND("-",Table12[[#This Row],[Score]])))</f>
        <v>8</v>
      </c>
      <c r="G86">
        <f t="shared" si="12"/>
        <v>17</v>
      </c>
      <c r="H86" t="str">
        <f>LEFT(Table12[[#This Row],[Score]],1)</f>
        <v>W</v>
      </c>
      <c r="I86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86" s="33">
        <f>VLOOKUP(Table12[[#This Row],[OPP]],Raw!$L$2:$S$23,7,FALSE)-Raw!$U$2</f>
        <v>0.7572433271608402</v>
      </c>
    </row>
    <row r="87" spans="1:10" x14ac:dyDescent="0.25">
      <c r="A87" t="s">
        <v>459</v>
      </c>
      <c r="B87" t="s">
        <v>333</v>
      </c>
      <c r="C87" t="s">
        <v>254</v>
      </c>
      <c r="D87" t="str">
        <f>IF(LEFT(Table12[[#This Row],[Opponent]],1)="@","Away","Home")</f>
        <v>Home</v>
      </c>
      <c r="E87">
        <f>_xlfn.NUMBERVALUE(MID(LEFT(Table12[[#This Row],[Score]],FIND("-",Table12[[#This Row],[Score]])-1),FIND(" ",Table12[[#This Row],[Score]])+1,LEN(Table12[[#This Row],[Score]])))</f>
        <v>5</v>
      </c>
      <c r="F87">
        <f>_xlfn.NUMBERVALUE(RIGHT(Table12[[#This Row],[Score]],LEN(Table12[[#This Row],[Score]])-FIND("-",Table12[[#This Row],[Score]])))</f>
        <v>4</v>
      </c>
      <c r="G87">
        <f t="shared" si="12"/>
        <v>9</v>
      </c>
      <c r="H87" t="str">
        <f>LEFT(Table12[[#This Row],[Score]],1)</f>
        <v>W</v>
      </c>
      <c r="I87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87" s="33">
        <f>VLOOKUP(Table12[[#This Row],[OPP]],Raw!$L$2:$S$23,7,FALSE)-Raw!$U$2</f>
        <v>0.7572433271608402</v>
      </c>
    </row>
    <row r="88" spans="1:10" x14ac:dyDescent="0.25">
      <c r="A88" t="s">
        <v>460</v>
      </c>
      <c r="B88" t="s">
        <v>98</v>
      </c>
      <c r="C88" t="s">
        <v>101</v>
      </c>
      <c r="D88" t="str">
        <f>IF(LEFT(Table12[[#This Row],[Opponent]],1)="@","Away","Home")</f>
        <v>Home</v>
      </c>
      <c r="E88">
        <f>_xlfn.NUMBERVALUE(MID(LEFT(Table12[[#This Row],[Score]],FIND("-",Table12[[#This Row],[Score]])-1),FIND(" ",Table12[[#This Row],[Score]])+1,LEN(Table12[[#This Row],[Score]])))</f>
        <v>0</v>
      </c>
      <c r="F88">
        <f>_xlfn.NUMBERVALUE(RIGHT(Table12[[#This Row],[Score]],LEN(Table12[[#This Row],[Score]])-FIND("-",Table12[[#This Row],[Score]])))</f>
        <v>7</v>
      </c>
      <c r="G88">
        <f t="shared" si="12"/>
        <v>7</v>
      </c>
      <c r="H88" t="str">
        <f>LEFT(Table12[[#This Row],[Score]],1)</f>
        <v>L</v>
      </c>
      <c r="I88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88" s="33">
        <f>VLOOKUP(Table12[[#This Row],[OPP]],Raw!$L$2:$S$23,7,FALSE)-Raw!$U$2</f>
        <v>-1.4060978308986276</v>
      </c>
    </row>
    <row r="89" spans="1:10" x14ac:dyDescent="0.25">
      <c r="A89" t="s">
        <v>471</v>
      </c>
      <c r="B89" t="s">
        <v>115</v>
      </c>
      <c r="C89" t="s">
        <v>254</v>
      </c>
      <c r="D89" t="str">
        <f>IF(LEFT(Table12[[#This Row],[Opponent]],1)="@","Away","Home")</f>
        <v>Away</v>
      </c>
      <c r="E89">
        <f>_xlfn.NUMBERVALUE(MID(LEFT(Table12[[#This Row],[Score]],FIND("-",Table12[[#This Row],[Score]])-1),FIND(" ",Table12[[#This Row],[Score]])+1,LEN(Table12[[#This Row],[Score]])))</f>
        <v>5</v>
      </c>
      <c r="F89">
        <f>_xlfn.NUMBERVALUE(RIGHT(Table12[[#This Row],[Score]],LEN(Table12[[#This Row],[Score]])-FIND("-",Table12[[#This Row],[Score]])))</f>
        <v>4</v>
      </c>
      <c r="G89">
        <f t="shared" si="12"/>
        <v>9</v>
      </c>
      <c r="H89" t="str">
        <f>LEFT(Table12[[#This Row],[Score]],1)</f>
        <v>W</v>
      </c>
      <c r="I89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89" s="33">
        <f>VLOOKUP(Table12[[#This Row],[OPP]],Raw!$L$2:$S$23,7,FALSE)-Raw!$U$2</f>
        <v>-1.4060978308986276</v>
      </c>
    </row>
    <row r="90" spans="1:10" x14ac:dyDescent="0.25">
      <c r="A90" t="s">
        <v>461</v>
      </c>
      <c r="B90" t="s">
        <v>321</v>
      </c>
      <c r="C90" t="s">
        <v>479</v>
      </c>
      <c r="D90" t="str">
        <f>IF(LEFT(Table12[[#This Row],[Opponent]],1)="@","Away","Home")</f>
        <v>Home</v>
      </c>
      <c r="E90">
        <f>_xlfn.NUMBERVALUE(MID(LEFT(Table12[[#This Row],[Score]],FIND("-",Table12[[#This Row],[Score]])-1),FIND(" ",Table12[[#This Row],[Score]])+1,LEN(Table12[[#This Row],[Score]])))</f>
        <v>16</v>
      </c>
      <c r="F90">
        <f>_xlfn.NUMBERVALUE(RIGHT(Table12[[#This Row],[Score]],LEN(Table12[[#This Row],[Score]])-FIND("-",Table12[[#This Row],[Score]])))</f>
        <v>14</v>
      </c>
      <c r="G90">
        <f t="shared" si="12"/>
        <v>30</v>
      </c>
      <c r="H90" t="str">
        <f>LEFT(Table12[[#This Row],[Score]],1)</f>
        <v>W</v>
      </c>
      <c r="I90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90" s="33">
        <f>VLOOKUP(Table12[[#This Row],[OPP]],Raw!$L$2:$S$23,7,FALSE)-Raw!$U$2</f>
        <v>-1.5172089420097388</v>
      </c>
    </row>
    <row r="91" spans="1:10" x14ac:dyDescent="0.25">
      <c r="A91" t="s">
        <v>462</v>
      </c>
      <c r="B91" t="s">
        <v>321</v>
      </c>
      <c r="C91" t="s">
        <v>295</v>
      </c>
      <c r="D91" t="str">
        <f>IF(LEFT(Table12[[#This Row],[Opponent]],1)="@","Away","Home")</f>
        <v>Home</v>
      </c>
      <c r="E91">
        <f>_xlfn.NUMBERVALUE(MID(LEFT(Table12[[#This Row],[Score]],FIND("-",Table12[[#This Row],[Score]])-1),FIND(" ",Table12[[#This Row],[Score]])+1,LEN(Table12[[#This Row],[Score]])))</f>
        <v>1</v>
      </c>
      <c r="F91">
        <f>_xlfn.NUMBERVALUE(RIGHT(Table12[[#This Row],[Score]],LEN(Table12[[#This Row],[Score]])-FIND("-",Table12[[#This Row],[Score]])))</f>
        <v>0</v>
      </c>
      <c r="G91">
        <f t="shared" si="12"/>
        <v>1</v>
      </c>
      <c r="H91" t="str">
        <f>LEFT(Table12[[#This Row],[Score]],1)</f>
        <v>W</v>
      </c>
      <c r="I91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91" s="33">
        <f>VLOOKUP(Table12[[#This Row],[OPP]],Raw!$L$2:$S$23,7,FALSE)-Raw!$U$2</f>
        <v>-1.5172089420097388</v>
      </c>
    </row>
    <row r="92" spans="1:10" x14ac:dyDescent="0.25">
      <c r="A92" t="s">
        <v>463</v>
      </c>
      <c r="B92" t="s">
        <v>115</v>
      </c>
      <c r="C92" t="s">
        <v>480</v>
      </c>
      <c r="D92" t="str">
        <f>IF(LEFT(Table12[[#This Row],[Opponent]],1)="@","Away","Home")</f>
        <v>Away</v>
      </c>
      <c r="E92">
        <f>_xlfn.NUMBERVALUE(MID(LEFT(Table12[[#This Row],[Score]],FIND("-",Table12[[#This Row],[Score]])-1),FIND(" ",Table12[[#This Row],[Score]])+1,LEN(Table12[[#This Row],[Score]])))</f>
        <v>17</v>
      </c>
      <c r="F92">
        <f>_xlfn.NUMBERVALUE(RIGHT(Table12[[#This Row],[Score]],LEN(Table12[[#This Row],[Score]])-FIND("-",Table12[[#This Row],[Score]])))</f>
        <v>11</v>
      </c>
      <c r="G92">
        <f t="shared" si="12"/>
        <v>28</v>
      </c>
      <c r="H92" t="str">
        <f>LEFT(Table12[[#This Row],[Score]],1)</f>
        <v>W</v>
      </c>
      <c r="I92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92" s="33">
        <f>VLOOKUP(Table12[[#This Row],[OPP]],Raw!$L$2:$S$23,7,FALSE)-Raw!$U$2</f>
        <v>-1.4060978308986276</v>
      </c>
    </row>
    <row r="93" spans="1:10" x14ac:dyDescent="0.25">
      <c r="A93" t="s">
        <v>463</v>
      </c>
      <c r="B93" t="s">
        <v>115</v>
      </c>
      <c r="C93" t="s">
        <v>56</v>
      </c>
      <c r="D93" t="str">
        <f>IF(LEFT(Table12[[#This Row],[Opponent]],1)="@","Away","Home")</f>
        <v>Away</v>
      </c>
      <c r="E93">
        <f>_xlfn.NUMBERVALUE(MID(LEFT(Table12[[#This Row],[Score]],FIND("-",Table12[[#This Row],[Score]])-1),FIND(" ",Table12[[#This Row],[Score]])+1,LEN(Table12[[#This Row],[Score]])))</f>
        <v>1</v>
      </c>
      <c r="F93">
        <f>_xlfn.NUMBERVALUE(RIGHT(Table12[[#This Row],[Score]],LEN(Table12[[#This Row],[Score]])-FIND("-",Table12[[#This Row],[Score]])))</f>
        <v>7</v>
      </c>
      <c r="G93">
        <f t="shared" si="12"/>
        <v>8</v>
      </c>
      <c r="H93" t="str">
        <f>LEFT(Table12[[#This Row],[Score]],1)</f>
        <v>L</v>
      </c>
      <c r="I93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93" s="33">
        <f>VLOOKUP(Table12[[#This Row],[OPP]],Raw!$L$2:$S$23,7,FALSE)-Raw!$U$2</f>
        <v>-1.4060978308986276</v>
      </c>
    </row>
    <row r="94" spans="1:10" x14ac:dyDescent="0.25">
      <c r="A94" t="s">
        <v>464</v>
      </c>
      <c r="B94" t="s">
        <v>332</v>
      </c>
      <c r="C94" t="s">
        <v>481</v>
      </c>
      <c r="D94" t="str">
        <f>IF(LEFT(Table12[[#This Row],[Opponent]],1)="@","Away","Home")</f>
        <v>Away</v>
      </c>
      <c r="E94">
        <f>_xlfn.NUMBERVALUE(MID(LEFT(Table12[[#This Row],[Score]],FIND("-",Table12[[#This Row],[Score]])-1),FIND(" ",Table12[[#This Row],[Score]])+1,LEN(Table12[[#This Row],[Score]])))</f>
        <v>8</v>
      </c>
      <c r="F94">
        <f>_xlfn.NUMBERVALUE(RIGHT(Table12[[#This Row],[Score]],LEN(Table12[[#This Row],[Score]])-FIND("-",Table12[[#This Row],[Score]])))</f>
        <v>6</v>
      </c>
      <c r="G94">
        <f t="shared" si="12"/>
        <v>14</v>
      </c>
      <c r="H94" t="str">
        <f>LEFT(Table12[[#This Row],[Score]],1)</f>
        <v>L</v>
      </c>
      <c r="I94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94" s="33">
        <f>VLOOKUP(Table12[[#This Row],[OPP]],Raw!$L$2:$S$23,7,FALSE)-Raw!$U$2</f>
        <v>0.7572433271608402</v>
      </c>
    </row>
    <row r="95" spans="1:10" x14ac:dyDescent="0.25">
      <c r="A95" t="s">
        <v>465</v>
      </c>
      <c r="B95" t="s">
        <v>333</v>
      </c>
      <c r="C95" t="s">
        <v>36</v>
      </c>
      <c r="D95" t="str">
        <f>IF(LEFT(Table12[[#This Row],[Opponent]],1)="@","Away","Home")</f>
        <v>Home</v>
      </c>
      <c r="E95">
        <f>_xlfn.NUMBERVALUE(MID(LEFT(Table12[[#This Row],[Score]],FIND("-",Table12[[#This Row],[Score]])-1),FIND(" ",Table12[[#This Row],[Score]])+1,LEN(Table12[[#This Row],[Score]])))</f>
        <v>1</v>
      </c>
      <c r="F95">
        <f>_xlfn.NUMBERVALUE(RIGHT(Table12[[#This Row],[Score]],LEN(Table12[[#This Row],[Score]])-FIND("-",Table12[[#This Row],[Score]])))</f>
        <v>5</v>
      </c>
      <c r="G95">
        <f t="shared" si="12"/>
        <v>6</v>
      </c>
      <c r="H95" t="str">
        <f>LEFT(Table12[[#This Row],[Score]],1)</f>
        <v>L</v>
      </c>
      <c r="I95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95" s="33">
        <f>VLOOKUP(Table12[[#This Row],[OPP]],Raw!$L$2:$S$23,7,FALSE)-Raw!$U$2</f>
        <v>0.7572433271608402</v>
      </c>
    </row>
    <row r="96" spans="1:10" x14ac:dyDescent="0.25">
      <c r="A96" t="s">
        <v>466</v>
      </c>
      <c r="B96" t="s">
        <v>74</v>
      </c>
      <c r="C96" t="s">
        <v>21</v>
      </c>
      <c r="D96" t="str">
        <f>IF(LEFT(Table12[[#This Row],[Opponent]],1)="@","Away","Home")</f>
        <v>Home</v>
      </c>
      <c r="E96">
        <f>_xlfn.NUMBERVALUE(MID(LEFT(Table12[[#This Row],[Score]],FIND("-",Table12[[#This Row],[Score]])-1),FIND(" ",Table12[[#This Row],[Score]])+1,LEN(Table12[[#This Row],[Score]])))</f>
        <v>6</v>
      </c>
      <c r="F96">
        <f>_xlfn.NUMBERVALUE(RIGHT(Table12[[#This Row],[Score]],LEN(Table12[[#This Row],[Score]])-FIND("-",Table12[[#This Row],[Score]])))</f>
        <v>1</v>
      </c>
      <c r="G96">
        <f t="shared" si="12"/>
        <v>7</v>
      </c>
      <c r="H96" t="str">
        <f>LEFT(Table12[[#This Row],[Score]],1)</f>
        <v>W</v>
      </c>
      <c r="I96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96" s="33">
        <f>VLOOKUP(Table12[[#This Row],[OPP]],Raw!$L$2:$S$23,7,FALSE)-Raw!$U$2</f>
        <v>0.17977853842844585</v>
      </c>
    </row>
    <row r="97" spans="1:10" x14ac:dyDescent="0.25">
      <c r="A97" t="s">
        <v>467</v>
      </c>
      <c r="B97" t="s">
        <v>74</v>
      </c>
      <c r="C97" t="s">
        <v>128</v>
      </c>
      <c r="D97" t="str">
        <f>IF(LEFT(Table12[[#This Row],[Opponent]],1)="@","Away","Home")</f>
        <v>Home</v>
      </c>
      <c r="E97">
        <f>_xlfn.NUMBERVALUE(MID(LEFT(Table12[[#This Row],[Score]],FIND("-",Table12[[#This Row],[Score]])-1),FIND(" ",Table12[[#This Row],[Score]])+1,LEN(Table12[[#This Row],[Score]])))</f>
        <v>6</v>
      </c>
      <c r="F97">
        <f>_xlfn.NUMBERVALUE(RIGHT(Table12[[#This Row],[Score]],LEN(Table12[[#This Row],[Score]])-FIND("-",Table12[[#This Row],[Score]])))</f>
        <v>5</v>
      </c>
      <c r="G97">
        <f t="shared" si="12"/>
        <v>11</v>
      </c>
      <c r="H97" t="str">
        <f>LEFT(Table12[[#This Row],[Score]],1)</f>
        <v>W</v>
      </c>
      <c r="I97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97" s="33">
        <f>VLOOKUP(Table12[[#This Row],[OPP]],Raw!$L$2:$S$23,7,FALSE)-Raw!$U$2</f>
        <v>0.17977853842844585</v>
      </c>
    </row>
    <row r="98" spans="1:10" x14ac:dyDescent="0.25">
      <c r="A98" t="s">
        <v>468</v>
      </c>
      <c r="B98" t="s">
        <v>98</v>
      </c>
      <c r="C98" t="s">
        <v>372</v>
      </c>
      <c r="D98" t="str">
        <f>IF(LEFT(Table12[[#This Row],[Opponent]],1)="@","Away","Home")</f>
        <v>Home</v>
      </c>
      <c r="E98">
        <f>_xlfn.NUMBERVALUE(MID(LEFT(Table12[[#This Row],[Score]],FIND("-",Table12[[#This Row],[Score]])-1),FIND(" ",Table12[[#This Row],[Score]])+1,LEN(Table12[[#This Row],[Score]])))</f>
        <v>9</v>
      </c>
      <c r="F98">
        <f>_xlfn.NUMBERVALUE(RIGHT(Table12[[#This Row],[Score]],LEN(Table12[[#This Row],[Score]])-FIND("-",Table12[[#This Row],[Score]])))</f>
        <v>1</v>
      </c>
      <c r="G98">
        <f t="shared" si="12"/>
        <v>10</v>
      </c>
      <c r="H98" t="str">
        <f>LEFT(Table12[[#This Row],[Score]],1)</f>
        <v>W</v>
      </c>
      <c r="I98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98" s="33">
        <f>VLOOKUP(Table12[[#This Row],[OPP]],Raw!$L$2:$S$23,7,FALSE)-Raw!$U$2</f>
        <v>-1.4060978308986276</v>
      </c>
    </row>
    <row r="99" spans="1:10" x14ac:dyDescent="0.25">
      <c r="A99" t="s">
        <v>498</v>
      </c>
      <c r="B99" t="s">
        <v>115</v>
      </c>
      <c r="C99" t="s">
        <v>322</v>
      </c>
      <c r="D99" t="str">
        <f>IF(LEFT(Table12[[#This Row],[Opponent]],1)="@","Away","Home")</f>
        <v>Away</v>
      </c>
      <c r="E99">
        <f>_xlfn.NUMBERVALUE(MID(LEFT(Table12[[#This Row],[Score]],FIND("-",Table12[[#This Row],[Score]])-1),FIND(" ",Table12[[#This Row],[Score]])+1,LEN(Table12[[#This Row],[Score]])))</f>
        <v>6</v>
      </c>
      <c r="F99">
        <f>_xlfn.NUMBERVALUE(RIGHT(Table12[[#This Row],[Score]],LEN(Table12[[#This Row],[Score]])-FIND("-",Table12[[#This Row],[Score]])))</f>
        <v>7</v>
      </c>
      <c r="G99">
        <f t="shared" ref="G99:G101" si="13">E99+F99</f>
        <v>13</v>
      </c>
      <c r="H99" t="str">
        <f>LEFT(Table12[[#This Row],[Score]],1)</f>
        <v>L</v>
      </c>
      <c r="I99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99" s="33">
        <f>VLOOKUP(Table12[[#This Row],[OPP]],Raw!$L$2:$S$23,7,FALSE)-Raw!$U$2</f>
        <v>-1.4060978308986276</v>
      </c>
    </row>
    <row r="100" spans="1:10" x14ac:dyDescent="0.25">
      <c r="A100" t="s">
        <v>499</v>
      </c>
      <c r="B100" t="s">
        <v>103</v>
      </c>
      <c r="C100" t="s">
        <v>246</v>
      </c>
      <c r="D100" t="str">
        <f>IF(LEFT(Table12[[#This Row],[Opponent]],1)="@","Away","Home")</f>
        <v>Home</v>
      </c>
      <c r="E100">
        <f>_xlfn.NUMBERVALUE(MID(LEFT(Table12[[#This Row],[Score]],FIND("-",Table12[[#This Row],[Score]])-1),FIND(" ",Table12[[#This Row],[Score]])+1,LEN(Table12[[#This Row],[Score]])))</f>
        <v>4</v>
      </c>
      <c r="F100">
        <f>_xlfn.NUMBERVALUE(RIGHT(Table12[[#This Row],[Score]],LEN(Table12[[#This Row],[Score]])-FIND("-",Table12[[#This Row],[Score]])))</f>
        <v>6</v>
      </c>
      <c r="G100">
        <f t="shared" si="13"/>
        <v>10</v>
      </c>
      <c r="H100" t="str">
        <f>LEFT(Table12[[#This Row],[Score]],1)</f>
        <v>L</v>
      </c>
      <c r="I100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100" s="33">
        <f>VLOOKUP(Table12[[#This Row],[OPP]],Raw!$L$2:$S$23,7,FALSE)-Raw!$U$2</f>
        <v>2.7744577246569277</v>
      </c>
    </row>
    <row r="101" spans="1:10" x14ac:dyDescent="0.25">
      <c r="A101" t="s">
        <v>500</v>
      </c>
      <c r="B101" t="s">
        <v>103</v>
      </c>
      <c r="C101" t="s">
        <v>290</v>
      </c>
      <c r="D101" t="str">
        <f>IF(LEFT(Table12[[#This Row],[Opponent]],1)="@","Away","Home")</f>
        <v>Home</v>
      </c>
      <c r="E101">
        <f>_xlfn.NUMBERVALUE(MID(LEFT(Table12[[#This Row],[Score]],FIND("-",Table12[[#This Row],[Score]])-1),FIND(" ",Table12[[#This Row],[Score]])+1,LEN(Table12[[#This Row],[Score]])))</f>
        <v>5</v>
      </c>
      <c r="F101">
        <f>_xlfn.NUMBERVALUE(RIGHT(Table12[[#This Row],[Score]],LEN(Table12[[#This Row],[Score]])-FIND("-",Table12[[#This Row],[Score]])))</f>
        <v>0</v>
      </c>
      <c r="G101">
        <f t="shared" si="13"/>
        <v>5</v>
      </c>
      <c r="H101" t="str">
        <f>LEFT(Table12[[#This Row],[Score]],1)</f>
        <v>W</v>
      </c>
      <c r="I101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101" s="33">
        <f>VLOOKUP(Table12[[#This Row],[OPP]],Raw!$L$2:$S$23,7,FALSE)-Raw!$U$2</f>
        <v>2.7744577246569277</v>
      </c>
    </row>
    <row r="102" spans="1:10" x14ac:dyDescent="0.25">
      <c r="A102" t="s">
        <v>501</v>
      </c>
      <c r="B102" t="s">
        <v>30</v>
      </c>
      <c r="C102" t="s">
        <v>323</v>
      </c>
      <c r="D102" t="str">
        <f>IF(LEFT(Table12[[#This Row],[Opponent]],1)="@","Away","Home")</f>
        <v>Away</v>
      </c>
      <c r="E102">
        <f>_xlfn.NUMBERVALUE(MID(LEFT(Table12[[#This Row],[Score]],FIND("-",Table12[[#This Row],[Score]])-1),FIND(" ",Table12[[#This Row],[Score]])+1,LEN(Table12[[#This Row],[Score]])))</f>
        <v>7</v>
      </c>
      <c r="F102">
        <f>_xlfn.NUMBERVALUE(RIGHT(Table12[[#This Row],[Score]],LEN(Table12[[#This Row],[Score]])-FIND("-",Table12[[#This Row],[Score]])))</f>
        <v>6</v>
      </c>
      <c r="G102">
        <f t="shared" ref="G102:G103" si="14">E102+F102</f>
        <v>13</v>
      </c>
      <c r="H102" t="str">
        <f>LEFT(Table12[[#This Row],[Score]],1)</f>
        <v>W</v>
      </c>
      <c r="I102" s="17" t="str">
        <f>VLOOKUP(IF(Table12[[#This Row],[At]]="Home",Table12[[#This Row],[Opponent]],RIGHT(Table12[[#This Row],[Opponent]],LEN(Table12[[#This Row],[Opponent]])-1)),CHOOSE({1,2},[1]StandingsRAW!$J$1:$J$22,[1]StandingsRAW!$L$1:$L$22),2,FALSE)</f>
        <v>KEN</v>
      </c>
      <c r="J102" s="33">
        <f>VLOOKUP(Table12[[#This Row],[OPP]],Raw!$L$2:$S$23,7,FALSE)-Raw!$U$2</f>
        <v>-3.3200531208499337E-3</v>
      </c>
    </row>
    <row r="103" spans="1:10" x14ac:dyDescent="0.25">
      <c r="A103" t="s">
        <v>502</v>
      </c>
      <c r="B103" t="s">
        <v>52</v>
      </c>
      <c r="C103" t="s">
        <v>504</v>
      </c>
      <c r="D103" t="str">
        <f>IF(LEFT(Table12[[#This Row],[Opponent]],1)="@","Away","Home")</f>
        <v>Home</v>
      </c>
      <c r="E103">
        <f>_xlfn.NUMBERVALUE(MID(LEFT(Table12[[#This Row],[Score]],FIND("-",Table12[[#This Row],[Score]])-1),FIND(" ",Table12[[#This Row],[Score]])+1,LEN(Table12[[#This Row],[Score]])))</f>
        <v>16</v>
      </c>
      <c r="F103">
        <f>_xlfn.NUMBERVALUE(RIGHT(Table12[[#This Row],[Score]],LEN(Table12[[#This Row],[Score]])-FIND("-",Table12[[#This Row],[Score]])))</f>
        <v>0</v>
      </c>
      <c r="G103">
        <f t="shared" si="14"/>
        <v>16</v>
      </c>
      <c r="H103" t="str">
        <f>LEFT(Table12[[#This Row],[Score]],1)</f>
        <v>W</v>
      </c>
      <c r="I103" s="17" t="str">
        <f>VLOOKUP(IF(Table12[[#This Row],[At]]="Home",Table12[[#This Row],[Opponent]],RIGHT(Table12[[#This Row],[Opponent]],LEN(Table12[[#This Row],[Opponent]])-1)),CHOOSE({1,2},[1]StandingsRAW!$J$1:$J$22,[1]StandingsRAW!$L$1:$L$22),2,FALSE)</f>
        <v>KEN</v>
      </c>
      <c r="J103" s="33">
        <f>VLOOKUP(Table12[[#This Row],[OPP]],Raw!$L$2:$S$23,7,FALSE)-Raw!$U$2</f>
        <v>-3.3200531208499337E-3</v>
      </c>
    </row>
    <row r="104" spans="1:10" x14ac:dyDescent="0.25">
      <c r="A104" t="s">
        <v>505</v>
      </c>
      <c r="B104" t="s">
        <v>120</v>
      </c>
      <c r="C104" t="s">
        <v>322</v>
      </c>
      <c r="D104" t="str">
        <f>IF(LEFT(Table12[[#This Row],[Opponent]],1)="@","Away","Home")</f>
        <v>Away</v>
      </c>
      <c r="E104">
        <f>_xlfn.NUMBERVALUE(MID(LEFT(Table12[[#This Row],[Score]],FIND("-",Table12[[#This Row],[Score]])-1),FIND(" ",Table12[[#This Row],[Score]])+1,LEN(Table12[[#This Row],[Score]])))</f>
        <v>6</v>
      </c>
      <c r="F104">
        <f>_xlfn.NUMBERVALUE(RIGHT(Table12[[#This Row],[Score]],LEN(Table12[[#This Row],[Score]])-FIND("-",Table12[[#This Row],[Score]])))</f>
        <v>7</v>
      </c>
      <c r="G104">
        <f>E104+F104</f>
        <v>13</v>
      </c>
      <c r="H104" t="str">
        <f>LEFT(Table12[[#This Row],[Score]],1)</f>
        <v>L</v>
      </c>
      <c r="I104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104" s="33">
        <f>VLOOKUP(Table12[[#This Row],[OPP]],Raw!$L$2:$S$23,7,FALSE)-Raw!$U$2</f>
        <v>0.17977853842844585</v>
      </c>
    </row>
    <row r="105" spans="1:10" x14ac:dyDescent="0.25">
      <c r="A105" t="s">
        <v>508</v>
      </c>
      <c r="B105" t="s">
        <v>120</v>
      </c>
      <c r="C105" t="s">
        <v>128</v>
      </c>
      <c r="D105" t="str">
        <f>IF(LEFT(Table12[[#This Row],[Opponent]],1)="@","Away","Home")</f>
        <v>Away</v>
      </c>
      <c r="E105">
        <f>_xlfn.NUMBERVALUE(MID(LEFT(Table12[[#This Row],[Score]],FIND("-",Table12[[#This Row],[Score]])-1),FIND(" ",Table12[[#This Row],[Score]])+1,LEN(Table12[[#This Row],[Score]])))</f>
        <v>6</v>
      </c>
      <c r="F105">
        <f>_xlfn.NUMBERVALUE(RIGHT(Table12[[#This Row],[Score]],LEN(Table12[[#This Row],[Score]])-FIND("-",Table12[[#This Row],[Score]])))</f>
        <v>5</v>
      </c>
      <c r="G105">
        <f t="shared" ref="G105:G107" si="15">E105+F105</f>
        <v>11</v>
      </c>
      <c r="H105" t="str">
        <f>LEFT(Table12[[#This Row],[Score]],1)</f>
        <v>W</v>
      </c>
      <c r="I105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105" s="33">
        <f>VLOOKUP(Table12[[#This Row],[OPP]],Raw!$L$2:$S$23,7,FALSE)-Raw!$U$2</f>
        <v>0.17977853842844585</v>
      </c>
    </row>
    <row r="106" spans="1:10" x14ac:dyDescent="0.25">
      <c r="A106" t="s">
        <v>509</v>
      </c>
      <c r="B106" t="s">
        <v>343</v>
      </c>
      <c r="C106" t="s">
        <v>270</v>
      </c>
      <c r="D106" t="str">
        <f>IF(LEFT(Table12[[#This Row],[Opponent]],1)="@","Away","Home")</f>
        <v>Home</v>
      </c>
      <c r="E106">
        <f>_xlfn.NUMBERVALUE(MID(LEFT(Table12[[#This Row],[Score]],FIND("-",Table12[[#This Row],[Score]])-1),FIND(" ",Table12[[#This Row],[Score]])+1,LEN(Table12[[#This Row],[Score]])))</f>
        <v>4</v>
      </c>
      <c r="F106">
        <f>_xlfn.NUMBERVALUE(RIGHT(Table12[[#This Row],[Score]],LEN(Table12[[#This Row],[Score]])-FIND("-",Table12[[#This Row],[Score]])))</f>
        <v>3</v>
      </c>
      <c r="G106">
        <f t="shared" si="15"/>
        <v>7</v>
      </c>
      <c r="H106" t="str">
        <f>LEFT(Table12[[#This Row],[Score]],1)</f>
        <v>W</v>
      </c>
      <c r="I106" s="17" t="str">
        <f>VLOOKUP(IF(Table12[[#This Row],[At]]="Home",Table12[[#This Row],[Opponent]],RIGHT(Table12[[#This Row],[Opponent]],LEN(Table12[[#This Row],[Opponent]])-1)),CHOOSE({1,2},[1]StandingsRAW!$J$1:$J$22,[1]StandingsRAW!$L$1:$L$22),2,FALSE)</f>
        <v>BC</v>
      </c>
      <c r="J106" s="33">
        <f>VLOOKUP(Table12[[#This Row],[OPP]],Raw!$L$2:$S$23,7,FALSE)-Raw!$U$2</f>
        <v>-0.61443116423196109</v>
      </c>
    </row>
    <row r="107" spans="1:10" x14ac:dyDescent="0.25">
      <c r="A107" t="s">
        <v>510</v>
      </c>
      <c r="B107" t="s">
        <v>343</v>
      </c>
      <c r="C107" t="s">
        <v>334</v>
      </c>
      <c r="D107" t="str">
        <f>IF(LEFT(Table12[[#This Row],[Opponent]],1)="@","Away","Home")</f>
        <v>Home</v>
      </c>
      <c r="E107">
        <f>_xlfn.NUMBERVALUE(MID(LEFT(Table12[[#This Row],[Score]],FIND("-",Table12[[#This Row],[Score]])-1),FIND(" ",Table12[[#This Row],[Score]])+1,LEN(Table12[[#This Row],[Score]])))</f>
        <v>7</v>
      </c>
      <c r="F107">
        <f>_xlfn.NUMBERVALUE(RIGHT(Table12[[#This Row],[Score]],LEN(Table12[[#This Row],[Score]])-FIND("-",Table12[[#This Row],[Score]])))</f>
        <v>15</v>
      </c>
      <c r="G107">
        <f t="shared" si="15"/>
        <v>22</v>
      </c>
      <c r="H107" t="str">
        <f>LEFT(Table12[[#This Row],[Score]],1)</f>
        <v>L</v>
      </c>
      <c r="I107" s="17" t="str">
        <f>VLOOKUP(IF(Table12[[#This Row],[At]]="Home",Table12[[#This Row],[Opponent]],RIGHT(Table12[[#This Row],[Opponent]],LEN(Table12[[#This Row],[Opponent]])-1)),CHOOSE({1,2},[1]StandingsRAW!$J$1:$J$22,[1]StandingsRAW!$L$1:$L$22),2,FALSE)</f>
        <v>BC</v>
      </c>
      <c r="J107" s="33">
        <f>VLOOKUP(Table12[[#This Row],[OPP]],Raw!$L$2:$S$23,7,FALSE)-Raw!$U$2</f>
        <v>-0.61443116423196109</v>
      </c>
    </row>
    <row r="108" spans="1:10" x14ac:dyDescent="0.25">
      <c r="A108" t="s">
        <v>515</v>
      </c>
      <c r="B108" t="s">
        <v>124</v>
      </c>
      <c r="C108" t="s">
        <v>516</v>
      </c>
      <c r="D108" t="str">
        <f>IF(LEFT(Table12[[#This Row],[Opponent]],1)="@","Away","Home")</f>
        <v>Away</v>
      </c>
      <c r="E108">
        <f>_xlfn.NUMBERVALUE(MID(LEFT(Table12[[#This Row],[Score]],FIND("-",Table12[[#This Row],[Score]])-1),FIND(" ",Table12[[#This Row],[Score]])+1,LEN(Table12[[#This Row],[Score]])))</f>
        <v>1</v>
      </c>
      <c r="F108">
        <f>_xlfn.NUMBERVALUE(RIGHT(Table12[[#This Row],[Score]],LEN(Table12[[#This Row],[Score]])-FIND("-",Table12[[#This Row],[Score]])))</f>
        <v>15</v>
      </c>
      <c r="G108">
        <f>E108+F108</f>
        <v>16</v>
      </c>
      <c r="H108" t="str">
        <f>LEFT(Table12[[#This Row],[Score]],1)</f>
        <v>L</v>
      </c>
      <c r="I108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108" s="33">
        <f>VLOOKUP(Table12[[#This Row],[OPP]],Raw!$L$2:$S$23,7,FALSE)-Raw!$U$2</f>
        <v>2.7744577246569277</v>
      </c>
    </row>
    <row r="109" spans="1:10" x14ac:dyDescent="0.25">
      <c r="A109" t="s">
        <v>518</v>
      </c>
      <c r="B109" t="s">
        <v>124</v>
      </c>
      <c r="C109" t="s">
        <v>384</v>
      </c>
      <c r="D109" t="str">
        <f>IF(LEFT(Table12[[#This Row],[Opponent]],1)="@","Away","Home")</f>
        <v>Away</v>
      </c>
      <c r="E109">
        <f>_xlfn.NUMBERVALUE(MID(LEFT(Table12[[#This Row],[Score]],FIND("-",Table12[[#This Row],[Score]])-1),FIND(" ",Table12[[#This Row],[Score]])+1,LEN(Table12[[#This Row],[Score]])))</f>
        <v>7</v>
      </c>
      <c r="F109">
        <f>_xlfn.NUMBERVALUE(RIGHT(Table12[[#This Row],[Score]],LEN(Table12[[#This Row],[Score]])-FIND("-",Table12[[#This Row],[Score]])))</f>
        <v>5</v>
      </c>
      <c r="G109">
        <f t="shared" ref="G109:G112" si="16">E109+F109</f>
        <v>12</v>
      </c>
      <c r="H109" t="str">
        <f>LEFT(Table12[[#This Row],[Score]],1)</f>
        <v>W</v>
      </c>
      <c r="I109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109" s="33">
        <f>VLOOKUP(Table12[[#This Row],[OPP]],Raw!$L$2:$S$23,7,FALSE)-Raw!$U$2</f>
        <v>2.7744577246569277</v>
      </c>
    </row>
    <row r="110" spans="1:10" x14ac:dyDescent="0.25">
      <c r="A110" t="s">
        <v>519</v>
      </c>
      <c r="B110" t="s">
        <v>30</v>
      </c>
      <c r="C110" t="s">
        <v>132</v>
      </c>
      <c r="D110" t="str">
        <f>IF(LEFT(Table12[[#This Row],[Opponent]],1)="@","Away","Home")</f>
        <v>Away</v>
      </c>
      <c r="E110">
        <f>_xlfn.NUMBERVALUE(MID(LEFT(Table12[[#This Row],[Score]],FIND("-",Table12[[#This Row],[Score]])-1),FIND(" ",Table12[[#This Row],[Score]])+1,LEN(Table12[[#This Row],[Score]])))</f>
        <v>3</v>
      </c>
      <c r="F110">
        <f>_xlfn.NUMBERVALUE(RIGHT(Table12[[#This Row],[Score]],LEN(Table12[[#This Row],[Score]])-FIND("-",Table12[[#This Row],[Score]])))</f>
        <v>6</v>
      </c>
      <c r="G110">
        <f t="shared" si="16"/>
        <v>9</v>
      </c>
      <c r="H110" t="str">
        <f>LEFT(Table12[[#This Row],[Score]],1)</f>
        <v>L</v>
      </c>
      <c r="I110" s="17" t="str">
        <f>VLOOKUP(IF(Table12[[#This Row],[At]]="Home",Table12[[#This Row],[Opponent]],RIGHT(Table12[[#This Row],[Opponent]],LEN(Table12[[#This Row],[Opponent]])-1)),CHOOSE({1,2},[1]StandingsRAW!$J$1:$J$22,[1]StandingsRAW!$L$1:$L$22),2,FALSE)</f>
        <v>KEN</v>
      </c>
      <c r="J110" s="33">
        <f>VLOOKUP(Table12[[#This Row],[OPP]],Raw!$L$2:$S$23,7,FALSE)-Raw!$U$2</f>
        <v>-3.3200531208499337E-3</v>
      </c>
    </row>
    <row r="111" spans="1:10" x14ac:dyDescent="0.25">
      <c r="A111" t="s">
        <v>520</v>
      </c>
      <c r="B111" t="s">
        <v>52</v>
      </c>
      <c r="C111" t="s">
        <v>320</v>
      </c>
      <c r="D111" t="str">
        <f>IF(LEFT(Table12[[#This Row],[Opponent]],1)="@","Away","Home")</f>
        <v>Home</v>
      </c>
      <c r="E111">
        <f>_xlfn.NUMBERVALUE(MID(LEFT(Table12[[#This Row],[Score]],FIND("-",Table12[[#This Row],[Score]])-1),FIND(" ",Table12[[#This Row],[Score]])+1,LEN(Table12[[#This Row],[Score]])))</f>
        <v>5</v>
      </c>
      <c r="F111">
        <f>_xlfn.NUMBERVALUE(RIGHT(Table12[[#This Row],[Score]],LEN(Table12[[#This Row],[Score]])-FIND("-",Table12[[#This Row],[Score]])))</f>
        <v>1</v>
      </c>
      <c r="G111">
        <f t="shared" si="16"/>
        <v>6</v>
      </c>
      <c r="H111" t="str">
        <f>LEFT(Table12[[#This Row],[Score]],1)</f>
        <v>W</v>
      </c>
      <c r="I111" s="17" t="str">
        <f>VLOOKUP(IF(Table12[[#This Row],[At]]="Home",Table12[[#This Row],[Opponent]],RIGHT(Table12[[#This Row],[Opponent]],LEN(Table12[[#This Row],[Opponent]])-1)),CHOOSE({1,2},[1]StandingsRAW!$J$1:$J$22,[1]StandingsRAW!$L$1:$L$22),2,FALSE)</f>
        <v>KEN</v>
      </c>
      <c r="J111" s="33">
        <f>VLOOKUP(Table12[[#This Row],[OPP]],Raw!$L$2:$S$23,7,FALSE)-Raw!$U$2</f>
        <v>-3.3200531208499337E-3</v>
      </c>
    </row>
    <row r="112" spans="1:10" x14ac:dyDescent="0.25">
      <c r="A112" t="s">
        <v>521</v>
      </c>
      <c r="B112" t="s">
        <v>341</v>
      </c>
      <c r="C112" t="s">
        <v>304</v>
      </c>
      <c r="D112" t="str">
        <f>IF(LEFT(Table12[[#This Row],[Opponent]],1)="@","Away","Home")</f>
        <v>Away</v>
      </c>
      <c r="E112">
        <f>_xlfn.NUMBERVALUE(MID(LEFT(Table12[[#This Row],[Score]],FIND("-",Table12[[#This Row],[Score]])-1),FIND(" ",Table12[[#This Row],[Score]])+1,LEN(Table12[[#This Row],[Score]])))</f>
        <v>2</v>
      </c>
      <c r="F112">
        <f>_xlfn.NUMBERVALUE(RIGHT(Table12[[#This Row],[Score]],LEN(Table12[[#This Row],[Score]])-FIND("-",Table12[[#This Row],[Score]])))</f>
        <v>0</v>
      </c>
      <c r="G112">
        <f t="shared" si="16"/>
        <v>2</v>
      </c>
      <c r="H112" t="str">
        <f>LEFT(Table12[[#This Row],[Score]],1)</f>
        <v>W</v>
      </c>
      <c r="I112" s="17" t="str">
        <f>VLOOKUP(IF(Table12[[#This Row],[At]]="Home",Table12[[#This Row],[Opponent]],RIGHT(Table12[[#This Row],[Opponent]],LEN(Table12[[#This Row],[Opponent]])-1)),CHOOSE({1,2},[1]StandingsRAW!$J$1:$J$22,[1]StandingsRAW!$L$1:$L$22),2,FALSE)</f>
        <v>BC</v>
      </c>
      <c r="J112" s="33">
        <f>VLOOKUP(Table12[[#This Row],[OPP]],Raw!$L$2:$S$23,7,FALSE)-Raw!$U$2</f>
        <v>-0.61443116423196109</v>
      </c>
    </row>
    <row r="113" spans="1:10" x14ac:dyDescent="0.25">
      <c r="A113" t="s">
        <v>524</v>
      </c>
      <c r="B113" t="s">
        <v>341</v>
      </c>
      <c r="C113" t="s">
        <v>320</v>
      </c>
      <c r="D113" t="str">
        <f>IF(LEFT(Table12[[#This Row],[Opponent]],1)="@","Away","Home")</f>
        <v>Away</v>
      </c>
      <c r="E113">
        <f>_xlfn.NUMBERVALUE(MID(LEFT(Table12[[#This Row],[Score]],FIND("-",Table12[[#This Row],[Score]])-1),FIND(" ",Table12[[#This Row],[Score]])+1,LEN(Table12[[#This Row],[Score]])))</f>
        <v>5</v>
      </c>
      <c r="F113">
        <f>_xlfn.NUMBERVALUE(RIGHT(Table12[[#This Row],[Score]],LEN(Table12[[#This Row],[Score]])-FIND("-",Table12[[#This Row],[Score]])))</f>
        <v>1</v>
      </c>
      <c r="G113">
        <f t="shared" ref="G113:G119" si="17">E113+F113</f>
        <v>6</v>
      </c>
      <c r="H113" t="str">
        <f>LEFT(Table12[[#This Row],[Score]],1)</f>
        <v>W</v>
      </c>
      <c r="I113" s="17" t="str">
        <f>VLOOKUP(IF(Table12[[#This Row],[At]]="Home",Table12[[#This Row],[Opponent]],RIGHT(Table12[[#This Row],[Opponent]],LEN(Table12[[#This Row],[Opponent]])-1)),CHOOSE({1,2},[1]StandingsRAW!$J$1:$J$22,[1]StandingsRAW!$L$1:$L$22),2,FALSE)</f>
        <v>BC</v>
      </c>
      <c r="J113" s="33">
        <f>VLOOKUP(Table12[[#This Row],[OPP]],Raw!$L$2:$S$23,7,FALSE)-Raw!$U$2</f>
        <v>-0.61443116423196109</v>
      </c>
    </row>
    <row r="114" spans="1:10" x14ac:dyDescent="0.25">
      <c r="A114" t="s">
        <v>525</v>
      </c>
      <c r="B114" t="s">
        <v>333</v>
      </c>
      <c r="C114" t="s">
        <v>234</v>
      </c>
      <c r="D114" t="str">
        <f>IF(LEFT(Table12[[#This Row],[Opponent]],1)="@","Away","Home")</f>
        <v>Home</v>
      </c>
      <c r="E114">
        <f>_xlfn.NUMBERVALUE(MID(LEFT(Table12[[#This Row],[Score]],FIND("-",Table12[[#This Row],[Score]])-1),FIND(" ",Table12[[#This Row],[Score]])+1,LEN(Table12[[#This Row],[Score]])))</f>
        <v>2</v>
      </c>
      <c r="F114">
        <f>_xlfn.NUMBERVALUE(RIGHT(Table12[[#This Row],[Score]],LEN(Table12[[#This Row],[Score]])-FIND("-",Table12[[#This Row],[Score]])))</f>
        <v>5</v>
      </c>
      <c r="G114">
        <f t="shared" si="17"/>
        <v>7</v>
      </c>
      <c r="H114" t="str">
        <f>LEFT(Table12[[#This Row],[Score]],1)</f>
        <v>L</v>
      </c>
      <c r="I114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114" s="33">
        <f>VLOOKUP(Table12[[#This Row],[OPP]],Raw!$L$2:$S$23,7,FALSE)-Raw!$U$2</f>
        <v>0.7572433271608402</v>
      </c>
    </row>
    <row r="115" spans="1:10" x14ac:dyDescent="0.25">
      <c r="A115" t="s">
        <v>526</v>
      </c>
      <c r="B115" t="s">
        <v>332</v>
      </c>
      <c r="C115" t="s">
        <v>299</v>
      </c>
      <c r="D115" t="str">
        <f>IF(LEFT(Table12[[#This Row],[Opponent]],1)="@","Away","Home")</f>
        <v>Away</v>
      </c>
      <c r="E115">
        <f>_xlfn.NUMBERVALUE(MID(LEFT(Table12[[#This Row],[Score]],FIND("-",Table12[[#This Row],[Score]])-1),FIND(" ",Table12[[#This Row],[Score]])+1,LEN(Table12[[#This Row],[Score]])))</f>
        <v>11</v>
      </c>
      <c r="F115">
        <f>_xlfn.NUMBERVALUE(RIGHT(Table12[[#This Row],[Score]],LEN(Table12[[#This Row],[Score]])-FIND("-",Table12[[#This Row],[Score]])))</f>
        <v>3</v>
      </c>
      <c r="G115">
        <f t="shared" si="17"/>
        <v>14</v>
      </c>
      <c r="H115" t="str">
        <f>LEFT(Table12[[#This Row],[Score]],1)</f>
        <v>W</v>
      </c>
      <c r="I115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115" s="33">
        <f>VLOOKUP(Table12[[#This Row],[OPP]],Raw!$L$2:$S$23,7,FALSE)-Raw!$U$2</f>
        <v>0.7572433271608402</v>
      </c>
    </row>
    <row r="116" spans="1:10" x14ac:dyDescent="0.25">
      <c r="A116" t="s">
        <v>527</v>
      </c>
      <c r="B116" t="s">
        <v>321</v>
      </c>
      <c r="C116" t="s">
        <v>18</v>
      </c>
      <c r="D116" t="str">
        <f>IF(LEFT(Table12[[#This Row],[Opponent]],1)="@","Away","Home")</f>
        <v>Home</v>
      </c>
      <c r="E116">
        <f>_xlfn.NUMBERVALUE(MID(LEFT(Table12[[#This Row],[Score]],FIND("-",Table12[[#This Row],[Score]])-1),FIND(" ",Table12[[#This Row],[Score]])+1,LEN(Table12[[#This Row],[Score]])))</f>
        <v>8</v>
      </c>
      <c r="F116">
        <f>_xlfn.NUMBERVALUE(RIGHT(Table12[[#This Row],[Score]],LEN(Table12[[#This Row],[Score]])-FIND("-",Table12[[#This Row],[Score]])))</f>
        <v>9</v>
      </c>
      <c r="G116">
        <f t="shared" si="17"/>
        <v>17</v>
      </c>
      <c r="H116" t="str">
        <f>LEFT(Table12[[#This Row],[Score]],1)</f>
        <v>L</v>
      </c>
      <c r="I116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116" s="33">
        <f>VLOOKUP(Table12[[#This Row],[OPP]],Raw!$L$2:$S$23,7,FALSE)-Raw!$U$2</f>
        <v>-1.5172089420097388</v>
      </c>
    </row>
    <row r="117" spans="1:10" x14ac:dyDescent="0.25">
      <c r="A117" t="s">
        <v>528</v>
      </c>
      <c r="B117" t="s">
        <v>321</v>
      </c>
      <c r="C117" t="s">
        <v>349</v>
      </c>
      <c r="D117" t="str">
        <f>IF(LEFT(Table12[[#This Row],[Opponent]],1)="@","Away","Home")</f>
        <v>Home</v>
      </c>
      <c r="E117">
        <f>_xlfn.NUMBERVALUE(MID(LEFT(Table12[[#This Row],[Score]],FIND("-",Table12[[#This Row],[Score]])-1),FIND(" ",Table12[[#This Row],[Score]])+1,LEN(Table12[[#This Row],[Score]])))</f>
        <v>12</v>
      </c>
      <c r="F117">
        <f>_xlfn.NUMBERVALUE(RIGHT(Table12[[#This Row],[Score]],LEN(Table12[[#This Row],[Score]])-FIND("-",Table12[[#This Row],[Score]])))</f>
        <v>2</v>
      </c>
      <c r="G117">
        <f t="shared" si="17"/>
        <v>14</v>
      </c>
      <c r="H117" t="str">
        <f>LEFT(Table12[[#This Row],[Score]],1)</f>
        <v>W</v>
      </c>
      <c r="I117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117" s="33">
        <f>VLOOKUP(Table12[[#This Row],[OPP]],Raw!$L$2:$S$23,7,FALSE)-Raw!$U$2</f>
        <v>-1.5172089420097388</v>
      </c>
    </row>
    <row r="118" spans="1:10" x14ac:dyDescent="0.25">
      <c r="A118" t="s">
        <v>529</v>
      </c>
      <c r="B118" t="s">
        <v>124</v>
      </c>
      <c r="C118" t="s">
        <v>246</v>
      </c>
      <c r="D118" t="str">
        <f>IF(LEFT(Table12[[#This Row],[Opponent]],1)="@","Away","Home")</f>
        <v>Away</v>
      </c>
      <c r="E118">
        <f>_xlfn.NUMBERVALUE(MID(LEFT(Table12[[#This Row],[Score]],FIND("-",Table12[[#This Row],[Score]])-1),FIND(" ",Table12[[#This Row],[Score]])+1,LEN(Table12[[#This Row],[Score]])))</f>
        <v>4</v>
      </c>
      <c r="F118">
        <f>_xlfn.NUMBERVALUE(RIGHT(Table12[[#This Row],[Score]],LEN(Table12[[#This Row],[Score]])-FIND("-",Table12[[#This Row],[Score]])))</f>
        <v>6</v>
      </c>
      <c r="G118">
        <f t="shared" si="17"/>
        <v>10</v>
      </c>
      <c r="H118" t="str">
        <f>LEFT(Table12[[#This Row],[Score]],1)</f>
        <v>L</v>
      </c>
      <c r="I118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118" s="33">
        <f>VLOOKUP(Table12[[#This Row],[OPP]],Raw!$L$2:$S$23,7,FALSE)-Raw!$U$2</f>
        <v>2.7744577246569277</v>
      </c>
    </row>
    <row r="119" spans="1:10" x14ac:dyDescent="0.25">
      <c r="A119" t="s">
        <v>530</v>
      </c>
      <c r="B119" t="s">
        <v>124</v>
      </c>
      <c r="C119" t="s">
        <v>229</v>
      </c>
      <c r="D119" t="str">
        <f>IF(LEFT(Table12[[#This Row],[Opponent]],1)="@","Away","Home")</f>
        <v>Away</v>
      </c>
      <c r="E119">
        <f>_xlfn.NUMBERVALUE(MID(LEFT(Table12[[#This Row],[Score]],FIND("-",Table12[[#This Row],[Score]])-1),FIND(" ",Table12[[#This Row],[Score]])+1,LEN(Table12[[#This Row],[Score]])))</f>
        <v>7</v>
      </c>
      <c r="F119">
        <f>_xlfn.NUMBERVALUE(RIGHT(Table12[[#This Row],[Score]],LEN(Table12[[#This Row],[Score]])-FIND("-",Table12[[#This Row],[Score]])))</f>
        <v>1</v>
      </c>
      <c r="G119">
        <f t="shared" si="17"/>
        <v>8</v>
      </c>
      <c r="H119" t="str">
        <f>LEFT(Table12[[#This Row],[Score]],1)</f>
        <v>W</v>
      </c>
      <c r="I119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119" s="33">
        <f>VLOOKUP(Table12[[#This Row],[OPP]],Raw!$L$2:$S$23,7,FALSE)-Raw!$U$2</f>
        <v>2.7744577246569277</v>
      </c>
    </row>
    <row r="120" spans="1:10" x14ac:dyDescent="0.25">
      <c r="A120" t="s">
        <v>541</v>
      </c>
      <c r="B120" t="s">
        <v>333</v>
      </c>
      <c r="C120" t="s">
        <v>239</v>
      </c>
      <c r="D120" t="str">
        <f>IF(LEFT(Table12[[#This Row],[Opponent]],1)="@","Away","Home")</f>
        <v>Home</v>
      </c>
      <c r="E120">
        <f>_xlfn.NUMBERVALUE(MID(LEFT(Table12[[#This Row],[Score]],FIND("-",Table12[[#This Row],[Score]])-1),FIND(" ",Table12[[#This Row],[Score]])+1,LEN(Table12[[#This Row],[Score]])))</f>
        <v>8</v>
      </c>
      <c r="F120">
        <f>_xlfn.NUMBERVALUE(RIGHT(Table12[[#This Row],[Score]],LEN(Table12[[#This Row],[Score]])-FIND("-",Table12[[#This Row],[Score]])))</f>
        <v>5</v>
      </c>
      <c r="G120">
        <f>E120+F120</f>
        <v>13</v>
      </c>
      <c r="H120" t="str">
        <f>LEFT(Table12[[#This Row],[Score]],1)</f>
        <v>W</v>
      </c>
      <c r="I120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120" s="33">
        <f>VLOOKUP(Table12[[#This Row],[OPP]],Raw!$L$2:$S$23,7,FALSE)-Raw!$U$2</f>
        <v>0.7572433271608402</v>
      </c>
    </row>
    <row r="121" spans="1:10" x14ac:dyDescent="0.25">
      <c r="A121" t="s">
        <v>542</v>
      </c>
      <c r="B121" t="s">
        <v>332</v>
      </c>
      <c r="C121" t="s">
        <v>329</v>
      </c>
      <c r="D121" t="str">
        <f>IF(LEFT(Table12[[#This Row],[Opponent]],1)="@","Away","Home")</f>
        <v>Away</v>
      </c>
      <c r="E121">
        <f>_xlfn.NUMBERVALUE(MID(LEFT(Table12[[#This Row],[Score]],FIND("-",Table12[[#This Row],[Score]])-1),FIND(" ",Table12[[#This Row],[Score]])+1,LEN(Table12[[#This Row],[Score]])))</f>
        <v>5</v>
      </c>
      <c r="F121">
        <f>_xlfn.NUMBERVALUE(RIGHT(Table12[[#This Row],[Score]],LEN(Table12[[#This Row],[Score]])-FIND("-",Table12[[#This Row],[Score]])))</f>
        <v>2</v>
      </c>
      <c r="G121">
        <f>E121+F121</f>
        <v>7</v>
      </c>
      <c r="H121" t="str">
        <f>LEFT(Table12[[#This Row],[Score]],1)</f>
        <v>W</v>
      </c>
      <c r="I121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121" s="33">
        <f>VLOOKUP(Table12[[#This Row],[OPP]],Raw!$L$2:$S$23,7,FALSE)-Raw!$U$2</f>
        <v>0.7572433271608402</v>
      </c>
    </row>
    <row r="122" spans="1:10" x14ac:dyDescent="0.25">
      <c r="A122" t="s">
        <v>543</v>
      </c>
      <c r="B122" t="s">
        <v>74</v>
      </c>
      <c r="C122" t="s">
        <v>94</v>
      </c>
      <c r="D122" t="str">
        <f>IF(LEFT(Table12[[#This Row],[Opponent]],1)="@","Away","Home")</f>
        <v>Home</v>
      </c>
      <c r="E122">
        <f>_xlfn.NUMBERVALUE(MID(LEFT(Table12[[#This Row],[Score]],FIND("-",Table12[[#This Row],[Score]])-1),FIND(" ",Table12[[#This Row],[Score]])+1,LEN(Table12[[#This Row],[Score]])))</f>
        <v>4</v>
      </c>
      <c r="F122">
        <f>_xlfn.NUMBERVALUE(RIGHT(Table12[[#This Row],[Score]],LEN(Table12[[#This Row],[Score]])-FIND("-",Table12[[#This Row],[Score]])))</f>
        <v>8</v>
      </c>
      <c r="G122">
        <f>E122+F122</f>
        <v>12</v>
      </c>
      <c r="H122" t="str">
        <f>LEFT(Table12[[#This Row],[Score]],1)</f>
        <v>L</v>
      </c>
      <c r="I122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122" s="33">
        <f>VLOOKUP(Table12[[#This Row],[OPP]],Raw!$L$2:$S$23,7,FALSE)-Raw!$U$2</f>
        <v>0.17977853842844585</v>
      </c>
    </row>
    <row r="123" spans="1:10" x14ac:dyDescent="0.25">
      <c r="A123" t="s">
        <v>546</v>
      </c>
      <c r="B123" t="s">
        <v>74</v>
      </c>
      <c r="C123" t="s">
        <v>254</v>
      </c>
      <c r="D123" t="str">
        <f>IF(LEFT(Table12[[#This Row],[Opponent]],1)="@","Away","Home")</f>
        <v>Home</v>
      </c>
      <c r="E123">
        <f>_xlfn.NUMBERVALUE(MID(LEFT(Table12[[#This Row],[Score]],FIND("-",Table12[[#This Row],[Score]])-1),FIND(" ",Table12[[#This Row],[Score]])+1,LEN(Table12[[#This Row],[Score]])))</f>
        <v>5</v>
      </c>
      <c r="F123">
        <f>_xlfn.NUMBERVALUE(RIGHT(Table12[[#This Row],[Score]],LEN(Table12[[#This Row],[Score]])-FIND("-",Table12[[#This Row],[Score]])))</f>
        <v>4</v>
      </c>
      <c r="G123">
        <f>E123+F123</f>
        <v>9</v>
      </c>
      <c r="H123" t="str">
        <f>LEFT(Table12[[#This Row],[Score]],1)</f>
        <v>W</v>
      </c>
      <c r="I123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123" s="33">
        <f>VLOOKUP(Table12[[#This Row],[OPP]],Raw!$L$2:$S$23,7,FALSE)-Raw!$U$2</f>
        <v>0.17977853842844585</v>
      </c>
    </row>
    <row r="124" spans="1:10" x14ac:dyDescent="0.25">
      <c r="A124" t="s">
        <v>549</v>
      </c>
      <c r="B124" t="s">
        <v>40</v>
      </c>
      <c r="C124" t="s">
        <v>281</v>
      </c>
      <c r="D124" t="str">
        <f>IF(LEFT(Table12[[#This Row],[Opponent]],1)="@","Away","Home")</f>
        <v>Away</v>
      </c>
      <c r="E124">
        <f>_xlfn.NUMBERVALUE(MID(LEFT(Table12[[#This Row],[Score]],FIND("-",Table12[[#This Row],[Score]])-1),FIND(" ",Table12[[#This Row],[Score]])+1,LEN(Table12[[#This Row],[Score]])))</f>
        <v>1</v>
      </c>
      <c r="F124">
        <f>_xlfn.NUMBERVALUE(RIGHT(Table12[[#This Row],[Score]],LEN(Table12[[#This Row],[Score]])-FIND("-",Table12[[#This Row],[Score]])))</f>
        <v>8</v>
      </c>
      <c r="G124">
        <f t="shared" ref="G124:G126" si="18">E124+F124</f>
        <v>9</v>
      </c>
      <c r="H124" t="str">
        <f>LEFT(Table12[[#This Row],[Score]],1)</f>
        <v>L</v>
      </c>
      <c r="I124" s="17" t="str">
        <f>VLOOKUP(IF(Table12[[#This Row],[At]]="Home",Table12[[#This Row],[Opponent]],RIGHT(Table12[[#This Row],[Opponent]],LEN(Table12[[#This Row],[Opponent]])-1)),CHOOSE({1,2},[1]StandingsRAW!$J$1:$J$22,[1]StandingsRAW!$L$1:$L$22),2,FALSE)</f>
        <v>TVC</v>
      </c>
      <c r="J124" s="33">
        <f>VLOOKUP(Table12[[#This Row],[OPP]],Raw!$L$2:$S$23,7,FALSE)-Raw!$U$2</f>
        <v>1.4411243913235945</v>
      </c>
    </row>
    <row r="125" spans="1:10" x14ac:dyDescent="0.25">
      <c r="A125" t="s">
        <v>550</v>
      </c>
      <c r="B125" t="s">
        <v>40</v>
      </c>
      <c r="C125" t="s">
        <v>11</v>
      </c>
      <c r="D125" t="str">
        <f>IF(LEFT(Table12[[#This Row],[Opponent]],1)="@","Away","Home")</f>
        <v>Away</v>
      </c>
      <c r="E125">
        <f>_xlfn.NUMBERVALUE(MID(LEFT(Table12[[#This Row],[Score]],FIND("-",Table12[[#This Row],[Score]])-1),FIND(" ",Table12[[#This Row],[Score]])+1,LEN(Table12[[#This Row],[Score]])))</f>
        <v>3</v>
      </c>
      <c r="F125">
        <f>_xlfn.NUMBERVALUE(RIGHT(Table12[[#This Row],[Score]],LEN(Table12[[#This Row],[Score]])-FIND("-",Table12[[#This Row],[Score]])))</f>
        <v>12</v>
      </c>
      <c r="G125">
        <f t="shared" si="18"/>
        <v>15</v>
      </c>
      <c r="H125" t="str">
        <f>LEFT(Table12[[#This Row],[Score]],1)</f>
        <v>L</v>
      </c>
      <c r="I125" s="17" t="str">
        <f>VLOOKUP(IF(Table12[[#This Row],[At]]="Home",Table12[[#This Row],[Opponent]],RIGHT(Table12[[#This Row],[Opponent]],LEN(Table12[[#This Row],[Opponent]])-1)),CHOOSE({1,2},[1]StandingsRAW!$J$1:$J$22,[1]StandingsRAW!$L$1:$L$22),2,FALSE)</f>
        <v>TVC</v>
      </c>
      <c r="J125" s="33">
        <f>VLOOKUP(Table12[[#This Row],[OPP]],Raw!$L$2:$S$23,7,FALSE)-Raw!$U$2</f>
        <v>1.4411243913235945</v>
      </c>
    </row>
    <row r="126" spans="1:10" x14ac:dyDescent="0.25">
      <c r="A126" t="s">
        <v>552</v>
      </c>
      <c r="B126" t="s">
        <v>115</v>
      </c>
      <c r="C126" t="s">
        <v>227</v>
      </c>
      <c r="D126" t="str">
        <f>IF(LEFT(Table12[[#This Row],[Opponent]],1)="@","Away","Home")</f>
        <v>Away</v>
      </c>
      <c r="E126">
        <f>_xlfn.NUMBERVALUE(MID(LEFT(Table12[[#This Row],[Score]],FIND("-",Table12[[#This Row],[Score]])-1),FIND(" ",Table12[[#This Row],[Score]])+1,LEN(Table12[[#This Row],[Score]])))</f>
        <v>9</v>
      </c>
      <c r="F126">
        <f>_xlfn.NUMBERVALUE(RIGHT(Table12[[#This Row],[Score]],LEN(Table12[[#This Row],[Score]])-FIND("-",Table12[[#This Row],[Score]])))</f>
        <v>12</v>
      </c>
      <c r="G126">
        <f t="shared" si="18"/>
        <v>21</v>
      </c>
      <c r="H126" t="str">
        <f>LEFT(Table12[[#This Row],[Score]],1)</f>
        <v>L</v>
      </c>
      <c r="I126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126" s="33">
        <f>VLOOKUP(Table12[[#This Row],[OPP]],Raw!$L$2:$S$23,7,FALSE)-Raw!$U$2</f>
        <v>-1.4060978308986276</v>
      </c>
    </row>
    <row r="127" spans="1:10" x14ac:dyDescent="0.25">
      <c r="A127" t="s">
        <v>555</v>
      </c>
      <c r="B127" t="s">
        <v>103</v>
      </c>
      <c r="C127" t="s">
        <v>270</v>
      </c>
      <c r="D127" t="str">
        <f>IF(LEFT(Table12[[#This Row],[Opponent]],1)="@","Away","Home")</f>
        <v>Home</v>
      </c>
      <c r="E127">
        <f>_xlfn.NUMBERVALUE(MID(LEFT(Table12[[#This Row],[Score]],FIND("-",Table12[[#This Row],[Score]])-1),FIND(" ",Table12[[#This Row],[Score]])+1,LEN(Table12[[#This Row],[Score]])))</f>
        <v>4</v>
      </c>
      <c r="F127">
        <f>_xlfn.NUMBERVALUE(RIGHT(Table12[[#This Row],[Score]],LEN(Table12[[#This Row],[Score]])-FIND("-",Table12[[#This Row],[Score]])))</f>
        <v>3</v>
      </c>
      <c r="G127">
        <f>E127+F127</f>
        <v>7</v>
      </c>
      <c r="H127" t="str">
        <f>LEFT(Table12[[#This Row],[Score]],1)</f>
        <v>W</v>
      </c>
      <c r="I127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127" s="33">
        <f>VLOOKUP(Table12[[#This Row],[OPP]],Raw!$L$2:$S$23,7,FALSE)-Raw!$U$2</f>
        <v>2.7744577246569277</v>
      </c>
    </row>
    <row r="128" spans="1:10" x14ac:dyDescent="0.25">
      <c r="A128" t="s">
        <v>557</v>
      </c>
      <c r="B128" t="s">
        <v>103</v>
      </c>
      <c r="C128" t="s">
        <v>226</v>
      </c>
      <c r="D128" t="str">
        <f>IF(LEFT(Table12[[#This Row],[Opponent]],1)="@","Away","Home")</f>
        <v>Home</v>
      </c>
      <c r="E128">
        <f>_xlfn.NUMBERVALUE(MID(LEFT(Table12[[#This Row],[Score]],FIND("-",Table12[[#This Row],[Score]])-1),FIND(" ",Table12[[#This Row],[Score]])+1,LEN(Table12[[#This Row],[Score]])))</f>
        <v>3</v>
      </c>
      <c r="F128">
        <f>_xlfn.NUMBERVALUE(RIGHT(Table12[[#This Row],[Score]],LEN(Table12[[#This Row],[Score]])-FIND("-",Table12[[#This Row],[Score]])))</f>
        <v>2</v>
      </c>
      <c r="G128">
        <f>E128+F128</f>
        <v>5</v>
      </c>
      <c r="H128" t="str">
        <f>LEFT(Table12[[#This Row],[Score]],1)</f>
        <v>W</v>
      </c>
      <c r="I128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128" s="33">
        <f>VLOOKUP(Table12[[#This Row],[OPP]],Raw!$L$2:$S$23,7,FALSE)-Raw!$U$2</f>
        <v>2.7744577246569277</v>
      </c>
    </row>
    <row r="129" spans="1:10" x14ac:dyDescent="0.25">
      <c r="A129" t="s">
        <v>558</v>
      </c>
      <c r="B129" t="s">
        <v>98</v>
      </c>
      <c r="C129" t="s">
        <v>374</v>
      </c>
      <c r="D129" t="str">
        <f>IF(LEFT(Table12[[#This Row],[Opponent]],1)="@","Away","Home")</f>
        <v>Home</v>
      </c>
      <c r="E129">
        <f>_xlfn.NUMBERVALUE(MID(LEFT(Table12[[#This Row],[Score]],FIND("-",Table12[[#This Row],[Score]])-1),FIND(" ",Table12[[#This Row],[Score]])+1,LEN(Table12[[#This Row],[Score]])))</f>
        <v>6</v>
      </c>
      <c r="F129">
        <f>_xlfn.NUMBERVALUE(RIGHT(Table12[[#This Row],[Score]],LEN(Table12[[#This Row],[Score]])-FIND("-",Table12[[#This Row],[Score]])))</f>
        <v>9</v>
      </c>
      <c r="G129">
        <f t="shared" ref="G129:G130" si="19">E129+F129</f>
        <v>15</v>
      </c>
      <c r="H129" t="str">
        <f>LEFT(Table12[[#This Row],[Score]],1)</f>
        <v>L</v>
      </c>
      <c r="I129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129" s="33">
        <f>VLOOKUP(Table12[[#This Row],[OPP]],Raw!$L$2:$S$23,7,FALSE)-Raw!$U$2</f>
        <v>-1.4060978308986276</v>
      </c>
    </row>
    <row r="130" spans="1:10" x14ac:dyDescent="0.25">
      <c r="A130" t="s">
        <v>558</v>
      </c>
      <c r="B130" t="s">
        <v>98</v>
      </c>
      <c r="C130" t="s">
        <v>205</v>
      </c>
      <c r="D130" t="str">
        <f>IF(LEFT(Table12[[#This Row],[Opponent]],1)="@","Away","Home")</f>
        <v>Home</v>
      </c>
      <c r="E130">
        <f>_xlfn.NUMBERVALUE(MID(LEFT(Table12[[#This Row],[Score]],FIND("-",Table12[[#This Row],[Score]])-1),FIND(" ",Table12[[#This Row],[Score]])+1,LEN(Table12[[#This Row],[Score]])))</f>
        <v>5</v>
      </c>
      <c r="F130">
        <f>_xlfn.NUMBERVALUE(RIGHT(Table12[[#This Row],[Score]],LEN(Table12[[#This Row],[Score]])-FIND("-",Table12[[#This Row],[Score]])))</f>
        <v>6</v>
      </c>
      <c r="G130">
        <f t="shared" si="19"/>
        <v>11</v>
      </c>
      <c r="H130" t="str">
        <f>LEFT(Table12[[#This Row],[Score]],1)</f>
        <v>L</v>
      </c>
      <c r="I130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130" s="33">
        <f>VLOOKUP(Table12[[#This Row],[OPP]],Raw!$L$2:$S$23,7,FALSE)-Raw!$U$2</f>
        <v>-1.4060978308986276</v>
      </c>
    </row>
    <row r="131" spans="1:10" x14ac:dyDescent="0.25">
      <c r="A131" t="s">
        <v>563</v>
      </c>
      <c r="B131" t="s">
        <v>124</v>
      </c>
      <c r="C131" t="s">
        <v>237</v>
      </c>
      <c r="D131" t="str">
        <f>IF(LEFT(Table12[[#This Row],[Opponent]],1)="@","Away","Home")</f>
        <v>Away</v>
      </c>
      <c r="E131">
        <f>_xlfn.NUMBERVALUE(MID(LEFT(Table12[[#This Row],[Score]],FIND("-",Table12[[#This Row],[Score]])-1),FIND(" ",Table12[[#This Row],[Score]])+1,LEN(Table12[[#This Row],[Score]])))</f>
        <v>6</v>
      </c>
      <c r="F131">
        <f>_xlfn.NUMBERVALUE(RIGHT(Table12[[#This Row],[Score]],LEN(Table12[[#This Row],[Score]])-FIND("-",Table12[[#This Row],[Score]])))</f>
        <v>11</v>
      </c>
      <c r="G131">
        <f>E131+F131</f>
        <v>17</v>
      </c>
      <c r="H131" t="str">
        <f>LEFT(Table12[[#This Row],[Score]],1)</f>
        <v>L</v>
      </c>
      <c r="I131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131" s="33">
        <f>VLOOKUP(Table12[[#This Row],[OPP]],Raw!$L$2:$S$23,7,FALSE)-Raw!$U$2</f>
        <v>2.7744577246569277</v>
      </c>
    </row>
    <row r="132" spans="1:10" x14ac:dyDescent="0.25">
      <c r="A132" t="s">
        <v>564</v>
      </c>
      <c r="B132" t="s">
        <v>124</v>
      </c>
      <c r="C132" t="s">
        <v>205</v>
      </c>
      <c r="D132" t="str">
        <f>IF(LEFT(Table12[[#This Row],[Opponent]],1)="@","Away","Home")</f>
        <v>Away</v>
      </c>
      <c r="E132">
        <f>_xlfn.NUMBERVALUE(MID(LEFT(Table12[[#This Row],[Score]],FIND("-",Table12[[#This Row],[Score]])-1),FIND(" ",Table12[[#This Row],[Score]])+1,LEN(Table12[[#This Row],[Score]])))</f>
        <v>5</v>
      </c>
      <c r="F132">
        <f>_xlfn.NUMBERVALUE(RIGHT(Table12[[#This Row],[Score]],LEN(Table12[[#This Row],[Score]])-FIND("-",Table12[[#This Row],[Score]])))</f>
        <v>6</v>
      </c>
      <c r="G132">
        <f t="shared" ref="G132:G135" si="20">E132+F132</f>
        <v>11</v>
      </c>
      <c r="H132" t="str">
        <f>LEFT(Table12[[#This Row],[Score]],1)</f>
        <v>L</v>
      </c>
      <c r="I132" s="17" t="str">
        <f>VLOOKUP(IF(Table12[[#This Row],[At]]="Home",Table12[[#This Row],[Opponent]],RIGHT(Table12[[#This Row],[Opponent]],LEN(Table12[[#This Row],[Opponent]])-1)),CHOOSE({1,2},[1]StandingsRAW!$J$1:$J$22,[1]StandingsRAW!$L$1:$L$22),2,FALSE)</f>
        <v>WIR</v>
      </c>
      <c r="J132" s="33">
        <f>VLOOKUP(Table12[[#This Row],[OPP]],Raw!$L$2:$S$23,7,FALSE)-Raw!$U$2</f>
        <v>2.7744577246569277</v>
      </c>
    </row>
    <row r="133" spans="1:10" x14ac:dyDescent="0.25">
      <c r="A133" t="s">
        <v>565</v>
      </c>
      <c r="B133" t="s">
        <v>23</v>
      </c>
      <c r="C133" t="s">
        <v>318</v>
      </c>
      <c r="D133" t="str">
        <f>IF(LEFT(Table12[[#This Row],[Opponent]],1)="@","Away","Home")</f>
        <v>Home</v>
      </c>
      <c r="E133">
        <f>_xlfn.NUMBERVALUE(MID(LEFT(Table12[[#This Row],[Score]],FIND("-",Table12[[#This Row],[Score]])-1),FIND(" ",Table12[[#This Row],[Score]])+1,LEN(Table12[[#This Row],[Score]])))</f>
        <v>11</v>
      </c>
      <c r="F133">
        <f>_xlfn.NUMBERVALUE(RIGHT(Table12[[#This Row],[Score]],LEN(Table12[[#This Row],[Score]])-FIND("-",Table12[[#This Row],[Score]])))</f>
        <v>4</v>
      </c>
      <c r="G133">
        <f t="shared" si="20"/>
        <v>15</v>
      </c>
      <c r="H133" t="str">
        <f>LEFT(Table12[[#This Row],[Score]],1)</f>
        <v>W</v>
      </c>
      <c r="I133" s="17" t="str">
        <f>VLOOKUP(IF(Table12[[#This Row],[At]]="Home",Table12[[#This Row],[Opponent]],RIGHT(Table12[[#This Row],[Opponent]],LEN(Table12[[#This Row],[Opponent]])-1)),CHOOSE({1,2},[1]StandingsRAW!$J$1:$J$22,[1]StandingsRAW!$L$1:$L$22),2,FALSE)</f>
        <v>TVC</v>
      </c>
      <c r="J133" s="33">
        <f>VLOOKUP(Table12[[#This Row],[OPP]],Raw!$L$2:$S$23,7,FALSE)-Raw!$U$2</f>
        <v>1.4411243913235945</v>
      </c>
    </row>
    <row r="134" spans="1:10" x14ac:dyDescent="0.25">
      <c r="A134" t="s">
        <v>566</v>
      </c>
      <c r="B134" t="s">
        <v>23</v>
      </c>
      <c r="C134" t="s">
        <v>532</v>
      </c>
      <c r="D134" t="str">
        <f>IF(LEFT(Table12[[#This Row],[Opponent]],1)="@","Away","Home")</f>
        <v>Home</v>
      </c>
      <c r="E134">
        <f>_xlfn.NUMBERVALUE(MID(LEFT(Table12[[#This Row],[Score]],FIND("-",Table12[[#This Row],[Score]])-1),FIND(" ",Table12[[#This Row],[Score]])+1,LEN(Table12[[#This Row],[Score]])))</f>
        <v>12</v>
      </c>
      <c r="F134">
        <f>_xlfn.NUMBERVALUE(RIGHT(Table12[[#This Row],[Score]],LEN(Table12[[#This Row],[Score]])-FIND("-",Table12[[#This Row],[Score]])))</f>
        <v>11</v>
      </c>
      <c r="G134">
        <f t="shared" si="20"/>
        <v>23</v>
      </c>
      <c r="H134" t="str">
        <f>LEFT(Table12[[#This Row],[Score]],1)</f>
        <v>W</v>
      </c>
      <c r="I134" s="17" t="str">
        <f>VLOOKUP(IF(Table12[[#This Row],[At]]="Home",Table12[[#This Row],[Opponent]],RIGHT(Table12[[#This Row],[Opponent]],LEN(Table12[[#This Row],[Opponent]])-1)),CHOOSE({1,2},[1]StandingsRAW!$J$1:$J$22,[1]StandingsRAW!$L$1:$L$22),2,FALSE)</f>
        <v>TVC</v>
      </c>
      <c r="J134" s="33">
        <f>VLOOKUP(Table12[[#This Row],[OPP]],Raw!$L$2:$S$23,7,FALSE)-Raw!$U$2</f>
        <v>1.4411243913235945</v>
      </c>
    </row>
    <row r="135" spans="1:10" x14ac:dyDescent="0.25">
      <c r="A135" t="s">
        <v>568</v>
      </c>
      <c r="B135" t="s">
        <v>319</v>
      </c>
      <c r="C135" t="s">
        <v>28</v>
      </c>
      <c r="D135" t="str">
        <f>IF(LEFT(Table12[[#This Row],[Opponent]],1)="@","Away","Home")</f>
        <v>Away</v>
      </c>
      <c r="E135">
        <f>_xlfn.NUMBERVALUE(MID(LEFT(Table12[[#This Row],[Score]],FIND("-",Table12[[#This Row],[Score]])-1),FIND(" ",Table12[[#This Row],[Score]])+1,LEN(Table12[[#This Row],[Score]])))</f>
        <v>4</v>
      </c>
      <c r="F135">
        <f>_xlfn.NUMBERVALUE(RIGHT(Table12[[#This Row],[Score]],LEN(Table12[[#This Row],[Score]])-FIND("-",Table12[[#This Row],[Score]])))</f>
        <v>2</v>
      </c>
      <c r="G135">
        <f t="shared" si="20"/>
        <v>6</v>
      </c>
      <c r="H135" t="str">
        <f>LEFT(Table12[[#This Row],[Score]],1)</f>
        <v>W</v>
      </c>
      <c r="I135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135" s="33">
        <f>VLOOKUP(Table12[[#This Row],[OPP]],Raw!$L$2:$S$23,7,FALSE)-Raw!$U$2</f>
        <v>-1.5172089420097388</v>
      </c>
    </row>
    <row r="136" spans="1:10" x14ac:dyDescent="0.25">
      <c r="A136" t="s">
        <v>589</v>
      </c>
      <c r="B136" t="s">
        <v>319</v>
      </c>
      <c r="C136" t="s">
        <v>370</v>
      </c>
      <c r="D136" t="str">
        <f>IF(LEFT(Table12[[#This Row],[Opponent]],1)="@","Away","Home")</f>
        <v>Away</v>
      </c>
      <c r="E136">
        <f>_xlfn.NUMBERVALUE(MID(LEFT(Table12[[#This Row],[Score]],FIND("-",Table12[[#This Row],[Score]])-1),FIND(" ",Table12[[#This Row],[Score]])+1,LEN(Table12[[#This Row],[Score]])))</f>
        <v>7</v>
      </c>
      <c r="F136">
        <f>_xlfn.NUMBERVALUE(RIGHT(Table12[[#This Row],[Score]],LEN(Table12[[#This Row],[Score]])-FIND("-",Table12[[#This Row],[Score]])))</f>
        <v>17</v>
      </c>
      <c r="G136">
        <f>E136+F136</f>
        <v>24</v>
      </c>
      <c r="H136" t="str">
        <f>LEFT(Table12[[#This Row],[Score]],1)</f>
        <v>L</v>
      </c>
      <c r="I136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136" s="33">
        <f>VLOOKUP(Table12[[#This Row],[OPP]],Raw!$L$2:$S$23,7,FALSE)-Raw!$U$2</f>
        <v>-1.5172089420097388</v>
      </c>
    </row>
    <row r="137" spans="1:10" x14ac:dyDescent="0.25">
      <c r="A137" t="s">
        <v>592</v>
      </c>
      <c r="B137" t="s">
        <v>74</v>
      </c>
      <c r="C137" t="s">
        <v>277</v>
      </c>
      <c r="D137" t="str">
        <f>IF(LEFT(Table12[[#This Row],[Opponent]],1)="@","Away","Home")</f>
        <v>Home</v>
      </c>
      <c r="E137">
        <f>_xlfn.NUMBERVALUE(MID(LEFT(Table12[[#This Row],[Score]],FIND("-",Table12[[#This Row],[Score]])-1),FIND(" ",Table12[[#This Row],[Score]])+1,LEN(Table12[[#This Row],[Score]])))</f>
        <v>5</v>
      </c>
      <c r="F137">
        <f>_xlfn.NUMBERVALUE(RIGHT(Table12[[#This Row],[Score]],LEN(Table12[[#This Row],[Score]])-FIND("-",Table12[[#This Row],[Score]])))</f>
        <v>8</v>
      </c>
      <c r="G137">
        <f>E137+F137</f>
        <v>13</v>
      </c>
      <c r="H137" t="str">
        <f>LEFT(Table12[[#This Row],[Score]],1)</f>
        <v>L</v>
      </c>
      <c r="I137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137" s="33">
        <f>VLOOKUP(Table12[[#This Row],[OPP]],Raw!$L$2:$S$23,7,FALSE)-Raw!$U$2</f>
        <v>0.17977853842844585</v>
      </c>
    </row>
    <row r="138" spans="1:10" x14ac:dyDescent="0.25">
      <c r="A138" t="s">
        <v>598</v>
      </c>
      <c r="B138" t="s">
        <v>319</v>
      </c>
      <c r="C138" t="s">
        <v>15</v>
      </c>
      <c r="D138" t="str">
        <f>IF(LEFT(Table12[[#This Row],[Opponent]],1)="@","Away","Home")</f>
        <v>Away</v>
      </c>
      <c r="E138">
        <f>_xlfn.NUMBERVALUE(MID(LEFT(Table12[[#This Row],[Score]],FIND("-",Table12[[#This Row],[Score]])-1),FIND(" ",Table12[[#This Row],[Score]])+1,LEN(Table12[[#This Row],[Score]])))</f>
        <v>3</v>
      </c>
      <c r="F138">
        <f>_xlfn.NUMBERVALUE(RIGHT(Table12[[#This Row],[Score]],LEN(Table12[[#This Row],[Score]])-FIND("-",Table12[[#This Row],[Score]])))</f>
        <v>1</v>
      </c>
      <c r="G138">
        <f>E138+F138</f>
        <v>4</v>
      </c>
      <c r="H138" t="str">
        <f>LEFT(Table12[[#This Row],[Score]],1)</f>
        <v>W</v>
      </c>
      <c r="I138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138" s="33">
        <f>VLOOKUP(Table12[[#This Row],[OPP]],Raw!$L$2:$S$23,7,FALSE)-Raw!$U$2</f>
        <v>-1.5172089420097388</v>
      </c>
    </row>
    <row r="139" spans="1:10" x14ac:dyDescent="0.25">
      <c r="A139" t="s">
        <v>599</v>
      </c>
      <c r="B139" t="s">
        <v>321</v>
      </c>
      <c r="C139" t="s">
        <v>336</v>
      </c>
      <c r="D139" t="str">
        <f>IF(LEFT(Table12[[#This Row],[Opponent]],1)="@","Away","Home")</f>
        <v>Home</v>
      </c>
      <c r="E139">
        <f>_xlfn.NUMBERVALUE(MID(LEFT(Table12[[#This Row],[Score]],FIND("-",Table12[[#This Row],[Score]])-1),FIND(" ",Table12[[#This Row],[Score]])+1,LEN(Table12[[#This Row],[Score]])))</f>
        <v>8</v>
      </c>
      <c r="F139">
        <f>_xlfn.NUMBERVALUE(RIGHT(Table12[[#This Row],[Score]],LEN(Table12[[#This Row],[Score]])-FIND("-",Table12[[#This Row],[Score]])))</f>
        <v>4</v>
      </c>
      <c r="G139">
        <f>E139+F139</f>
        <v>12</v>
      </c>
      <c r="H139" t="str">
        <f>LEFT(Table12[[#This Row],[Score]],1)</f>
        <v>W</v>
      </c>
      <c r="I139" s="17" t="str">
        <f>VLOOKUP(IF(Table12[[#This Row],[At]]="Home",Table12[[#This Row],[Opponent]],RIGHT(Table12[[#This Row],[Opponent]],LEN(Table12[[#This Row],[Opponent]])-1)),CHOOSE({1,2},[1]StandingsRAW!$J$1:$J$22,[1]StandingsRAW!$L$1:$L$22),2,FALSE)</f>
        <v>MAD</v>
      </c>
      <c r="J139" s="33">
        <f>VLOOKUP(Table12[[#This Row],[OPP]],Raw!$L$2:$S$23,7,FALSE)-Raw!$U$2</f>
        <v>-1.5172089420097388</v>
      </c>
    </row>
    <row r="140" spans="1:10" x14ac:dyDescent="0.25">
      <c r="A140" t="s">
        <v>600</v>
      </c>
      <c r="B140" t="s">
        <v>74</v>
      </c>
      <c r="C140" t="s">
        <v>50</v>
      </c>
      <c r="D140" t="str">
        <f>IF(LEFT(Table12[[#This Row],[Opponent]],1)="@","Away","Home")</f>
        <v>Home</v>
      </c>
      <c r="E140">
        <f>_xlfn.NUMBERVALUE(MID(LEFT(Table12[[#This Row],[Score]],FIND("-",Table12[[#This Row],[Score]])-1),FIND(" ",Table12[[#This Row],[Score]])+1,LEN(Table12[[#This Row],[Score]])))</f>
        <v>3</v>
      </c>
      <c r="F140">
        <f>_xlfn.NUMBERVALUE(RIGHT(Table12[[#This Row],[Score]],LEN(Table12[[#This Row],[Score]])-FIND("-",Table12[[#This Row],[Score]])))</f>
        <v>4</v>
      </c>
      <c r="G140">
        <f t="shared" ref="G140:G144" si="21">E140+F140</f>
        <v>7</v>
      </c>
      <c r="H140" t="str">
        <f>LEFT(Table12[[#This Row],[Score]],1)</f>
        <v>L</v>
      </c>
      <c r="I140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140" s="33">
        <f>VLOOKUP(Table12[[#This Row],[OPP]],Raw!$L$2:$S$23,7,FALSE)-Raw!$U$2</f>
        <v>0.17977853842844585</v>
      </c>
    </row>
    <row r="141" spans="1:10" x14ac:dyDescent="0.25">
      <c r="A141" t="s">
        <v>600</v>
      </c>
      <c r="B141" t="s">
        <v>120</v>
      </c>
      <c r="C141" t="s">
        <v>240</v>
      </c>
      <c r="D141" t="str">
        <f>IF(LEFT(Table12[[#This Row],[Opponent]],1)="@","Away","Home")</f>
        <v>Away</v>
      </c>
      <c r="E141">
        <f>_xlfn.NUMBERVALUE(MID(LEFT(Table12[[#This Row],[Score]],FIND("-",Table12[[#This Row],[Score]])-1),FIND(" ",Table12[[#This Row],[Score]])+1,LEN(Table12[[#This Row],[Score]])))</f>
        <v>1</v>
      </c>
      <c r="F141">
        <f>_xlfn.NUMBERVALUE(RIGHT(Table12[[#This Row],[Score]],LEN(Table12[[#This Row],[Score]])-FIND("-",Table12[[#This Row],[Score]])))</f>
        <v>3</v>
      </c>
      <c r="G141">
        <f t="shared" si="21"/>
        <v>4</v>
      </c>
      <c r="H141" t="str">
        <f>LEFT(Table12[[#This Row],[Score]],1)</f>
        <v>L</v>
      </c>
      <c r="I141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141" s="33">
        <f>VLOOKUP(Table12[[#This Row],[OPP]],Raw!$L$2:$S$23,7,FALSE)-Raw!$U$2</f>
        <v>0.17977853842844585</v>
      </c>
    </row>
    <row r="142" spans="1:10" x14ac:dyDescent="0.25">
      <c r="A142" t="s">
        <v>601</v>
      </c>
      <c r="B142" t="s">
        <v>120</v>
      </c>
      <c r="C142" t="s">
        <v>234</v>
      </c>
      <c r="D142" t="str">
        <f>IF(LEFT(Table12[[#This Row],[Opponent]],1)="@","Away","Home")</f>
        <v>Away</v>
      </c>
      <c r="E142">
        <f>_xlfn.NUMBERVALUE(MID(LEFT(Table12[[#This Row],[Score]],FIND("-",Table12[[#This Row],[Score]])-1),FIND(" ",Table12[[#This Row],[Score]])+1,LEN(Table12[[#This Row],[Score]])))</f>
        <v>2</v>
      </c>
      <c r="F142">
        <f>_xlfn.NUMBERVALUE(RIGHT(Table12[[#This Row],[Score]],LEN(Table12[[#This Row],[Score]])-FIND("-",Table12[[#This Row],[Score]])))</f>
        <v>5</v>
      </c>
      <c r="G142">
        <f t="shared" si="21"/>
        <v>7</v>
      </c>
      <c r="H142" t="str">
        <f>LEFT(Table12[[#This Row],[Score]],1)</f>
        <v>L</v>
      </c>
      <c r="I142" s="17" t="str">
        <f>VLOOKUP(IF(Table12[[#This Row],[At]]="Home",Table12[[#This Row],[Opponent]],RIGHT(Table12[[#This Row],[Opponent]],LEN(Table12[[#This Row],[Opponent]])-1)),CHOOSE({1,2},[1]StandingsRAW!$J$1:$J$22,[1]StandingsRAW!$L$1:$L$22),2,FALSE)</f>
        <v>WAU</v>
      </c>
      <c r="J142" s="33">
        <f>VLOOKUP(Table12[[#This Row],[OPP]],Raw!$L$2:$S$23,7,FALSE)-Raw!$U$2</f>
        <v>0.17977853842844585</v>
      </c>
    </row>
    <row r="143" spans="1:10" x14ac:dyDescent="0.25">
      <c r="A143" t="s">
        <v>602</v>
      </c>
      <c r="B143" t="s">
        <v>332</v>
      </c>
      <c r="C143" t="s">
        <v>322</v>
      </c>
      <c r="D143" t="str">
        <f>IF(LEFT(Table12[[#This Row],[Opponent]],1)="@","Away","Home")</f>
        <v>Away</v>
      </c>
      <c r="E143">
        <f>_xlfn.NUMBERVALUE(MID(LEFT(Table12[[#This Row],[Score]],FIND("-",Table12[[#This Row],[Score]])-1),FIND(" ",Table12[[#This Row],[Score]])+1,LEN(Table12[[#This Row],[Score]])))</f>
        <v>6</v>
      </c>
      <c r="F143">
        <f>_xlfn.NUMBERVALUE(RIGHT(Table12[[#This Row],[Score]],LEN(Table12[[#This Row],[Score]])-FIND("-",Table12[[#This Row],[Score]])))</f>
        <v>7</v>
      </c>
      <c r="G143">
        <f t="shared" si="21"/>
        <v>13</v>
      </c>
      <c r="H143" t="str">
        <f>LEFT(Table12[[#This Row],[Score]],1)</f>
        <v>L</v>
      </c>
      <c r="I143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143" s="33">
        <f>VLOOKUP(Table12[[#This Row],[OPP]],Raw!$L$2:$S$23,7,FALSE)-Raw!$U$2</f>
        <v>0.7572433271608402</v>
      </c>
    </row>
    <row r="144" spans="1:10" x14ac:dyDescent="0.25">
      <c r="A144" t="s">
        <v>603</v>
      </c>
      <c r="B144" t="s">
        <v>332</v>
      </c>
      <c r="C144" t="s">
        <v>21</v>
      </c>
      <c r="D144" t="str">
        <f>IF(LEFT(Table12[[#This Row],[Opponent]],1)="@","Away","Home")</f>
        <v>Away</v>
      </c>
      <c r="E144">
        <f>_xlfn.NUMBERVALUE(MID(LEFT(Table12[[#This Row],[Score]],FIND("-",Table12[[#This Row],[Score]])-1),FIND(" ",Table12[[#This Row],[Score]])+1,LEN(Table12[[#This Row],[Score]])))</f>
        <v>6</v>
      </c>
      <c r="F144">
        <f>_xlfn.NUMBERVALUE(RIGHT(Table12[[#This Row],[Score]],LEN(Table12[[#This Row],[Score]])-FIND("-",Table12[[#This Row],[Score]])))</f>
        <v>1</v>
      </c>
      <c r="G144">
        <f t="shared" si="21"/>
        <v>7</v>
      </c>
      <c r="H144" t="str">
        <f>LEFT(Table12[[#This Row],[Score]],1)</f>
        <v>W</v>
      </c>
      <c r="I144" s="17" t="str">
        <f>VLOOKUP(IF(Table12[[#This Row],[At]]="Home",Table12[[#This Row],[Opponent]],RIGHT(Table12[[#This Row],[Opponent]],LEN(Table12[[#This Row],[Opponent]])-1)),CHOOSE({1,2},[1]StandingsRAW!$J$1:$J$22,[1]StandingsRAW!$L$1:$L$22),2,FALSE)</f>
        <v>FDL</v>
      </c>
      <c r="J144" s="33">
        <f>VLOOKUP(Table12[[#This Row],[OPP]],Raw!$L$2:$S$23,7,FALSE)-Raw!$U$2</f>
        <v>0.7572433271608402</v>
      </c>
    </row>
    <row r="145" spans="1:10" x14ac:dyDescent="0.25">
      <c r="A145" t="s">
        <v>608</v>
      </c>
      <c r="B145" t="s">
        <v>115</v>
      </c>
      <c r="C145" t="s">
        <v>132</v>
      </c>
      <c r="D145" t="str">
        <f>IF(LEFT(Table12[[#This Row],[Opponent]],1)="@","Away","Home")</f>
        <v>Away</v>
      </c>
      <c r="E145">
        <f>_xlfn.NUMBERVALUE(MID(LEFT(Table12[[#This Row],[Score]],FIND("-",Table12[[#This Row],[Score]])-1),FIND(" ",Table12[[#This Row],[Score]])+1,LEN(Table12[[#This Row],[Score]])))</f>
        <v>3</v>
      </c>
      <c r="F145">
        <f>_xlfn.NUMBERVALUE(RIGHT(Table12[[#This Row],[Score]],LEN(Table12[[#This Row],[Score]])-FIND("-",Table12[[#This Row],[Score]])))</f>
        <v>6</v>
      </c>
      <c r="G145">
        <f t="shared" ref="G145:G147" si="22">E145+F145</f>
        <v>9</v>
      </c>
      <c r="H145" t="str">
        <f>LEFT(Table12[[#This Row],[Score]],1)</f>
        <v>L</v>
      </c>
      <c r="I145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145" s="33">
        <f>VLOOKUP(Table12[[#This Row],[OPP]],Raw!$L$2:$S$23,7,FALSE)-Raw!$U$2</f>
        <v>-1.4060978308986276</v>
      </c>
    </row>
    <row r="146" spans="1:10" x14ac:dyDescent="0.25">
      <c r="A146" t="s">
        <v>609</v>
      </c>
      <c r="B146" t="s">
        <v>98</v>
      </c>
      <c r="C146" t="s">
        <v>291</v>
      </c>
      <c r="D146" t="str">
        <f>IF(LEFT(Table12[[#This Row],[Opponent]],1)="@","Away","Home")</f>
        <v>Home</v>
      </c>
      <c r="E146">
        <f>_xlfn.NUMBERVALUE(MID(LEFT(Table12[[#This Row],[Score]],FIND("-",Table12[[#This Row],[Score]])-1),FIND(" ",Table12[[#This Row],[Score]])+1,LEN(Table12[[#This Row],[Score]])))</f>
        <v>14</v>
      </c>
      <c r="F146">
        <f>_xlfn.NUMBERVALUE(RIGHT(Table12[[#This Row],[Score]],LEN(Table12[[#This Row],[Score]])-FIND("-",Table12[[#This Row],[Score]])))</f>
        <v>8</v>
      </c>
      <c r="G146">
        <f t="shared" si="22"/>
        <v>22</v>
      </c>
      <c r="H146" t="str">
        <f>LEFT(Table12[[#This Row],[Score]],1)</f>
        <v>W</v>
      </c>
      <c r="I146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146" s="33">
        <f>VLOOKUP(Table12[[#This Row],[OPP]],Raw!$L$2:$S$23,7,FALSE)-Raw!$U$2</f>
        <v>-1.4060978308986276</v>
      </c>
    </row>
    <row r="147" spans="1:10" x14ac:dyDescent="0.25">
      <c r="A147" t="s">
        <v>609</v>
      </c>
      <c r="B147" t="s">
        <v>98</v>
      </c>
      <c r="C147" t="s">
        <v>320</v>
      </c>
      <c r="D147" t="str">
        <f>IF(LEFT(Table12[[#This Row],[Opponent]],1)="@","Away","Home")</f>
        <v>Home</v>
      </c>
      <c r="E147">
        <f>_xlfn.NUMBERVALUE(MID(LEFT(Table12[[#This Row],[Score]],FIND("-",Table12[[#This Row],[Score]])-1),FIND(" ",Table12[[#This Row],[Score]])+1,LEN(Table12[[#This Row],[Score]])))</f>
        <v>5</v>
      </c>
      <c r="F147">
        <f>_xlfn.NUMBERVALUE(RIGHT(Table12[[#This Row],[Score]],LEN(Table12[[#This Row],[Score]])-FIND("-",Table12[[#This Row],[Score]])))</f>
        <v>1</v>
      </c>
      <c r="G147">
        <f t="shared" si="22"/>
        <v>6</v>
      </c>
      <c r="H147" t="str">
        <f>LEFT(Table12[[#This Row],[Score]],1)</f>
        <v>W</v>
      </c>
      <c r="I147" s="17" t="str">
        <f>VLOOKUP(IF(Table12[[#This Row],[At]]="Home",Table12[[#This Row],[Opponent]],RIGHT(Table12[[#This Row],[Opponent]],LEN(Table12[[#This Row],[Opponent]])-1)),CHOOSE({1,2},[1]StandingsRAW!$J$1:$J$22,[1]StandingsRAW!$L$1:$L$22),2,FALSE)</f>
        <v>GB</v>
      </c>
      <c r="J147" s="33">
        <f>VLOOKUP(Table12[[#This Row],[OPP]],Raw!$L$2:$S$23,7,FALSE)-Raw!$U$2</f>
        <v>-1.4060978308986276</v>
      </c>
    </row>
  </sheetData>
  <conditionalFormatting sqref="L17">
    <cfRule type="cellIs" dxfId="59" priority="4" operator="greaterThan">
      <formula>100</formula>
    </cfRule>
    <cfRule type="cellIs" dxfId="58" priority="5" operator="lessThan">
      <formula>100</formula>
    </cfRule>
  </conditionalFormatting>
  <conditionalFormatting sqref="L18">
    <cfRule type="cellIs" dxfId="57" priority="2" operator="greaterThan">
      <formula>100</formula>
    </cfRule>
    <cfRule type="cellIs" dxfId="56" priority="3" operator="lessThan">
      <formula>100</formula>
    </cfRule>
  </conditionalFormatting>
  <conditionalFormatting sqref="L17:L18">
    <cfRule type="cellIs" dxfId="55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67B6-1D91-4E21-96C1-2887578C2A5A}">
  <sheetPr codeName="Sheet14"/>
  <dimension ref="A1:P148"/>
  <sheetViews>
    <sheetView topLeftCell="A69" workbookViewId="0">
      <selection activeCell="A77" sqref="A77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392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314</v>
      </c>
      <c r="C3" t="s">
        <v>279</v>
      </c>
      <c r="E3" s="1" t="str">
        <f>IF(LEFT(B3,1)="@","Away","Home")</f>
        <v>Home</v>
      </c>
      <c r="F3" s="3">
        <f>_xlfn.NUMBERVALUE(MID(LEFT(C3,FIND("-",C3)-1),FIND(" ",C3)+1,LEN(C3)))</f>
        <v>7</v>
      </c>
      <c r="G3" s="3">
        <f>_xlfn.NUMBERVALUE(RIGHT(C3,LEN(C3)-FIND("-",C3)))</f>
        <v>2</v>
      </c>
      <c r="H3" s="3">
        <f t="shared" ref="H3:H66" si="0">F3+G3</f>
        <v>9</v>
      </c>
      <c r="I3" s="3" t="str">
        <f>LEFT(C3,1)</f>
        <v>W</v>
      </c>
      <c r="K3" s="4" t="s">
        <v>139</v>
      </c>
      <c r="L3" s="5">
        <f>(SUMIF($E$3:$E$74,$K3,F$3:F$74) + SUMIF(Table13[At],$K3,Table13[Scored]))/(COUNTIF($E$3:$E$74,$K3) + COUNTIF(Table13[At],$K3))</f>
        <v>5.25</v>
      </c>
      <c r="M3" s="5">
        <f>(SUMIF($E$3:$E$74,$K3,G$3:G$74) + SUMIF(Table13[At],$K3,Table13[Allowed]))/(COUNTIF($E$3:$E$74,$K3) + COUNTIF(Table13[At],$K3))</f>
        <v>5.6111111111111107</v>
      </c>
      <c r="N3" s="5">
        <f>L3+M3</f>
        <v>10.861111111111111</v>
      </c>
      <c r="O3" s="5">
        <f>(COUNTIFS($E$3:$E$74,$K3,$I$3:$I$74,O$2) + COUNTIFS(Table13[At],$K3,Table13[Result],O$2))/(COUNTIF($E$3:$E$74,$K3) + COUNTIF(Table13[At],$K3))</f>
        <v>0.5</v>
      </c>
      <c r="P3" s="5">
        <f>(COUNTIFS($E$3:$E$74,$K3,$I$3:$I$74,P$2) + COUNTIFS(Table13[At],$K3,Table13[Result],P$2))/(COUNTIF($E$3:$E$74,$K3) + COUNTIF(Table13[At],$K3))</f>
        <v>0.5</v>
      </c>
    </row>
    <row r="4" spans="1:16" x14ac:dyDescent="0.25">
      <c r="A4" t="s">
        <v>7</v>
      </c>
      <c r="B4" t="s">
        <v>314</v>
      </c>
      <c r="C4" t="s">
        <v>393</v>
      </c>
      <c r="E4" s="1" t="str">
        <f t="shared" ref="E4:E67" si="1">IF(LEFT(B4,1)="@","Away","Home")</f>
        <v>Home</v>
      </c>
      <c r="F4" s="3">
        <f t="shared" ref="F4:F67" si="2">_xlfn.NUMBERVALUE(MID(LEFT(C4,FIND("-",C4)-1),FIND(" ",C4)+1,LEN(C4)))</f>
        <v>3</v>
      </c>
      <c r="G4" s="3">
        <f t="shared" ref="G4:G67" si="3">_xlfn.NUMBERVALUE(RIGHT(C4,LEN(C4)-FIND("-",C4)))</f>
        <v>11</v>
      </c>
      <c r="H4" s="3">
        <f t="shared" si="0"/>
        <v>14</v>
      </c>
      <c r="I4" s="3" t="str">
        <f t="shared" ref="I4:I67" si="4">LEFT(C4,1)</f>
        <v>L</v>
      </c>
      <c r="K4" s="4" t="s">
        <v>140</v>
      </c>
      <c r="L4" s="5">
        <f>(SUMIF($E$3:$E$74,$K4,F$3:F$74) + SUMIF(Table13[At],$K4,Table13[Scored]))/(COUNTIF($E$3:$E$74,$K4) + COUNTIF(Table13[At],$K4))</f>
        <v>5.5</v>
      </c>
      <c r="M4" s="5">
        <f>(SUMIF($E$3:$E$74,$K4,G$3:G$74) + SUMIF(Table13[At],$K4,Table13[Allowed]))/(COUNTIF($E$3:$E$74,$K4) + COUNTIF(Table13[At],$K4))</f>
        <v>6.7638888888888893</v>
      </c>
      <c r="N4" s="5">
        <f>L4+M4</f>
        <v>12.263888888888889</v>
      </c>
      <c r="O4" s="5">
        <f>(COUNTIFS($E$3:$E$74,$K4,$I$3:$I$74,O$2) + COUNTIFS(Table13[At],$K4,Table13[Result],O$2))/(COUNTIF($E$3:$E$74,$K4) + COUNTIF(Table13[At],$K4))</f>
        <v>0.40277777777777779</v>
      </c>
      <c r="P4" s="5">
        <f>(COUNTIFS($E$3:$E$74,$K4,$I$3:$I$74,P$2) + COUNTIFS(Table13[At],$K4,Table13[Result],P$2))/(COUNTIF($E$3:$E$74,$K4) + COUNTIF(Table13[At],$K4))</f>
        <v>0.59722222222222221</v>
      </c>
    </row>
    <row r="5" spans="1:16" x14ac:dyDescent="0.25">
      <c r="A5" t="s">
        <v>9</v>
      </c>
      <c r="B5" t="s">
        <v>120</v>
      </c>
      <c r="C5" t="s">
        <v>38</v>
      </c>
      <c r="E5" s="1" t="str">
        <f t="shared" si="1"/>
        <v>Away</v>
      </c>
      <c r="F5" s="3">
        <f t="shared" si="2"/>
        <v>3</v>
      </c>
      <c r="G5" s="3">
        <f t="shared" si="3"/>
        <v>5</v>
      </c>
      <c r="H5" s="3">
        <f t="shared" si="0"/>
        <v>8</v>
      </c>
      <c r="I5" s="3" t="str">
        <f t="shared" si="4"/>
        <v>L</v>
      </c>
    </row>
    <row r="6" spans="1:16" x14ac:dyDescent="0.25">
      <c r="A6" t="s">
        <v>12</v>
      </c>
      <c r="B6" t="s">
        <v>120</v>
      </c>
      <c r="C6" t="s">
        <v>254</v>
      </c>
      <c r="E6" s="1" t="str">
        <f t="shared" si="1"/>
        <v>Away</v>
      </c>
      <c r="F6" s="3">
        <f t="shared" si="2"/>
        <v>5</v>
      </c>
      <c r="G6" s="3">
        <f t="shared" si="3"/>
        <v>4</v>
      </c>
      <c r="H6" s="3">
        <f t="shared" si="0"/>
        <v>9</v>
      </c>
      <c r="I6" s="3" t="str">
        <f t="shared" si="4"/>
        <v>W</v>
      </c>
      <c r="K6" s="4" t="s">
        <v>144</v>
      </c>
      <c r="L6" s="5">
        <f>N3/N4</f>
        <v>0.88561721404303506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103</v>
      </c>
      <c r="C7" t="s">
        <v>244</v>
      </c>
      <c r="E7" s="1" t="str">
        <f t="shared" si="1"/>
        <v>Home</v>
      </c>
      <c r="F7" s="3">
        <f t="shared" si="2"/>
        <v>6</v>
      </c>
      <c r="G7" s="3">
        <f t="shared" si="3"/>
        <v>3</v>
      </c>
      <c r="H7" s="3">
        <f t="shared" si="0"/>
        <v>9</v>
      </c>
      <c r="I7" s="3" t="str">
        <f t="shared" si="4"/>
        <v>W</v>
      </c>
      <c r="K7" s="7" t="s">
        <v>143</v>
      </c>
      <c r="L7" s="5">
        <f>(18.5 - O3)/(18.5-P4)</f>
        <v>1.0054305663304888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124</v>
      </c>
      <c r="C8" t="s">
        <v>386</v>
      </c>
      <c r="E8" s="1" t="str">
        <f t="shared" si="1"/>
        <v>Away</v>
      </c>
      <c r="F8" s="3">
        <f t="shared" si="2"/>
        <v>8</v>
      </c>
      <c r="G8" s="3">
        <f t="shared" si="3"/>
        <v>12</v>
      </c>
      <c r="H8" s="3">
        <f t="shared" si="0"/>
        <v>20</v>
      </c>
      <c r="I8" s="3" t="str">
        <f t="shared" si="4"/>
        <v>L</v>
      </c>
      <c r="K8" s="7" t="s">
        <v>146</v>
      </c>
      <c r="L8" s="5">
        <f>L6/L7</f>
        <v>0.88083378773261745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23</v>
      </c>
      <c r="C9" t="s">
        <v>254</v>
      </c>
      <c r="E9" s="1" t="str">
        <f t="shared" si="1"/>
        <v>Home</v>
      </c>
      <c r="F9" s="3">
        <f t="shared" si="2"/>
        <v>5</v>
      </c>
      <c r="G9" s="3">
        <f t="shared" si="3"/>
        <v>4</v>
      </c>
      <c r="H9" s="3">
        <f t="shared" si="0"/>
        <v>9</v>
      </c>
      <c r="I9" s="3" t="str">
        <f t="shared" si="4"/>
        <v>W</v>
      </c>
      <c r="K9" s="7" t="s">
        <v>145</v>
      </c>
      <c r="L9" s="5">
        <f>(P7)/(P7-1+L8)</f>
        <v>1.0100301219928205</v>
      </c>
      <c r="O9" s="4"/>
      <c r="P9" s="1"/>
    </row>
    <row r="10" spans="1:16" x14ac:dyDescent="0.25">
      <c r="A10" t="s">
        <v>193</v>
      </c>
      <c r="B10" t="s">
        <v>23</v>
      </c>
      <c r="C10" t="s">
        <v>286</v>
      </c>
      <c r="E10" s="1" t="str">
        <f t="shared" si="1"/>
        <v>Home</v>
      </c>
      <c r="F10" s="3">
        <f t="shared" si="2"/>
        <v>4</v>
      </c>
      <c r="G10" s="3">
        <f t="shared" si="3"/>
        <v>13</v>
      </c>
      <c r="H10" s="3">
        <f t="shared" si="0"/>
        <v>17</v>
      </c>
      <c r="I10" s="3" t="str">
        <f t="shared" si="4"/>
        <v>L</v>
      </c>
      <c r="K10" s="4" t="s">
        <v>149</v>
      </c>
      <c r="L10" s="5">
        <f>L8*L9</f>
        <v>0.88966865807897377</v>
      </c>
      <c r="O10" s="4"/>
      <c r="P10" s="1"/>
    </row>
    <row r="11" spans="1:16" x14ac:dyDescent="0.25">
      <c r="A11" t="s">
        <v>22</v>
      </c>
      <c r="B11" t="s">
        <v>30</v>
      </c>
      <c r="C11" t="s">
        <v>83</v>
      </c>
      <c r="E11" s="1" t="str">
        <f t="shared" si="1"/>
        <v>Away</v>
      </c>
      <c r="F11" s="3">
        <f t="shared" si="2"/>
        <v>4</v>
      </c>
      <c r="G11" s="3">
        <f t="shared" si="3"/>
        <v>7</v>
      </c>
      <c r="H11" s="3">
        <f t="shared" si="0"/>
        <v>11</v>
      </c>
      <c r="I11" s="3" t="str">
        <f t="shared" si="4"/>
        <v>L</v>
      </c>
      <c r="K11" s="4" t="s">
        <v>148</v>
      </c>
      <c r="L11" s="5">
        <f>1 - ((L10-1)/(P7-1))</f>
        <v>1.0100301219928205</v>
      </c>
      <c r="O11" s="4"/>
      <c r="P11" s="1"/>
    </row>
    <row r="12" spans="1:16" x14ac:dyDescent="0.25">
      <c r="A12" t="s">
        <v>196</v>
      </c>
      <c r="B12" t="s">
        <v>30</v>
      </c>
      <c r="C12" t="s">
        <v>229</v>
      </c>
      <c r="E12" s="1" t="str">
        <f t="shared" si="1"/>
        <v>Away</v>
      </c>
      <c r="F12" s="3">
        <f t="shared" si="2"/>
        <v>7</v>
      </c>
      <c r="G12" s="3">
        <f t="shared" si="3"/>
        <v>1</v>
      </c>
      <c r="H12" s="3">
        <f t="shared" si="0"/>
        <v>8</v>
      </c>
      <c r="I12" s="3" t="str">
        <f t="shared" si="4"/>
        <v>W</v>
      </c>
      <c r="K12" s="4" t="s">
        <v>150</v>
      </c>
      <c r="L12" s="5">
        <f>(($L4/$L11)+($L3/$L10)) * (1 + (L13-1)/($P7-1)) / $P8</f>
        <v>0.99219437342036221</v>
      </c>
      <c r="M12" s="5">
        <f t="shared" ref="M12:O12" si="5">(($L4/$L11)+($L3/$L10)) * (1 + (M13-1)/($P7-1)) / $P8</f>
        <v>1.0044889812056736</v>
      </c>
      <c r="N12" s="5">
        <f t="shared" si="5"/>
        <v>1.0046036193453609</v>
      </c>
      <c r="O12" s="8">
        <f t="shared" si="5"/>
        <v>1.0046046882613688</v>
      </c>
      <c r="P12" s="5"/>
    </row>
    <row r="13" spans="1:16" x14ac:dyDescent="0.25">
      <c r="A13" t="s">
        <v>25</v>
      </c>
      <c r="B13" t="s">
        <v>103</v>
      </c>
      <c r="C13" t="s">
        <v>259</v>
      </c>
      <c r="E13" s="1" t="str">
        <f t="shared" si="1"/>
        <v>Home</v>
      </c>
      <c r="F13" s="3">
        <f t="shared" si="2"/>
        <v>0</v>
      </c>
      <c r="G13" s="3">
        <f t="shared" si="3"/>
        <v>5</v>
      </c>
      <c r="H13" s="3">
        <f t="shared" si="0"/>
        <v>5</v>
      </c>
      <c r="I13" s="3" t="str">
        <f t="shared" si="4"/>
        <v>L</v>
      </c>
      <c r="K13" s="4" t="s">
        <v>182</v>
      </c>
      <c r="L13" s="5">
        <v>1</v>
      </c>
      <c r="M13" s="5">
        <f>(($M4/$L11)+($M3/$L10)) * (1 + (L12-1)/($P7-1)) / $P8</f>
        <v>1.136304628670908</v>
      </c>
      <c r="N13" s="5">
        <f>(($M4/$L11)+($M3/$L10)) * (1 + (M12-1)/($P7-1)) / $P8</f>
        <v>1.1375755686906663</v>
      </c>
      <c r="O13" s="5">
        <f>(($M4/$L11)+($M3/$L10)) * (1 + (N12-1)/($P7-1)) / $P8</f>
        <v>1.1375874192679325</v>
      </c>
      <c r="P13" s="8">
        <f>(($M4/$L11)+($M3/$L10)) * (1 + (O12-1)/($P7-1)) / $P8</f>
        <v>1.1375875297658153</v>
      </c>
    </row>
    <row r="14" spans="1:16" x14ac:dyDescent="0.25">
      <c r="A14" t="s">
        <v>27</v>
      </c>
      <c r="B14" t="s">
        <v>124</v>
      </c>
      <c r="C14" t="s">
        <v>264</v>
      </c>
      <c r="E14" s="1" t="str">
        <f t="shared" si="1"/>
        <v>Away</v>
      </c>
      <c r="F14" s="3">
        <f t="shared" si="2"/>
        <v>6</v>
      </c>
      <c r="G14" s="3">
        <f t="shared" si="3"/>
        <v>2</v>
      </c>
      <c r="H14" s="3">
        <f t="shared" si="0"/>
        <v>8</v>
      </c>
      <c r="I14" s="3" t="str">
        <f t="shared" si="4"/>
        <v>W</v>
      </c>
      <c r="K14" s="4" t="s">
        <v>183</v>
      </c>
      <c r="L14" s="5">
        <f xml:space="preserve"> (L10+L11) / (2 * (1 + ((P13-1)/(P7-1))))</f>
        <v>0.9381154816939572</v>
      </c>
      <c r="N14" s="5"/>
    </row>
    <row r="15" spans="1:16" x14ac:dyDescent="0.25">
      <c r="A15" t="s">
        <v>29</v>
      </c>
      <c r="B15" t="s">
        <v>98</v>
      </c>
      <c r="C15" t="s">
        <v>301</v>
      </c>
      <c r="E15" s="1" t="str">
        <f t="shared" si="1"/>
        <v>Home</v>
      </c>
      <c r="F15" s="3">
        <f t="shared" si="2"/>
        <v>3</v>
      </c>
      <c r="G15" s="3">
        <f t="shared" si="3"/>
        <v>9</v>
      </c>
      <c r="H15" s="3">
        <f t="shared" si="0"/>
        <v>12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0.94945194183486981</v>
      </c>
    </row>
    <row r="16" spans="1:16" ht="15.75" thickBot="1" x14ac:dyDescent="0.3">
      <c r="A16" t="s">
        <v>32</v>
      </c>
      <c r="B16" t="s">
        <v>98</v>
      </c>
      <c r="C16" t="s">
        <v>229</v>
      </c>
      <c r="E16" s="1" t="str">
        <f t="shared" si="1"/>
        <v>Home</v>
      </c>
      <c r="F16" s="3">
        <f t="shared" si="2"/>
        <v>7</v>
      </c>
      <c r="G16" s="3">
        <f t="shared" si="3"/>
        <v>1</v>
      </c>
      <c r="H16" s="3">
        <f t="shared" si="0"/>
        <v>8</v>
      </c>
      <c r="I16" s="3" t="str">
        <f t="shared" si="4"/>
        <v>W</v>
      </c>
    </row>
    <row r="17" spans="1:14" x14ac:dyDescent="0.25">
      <c r="A17" t="s">
        <v>34</v>
      </c>
      <c r="B17" t="s">
        <v>124</v>
      </c>
      <c r="C17" t="s">
        <v>42</v>
      </c>
      <c r="E17" s="1" t="str">
        <f t="shared" si="1"/>
        <v>Away</v>
      </c>
      <c r="F17" s="3">
        <f t="shared" si="2"/>
        <v>0</v>
      </c>
      <c r="G17" s="3">
        <f t="shared" si="3"/>
        <v>3</v>
      </c>
      <c r="H17" s="3">
        <f t="shared" si="0"/>
        <v>3</v>
      </c>
      <c r="I17" s="3" t="str">
        <f t="shared" si="4"/>
        <v>L</v>
      </c>
      <c r="K17" s="9" t="s">
        <v>185</v>
      </c>
      <c r="L17" s="10">
        <f>L14*100</f>
        <v>93.811548169395721</v>
      </c>
    </row>
    <row r="18" spans="1:14" ht="15.75" thickBot="1" x14ac:dyDescent="0.3">
      <c r="A18" t="s">
        <v>394</v>
      </c>
      <c r="B18" t="s">
        <v>103</v>
      </c>
      <c r="C18" t="s">
        <v>274</v>
      </c>
      <c r="E18" s="1" t="str">
        <f t="shared" si="1"/>
        <v>Home</v>
      </c>
      <c r="F18" s="3">
        <f t="shared" si="2"/>
        <v>9</v>
      </c>
      <c r="G18" s="3">
        <f t="shared" si="3"/>
        <v>10</v>
      </c>
      <c r="H18" s="3">
        <f t="shared" si="0"/>
        <v>19</v>
      </c>
      <c r="I18" s="3" t="str">
        <f t="shared" si="4"/>
        <v>L</v>
      </c>
      <c r="K18" s="11" t="s">
        <v>186</v>
      </c>
      <c r="L18" s="12">
        <f>L15*100</f>
        <v>94.945194183486976</v>
      </c>
    </row>
    <row r="19" spans="1:14" x14ac:dyDescent="0.25">
      <c r="A19" t="s">
        <v>39</v>
      </c>
      <c r="B19" t="s">
        <v>120</v>
      </c>
      <c r="C19" t="s">
        <v>246</v>
      </c>
      <c r="E19" s="1" t="str">
        <f t="shared" si="1"/>
        <v>Away</v>
      </c>
      <c r="F19" s="3">
        <f t="shared" si="2"/>
        <v>4</v>
      </c>
      <c r="G19" s="3">
        <f t="shared" si="3"/>
        <v>6</v>
      </c>
      <c r="H19" s="3">
        <f t="shared" si="0"/>
        <v>10</v>
      </c>
      <c r="I19" s="3" t="str">
        <f t="shared" si="4"/>
        <v>L</v>
      </c>
    </row>
    <row r="20" spans="1:14" x14ac:dyDescent="0.25">
      <c r="A20" t="s">
        <v>41</v>
      </c>
      <c r="B20" t="s">
        <v>120</v>
      </c>
      <c r="C20" t="s">
        <v>283</v>
      </c>
      <c r="E20" s="1" t="str">
        <f t="shared" si="1"/>
        <v>Away</v>
      </c>
      <c r="F20" s="3">
        <f t="shared" si="2"/>
        <v>10</v>
      </c>
      <c r="G20" s="3">
        <f t="shared" si="3"/>
        <v>8</v>
      </c>
      <c r="H20" s="3">
        <f t="shared" si="0"/>
        <v>18</v>
      </c>
      <c r="I20" s="3" t="str">
        <f t="shared" si="4"/>
        <v>W</v>
      </c>
    </row>
    <row r="21" spans="1:14" x14ac:dyDescent="0.25">
      <c r="A21" t="s">
        <v>43</v>
      </c>
      <c r="B21" t="s">
        <v>333</v>
      </c>
      <c r="C21" t="s">
        <v>36</v>
      </c>
      <c r="E21" s="1" t="str">
        <f t="shared" si="1"/>
        <v>Home</v>
      </c>
      <c r="F21" s="3">
        <f t="shared" si="2"/>
        <v>1</v>
      </c>
      <c r="G21" s="3">
        <f t="shared" si="3"/>
        <v>5</v>
      </c>
      <c r="H21" s="3">
        <f t="shared" si="0"/>
        <v>6</v>
      </c>
      <c r="I21" s="3" t="str">
        <f t="shared" si="4"/>
        <v>L</v>
      </c>
    </row>
    <row r="22" spans="1:14" x14ac:dyDescent="0.25">
      <c r="A22" t="s">
        <v>45</v>
      </c>
      <c r="B22" t="s">
        <v>332</v>
      </c>
      <c r="C22" t="s">
        <v>205</v>
      </c>
      <c r="E22" s="1" t="str">
        <f t="shared" si="1"/>
        <v>Away</v>
      </c>
      <c r="F22" s="3">
        <f t="shared" si="2"/>
        <v>5</v>
      </c>
      <c r="G22" s="3">
        <f t="shared" si="3"/>
        <v>6</v>
      </c>
      <c r="H22" s="3">
        <f t="shared" si="0"/>
        <v>11</v>
      </c>
      <c r="I22" s="3" t="str">
        <f t="shared" si="4"/>
        <v>L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332</v>
      </c>
      <c r="C23" t="s">
        <v>48</v>
      </c>
      <c r="E23" s="1" t="str">
        <f t="shared" si="1"/>
        <v>Away</v>
      </c>
      <c r="F23" s="3">
        <f t="shared" si="2"/>
        <v>4</v>
      </c>
      <c r="G23" s="3">
        <f t="shared" si="3"/>
        <v>5</v>
      </c>
      <c r="H23" s="3">
        <f t="shared" si="0"/>
        <v>9</v>
      </c>
      <c r="I23" s="3" t="str">
        <f t="shared" si="4"/>
        <v>L</v>
      </c>
      <c r="K23" s="1">
        <f>COUNTIFS(Table13[At], "Home",Table13[Result], "W")</f>
        <v>14</v>
      </c>
      <c r="L23" s="1">
        <f>COUNTIFS(Table13[At], "Home",Table13[Result], "L")</f>
        <v>22</v>
      </c>
      <c r="M23" s="1">
        <f>COUNTIFS(Table13[At], "Away",Table13[Result], "W")</f>
        <v>12</v>
      </c>
      <c r="N23" s="1">
        <f>COUNTIFS(Table13[At], "Away",Table13[Result], "L")</f>
        <v>24</v>
      </c>
    </row>
    <row r="24" spans="1:14" x14ac:dyDescent="0.25">
      <c r="A24" t="s">
        <v>49</v>
      </c>
      <c r="B24" t="s">
        <v>333</v>
      </c>
      <c r="C24" t="s">
        <v>290</v>
      </c>
      <c r="E24" s="1" t="str">
        <f t="shared" si="1"/>
        <v>Home</v>
      </c>
      <c r="F24" s="3">
        <f t="shared" si="2"/>
        <v>5</v>
      </c>
      <c r="G24" s="3">
        <f t="shared" si="3"/>
        <v>0</v>
      </c>
      <c r="H24" s="3">
        <f t="shared" si="0"/>
        <v>5</v>
      </c>
      <c r="I24" s="3" t="str">
        <f t="shared" si="4"/>
        <v>W</v>
      </c>
      <c r="K24" s="1"/>
      <c r="M24" s="1"/>
      <c r="N24" s="1"/>
    </row>
    <row r="25" spans="1:14" x14ac:dyDescent="0.25">
      <c r="A25" t="s">
        <v>51</v>
      </c>
      <c r="B25" t="s">
        <v>315</v>
      </c>
      <c r="C25" t="s">
        <v>395</v>
      </c>
      <c r="E25" s="1" t="str">
        <f t="shared" si="1"/>
        <v>Away</v>
      </c>
      <c r="F25" s="3">
        <f t="shared" si="2"/>
        <v>7</v>
      </c>
      <c r="G25" s="3">
        <f t="shared" si="3"/>
        <v>26</v>
      </c>
      <c r="H25" s="3">
        <f t="shared" si="0"/>
        <v>33</v>
      </c>
      <c r="I25" s="3" t="str">
        <f t="shared" si="4"/>
        <v>L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315</v>
      </c>
      <c r="C26" t="s">
        <v>396</v>
      </c>
      <c r="E26" s="1" t="str">
        <f t="shared" si="1"/>
        <v>Away</v>
      </c>
      <c r="F26" s="3">
        <f t="shared" si="2"/>
        <v>6</v>
      </c>
      <c r="G26" s="3">
        <f t="shared" si="3"/>
        <v>5</v>
      </c>
      <c r="H26" s="3">
        <f t="shared" si="0"/>
        <v>11</v>
      </c>
      <c r="I26" s="3" t="str">
        <f t="shared" si="4"/>
        <v>L</v>
      </c>
      <c r="K26" s="1">
        <f>COUNTIFS(Table13[oR/G], "&gt;0",Table13[Result], "W")</f>
        <v>17</v>
      </c>
      <c r="L26" s="1">
        <f>COUNTIFS(Table13[oR/G], "&gt;0",Table13[Result], "l")</f>
        <v>35</v>
      </c>
      <c r="M26" s="1">
        <f>COUNTIFS(Table13[oR/G], "&lt;0",Table13[Result], "W")</f>
        <v>9</v>
      </c>
      <c r="N26" s="1">
        <f>COUNTIFS(Table13[oR/G], "&lt;0",Table13[Result], "l")</f>
        <v>11</v>
      </c>
    </row>
    <row r="27" spans="1:14" x14ac:dyDescent="0.25">
      <c r="A27" t="s">
        <v>53</v>
      </c>
      <c r="B27" t="s">
        <v>98</v>
      </c>
      <c r="C27" t="s">
        <v>384</v>
      </c>
      <c r="E27" s="1" t="str">
        <f t="shared" si="1"/>
        <v>Home</v>
      </c>
      <c r="F27" s="3">
        <f t="shared" si="2"/>
        <v>7</v>
      </c>
      <c r="G27" s="3">
        <f t="shared" si="3"/>
        <v>5</v>
      </c>
      <c r="H27" s="3">
        <f t="shared" si="0"/>
        <v>12</v>
      </c>
      <c r="I27" s="3" t="str">
        <f t="shared" si="4"/>
        <v>W</v>
      </c>
    </row>
    <row r="28" spans="1:14" x14ac:dyDescent="0.25">
      <c r="A28" t="s">
        <v>54</v>
      </c>
      <c r="B28" t="s">
        <v>120</v>
      </c>
      <c r="C28" t="s">
        <v>28</v>
      </c>
      <c r="E28" s="1" t="str">
        <f t="shared" si="1"/>
        <v>Away</v>
      </c>
      <c r="F28" s="3">
        <f t="shared" si="2"/>
        <v>4</v>
      </c>
      <c r="G28" s="3">
        <f t="shared" si="3"/>
        <v>2</v>
      </c>
      <c r="H28" s="3">
        <f t="shared" si="0"/>
        <v>6</v>
      </c>
      <c r="I28" s="3" t="str">
        <f t="shared" si="4"/>
        <v>W</v>
      </c>
    </row>
    <row r="29" spans="1:14" x14ac:dyDescent="0.25">
      <c r="A29" t="s">
        <v>54</v>
      </c>
      <c r="B29" t="s">
        <v>120</v>
      </c>
      <c r="C29" t="s">
        <v>55</v>
      </c>
      <c r="E29" s="1" t="str">
        <f t="shared" si="1"/>
        <v>Away</v>
      </c>
      <c r="F29" s="3">
        <f t="shared" si="2"/>
        <v>5</v>
      </c>
      <c r="G29" s="3">
        <f t="shared" si="3"/>
        <v>7</v>
      </c>
      <c r="H29" s="3">
        <f t="shared" si="0"/>
        <v>12</v>
      </c>
      <c r="I29" s="3" t="str">
        <f t="shared" si="4"/>
        <v>L</v>
      </c>
    </row>
    <row r="30" spans="1:14" x14ac:dyDescent="0.25">
      <c r="A30" t="s">
        <v>57</v>
      </c>
      <c r="B30" t="s">
        <v>124</v>
      </c>
      <c r="C30" t="s">
        <v>234</v>
      </c>
      <c r="E30" s="1" t="str">
        <f t="shared" si="1"/>
        <v>Away</v>
      </c>
      <c r="F30" s="3">
        <f t="shared" si="2"/>
        <v>2</v>
      </c>
      <c r="G30" s="3">
        <f t="shared" si="3"/>
        <v>5</v>
      </c>
      <c r="H30" s="3">
        <f t="shared" si="0"/>
        <v>7</v>
      </c>
      <c r="I30" s="3" t="str">
        <f t="shared" si="4"/>
        <v>L</v>
      </c>
    </row>
    <row r="31" spans="1:14" x14ac:dyDescent="0.25">
      <c r="A31" t="s">
        <v>60</v>
      </c>
      <c r="B31" t="s">
        <v>103</v>
      </c>
      <c r="C31" t="s">
        <v>252</v>
      </c>
      <c r="E31" s="1" t="str">
        <f t="shared" si="1"/>
        <v>Home</v>
      </c>
      <c r="F31" s="3">
        <f t="shared" si="2"/>
        <v>2</v>
      </c>
      <c r="G31" s="3">
        <f t="shared" si="3"/>
        <v>8</v>
      </c>
      <c r="H31" s="3">
        <f t="shared" si="0"/>
        <v>10</v>
      </c>
      <c r="I31" s="3" t="str">
        <f t="shared" si="4"/>
        <v>L</v>
      </c>
    </row>
    <row r="32" spans="1:14" x14ac:dyDescent="0.25">
      <c r="A32" t="s">
        <v>62</v>
      </c>
      <c r="B32" t="s">
        <v>115</v>
      </c>
      <c r="C32" t="s">
        <v>364</v>
      </c>
      <c r="E32" s="1" t="str">
        <f t="shared" si="1"/>
        <v>Away</v>
      </c>
      <c r="F32" s="3">
        <f t="shared" si="2"/>
        <v>11</v>
      </c>
      <c r="G32" s="3">
        <f t="shared" si="3"/>
        <v>9</v>
      </c>
      <c r="H32" s="3">
        <f t="shared" si="0"/>
        <v>20</v>
      </c>
      <c r="I32" s="3" t="str">
        <f t="shared" si="4"/>
        <v>W</v>
      </c>
    </row>
    <row r="33" spans="1:9" x14ac:dyDescent="0.25">
      <c r="A33" t="s">
        <v>64</v>
      </c>
      <c r="B33" t="s">
        <v>115</v>
      </c>
      <c r="C33" t="s">
        <v>85</v>
      </c>
      <c r="E33" s="1" t="str">
        <f t="shared" si="1"/>
        <v>Away</v>
      </c>
      <c r="F33" s="3">
        <f t="shared" si="2"/>
        <v>5</v>
      </c>
      <c r="G33" s="3">
        <f t="shared" si="3"/>
        <v>3</v>
      </c>
      <c r="H33" s="3">
        <f t="shared" si="0"/>
        <v>8</v>
      </c>
      <c r="I33" s="3" t="str">
        <f t="shared" si="4"/>
        <v>W</v>
      </c>
    </row>
    <row r="34" spans="1:9" x14ac:dyDescent="0.25">
      <c r="A34" t="s">
        <v>66</v>
      </c>
      <c r="B34" t="s">
        <v>74</v>
      </c>
      <c r="C34" t="s">
        <v>264</v>
      </c>
      <c r="E34" s="1" t="str">
        <f t="shared" si="1"/>
        <v>Home</v>
      </c>
      <c r="F34" s="3">
        <f t="shared" si="2"/>
        <v>6</v>
      </c>
      <c r="G34" s="3">
        <f t="shared" si="3"/>
        <v>2</v>
      </c>
      <c r="H34" s="3">
        <f t="shared" si="0"/>
        <v>8</v>
      </c>
      <c r="I34" s="3" t="str">
        <f t="shared" si="4"/>
        <v>W</v>
      </c>
    </row>
    <row r="35" spans="1:9" x14ac:dyDescent="0.25">
      <c r="A35" t="s">
        <v>67</v>
      </c>
      <c r="B35" t="s">
        <v>74</v>
      </c>
      <c r="C35" t="s">
        <v>205</v>
      </c>
      <c r="E35" s="1" t="str">
        <f t="shared" si="1"/>
        <v>Home</v>
      </c>
      <c r="F35" s="3">
        <f t="shared" si="2"/>
        <v>5</v>
      </c>
      <c r="G35" s="3">
        <f t="shared" si="3"/>
        <v>6</v>
      </c>
      <c r="H35" s="3">
        <f t="shared" si="0"/>
        <v>11</v>
      </c>
      <c r="I35" s="3" t="str">
        <f t="shared" si="4"/>
        <v>L</v>
      </c>
    </row>
    <row r="36" spans="1:9" x14ac:dyDescent="0.25">
      <c r="A36" t="s">
        <v>68</v>
      </c>
      <c r="B36" t="s">
        <v>52</v>
      </c>
      <c r="C36" t="s">
        <v>270</v>
      </c>
      <c r="E36" s="1" t="str">
        <f t="shared" si="1"/>
        <v>Home</v>
      </c>
      <c r="F36" s="3">
        <f t="shared" si="2"/>
        <v>4</v>
      </c>
      <c r="G36" s="3">
        <f t="shared" si="3"/>
        <v>3</v>
      </c>
      <c r="H36" s="3">
        <f t="shared" si="0"/>
        <v>7</v>
      </c>
      <c r="I36" s="3" t="str">
        <f t="shared" si="4"/>
        <v>W</v>
      </c>
    </row>
    <row r="37" spans="1:9" x14ac:dyDescent="0.25">
      <c r="A37" t="s">
        <v>71</v>
      </c>
      <c r="B37" t="s">
        <v>52</v>
      </c>
      <c r="C37" t="s">
        <v>226</v>
      </c>
      <c r="E37" s="1" t="str">
        <f t="shared" si="1"/>
        <v>Home</v>
      </c>
      <c r="F37" s="3">
        <f t="shared" si="2"/>
        <v>3</v>
      </c>
      <c r="G37" s="3">
        <f t="shared" si="3"/>
        <v>2</v>
      </c>
      <c r="H37" s="3">
        <f t="shared" si="0"/>
        <v>5</v>
      </c>
      <c r="I37" s="3" t="str">
        <f t="shared" si="4"/>
        <v>W</v>
      </c>
    </row>
    <row r="38" spans="1:9" x14ac:dyDescent="0.25">
      <c r="A38" t="s">
        <v>209</v>
      </c>
      <c r="B38" t="s">
        <v>333</v>
      </c>
      <c r="C38" t="s">
        <v>397</v>
      </c>
      <c r="E38" s="1" t="str">
        <f t="shared" si="1"/>
        <v>Home</v>
      </c>
      <c r="F38" s="3">
        <f t="shared" si="2"/>
        <v>8</v>
      </c>
      <c r="G38" s="3">
        <f t="shared" si="3"/>
        <v>14</v>
      </c>
      <c r="H38" s="3">
        <f t="shared" si="0"/>
        <v>22</v>
      </c>
      <c r="I38" s="3" t="str">
        <f t="shared" si="4"/>
        <v>L</v>
      </c>
    </row>
    <row r="39" spans="1:9" x14ac:dyDescent="0.25">
      <c r="A39" t="s">
        <v>76</v>
      </c>
      <c r="B39" t="s">
        <v>17</v>
      </c>
      <c r="C39" t="s">
        <v>323</v>
      </c>
      <c r="E39" s="1" t="str">
        <f t="shared" si="1"/>
        <v>Away</v>
      </c>
      <c r="F39" s="3">
        <f t="shared" si="2"/>
        <v>7</v>
      </c>
      <c r="G39" s="3">
        <f t="shared" si="3"/>
        <v>6</v>
      </c>
      <c r="H39" s="3">
        <f t="shared" si="0"/>
        <v>13</v>
      </c>
      <c r="I39" s="3" t="str">
        <f t="shared" si="4"/>
        <v>W</v>
      </c>
    </row>
    <row r="40" spans="1:9" x14ac:dyDescent="0.25">
      <c r="A40" t="s">
        <v>78</v>
      </c>
      <c r="B40" t="s">
        <v>17</v>
      </c>
      <c r="C40" t="s">
        <v>33</v>
      </c>
      <c r="E40" s="1" t="str">
        <f t="shared" si="1"/>
        <v>Away</v>
      </c>
      <c r="F40" s="3">
        <f t="shared" si="2"/>
        <v>7</v>
      </c>
      <c r="G40" s="3">
        <f t="shared" si="3"/>
        <v>4</v>
      </c>
      <c r="H40" s="3">
        <f t="shared" si="0"/>
        <v>11</v>
      </c>
      <c r="I40" s="3" t="str">
        <f t="shared" si="4"/>
        <v>W</v>
      </c>
    </row>
    <row r="41" spans="1:9" x14ac:dyDescent="0.25">
      <c r="A41" t="s">
        <v>80</v>
      </c>
      <c r="B41" t="s">
        <v>40</v>
      </c>
      <c r="C41" t="s">
        <v>351</v>
      </c>
      <c r="E41" s="1" t="str">
        <f t="shared" si="1"/>
        <v>Away</v>
      </c>
      <c r="F41" s="3">
        <f t="shared" si="2"/>
        <v>2</v>
      </c>
      <c r="G41" s="3">
        <f t="shared" si="3"/>
        <v>1</v>
      </c>
      <c r="H41" s="3">
        <f t="shared" si="0"/>
        <v>3</v>
      </c>
      <c r="I41" s="3" t="str">
        <f t="shared" si="4"/>
        <v>W</v>
      </c>
    </row>
    <row r="42" spans="1:9" x14ac:dyDescent="0.25">
      <c r="A42" t="s">
        <v>81</v>
      </c>
      <c r="B42" t="s">
        <v>40</v>
      </c>
      <c r="C42" t="s">
        <v>351</v>
      </c>
      <c r="E42" s="1" t="str">
        <f t="shared" si="1"/>
        <v>Away</v>
      </c>
      <c r="F42" s="3">
        <f t="shared" si="2"/>
        <v>2</v>
      </c>
      <c r="G42" s="3">
        <f t="shared" si="3"/>
        <v>1</v>
      </c>
      <c r="H42" s="3">
        <f t="shared" si="0"/>
        <v>3</v>
      </c>
      <c r="I42" s="3" t="str">
        <f t="shared" si="4"/>
        <v>W</v>
      </c>
    </row>
    <row r="43" spans="1:9" x14ac:dyDescent="0.25">
      <c r="A43" t="s">
        <v>82</v>
      </c>
      <c r="B43" t="s">
        <v>124</v>
      </c>
      <c r="C43" t="s">
        <v>50</v>
      </c>
      <c r="E43" s="1" t="str">
        <f t="shared" si="1"/>
        <v>Away</v>
      </c>
      <c r="F43" s="3">
        <f t="shared" si="2"/>
        <v>3</v>
      </c>
      <c r="G43" s="3">
        <f t="shared" si="3"/>
        <v>4</v>
      </c>
      <c r="H43" s="3">
        <f t="shared" si="0"/>
        <v>7</v>
      </c>
      <c r="I43" s="3" t="str">
        <f t="shared" si="4"/>
        <v>L</v>
      </c>
    </row>
    <row r="44" spans="1:9" x14ac:dyDescent="0.25">
      <c r="A44" t="s">
        <v>84</v>
      </c>
      <c r="B44" t="s">
        <v>103</v>
      </c>
      <c r="C44" t="s">
        <v>323</v>
      </c>
      <c r="E44" s="1" t="str">
        <f t="shared" si="1"/>
        <v>Home</v>
      </c>
      <c r="F44" s="3">
        <f t="shared" si="2"/>
        <v>7</v>
      </c>
      <c r="G44" s="3">
        <f t="shared" si="3"/>
        <v>6</v>
      </c>
      <c r="H44" s="3">
        <f t="shared" si="0"/>
        <v>13</v>
      </c>
      <c r="I44" s="3" t="str">
        <f t="shared" si="4"/>
        <v>W</v>
      </c>
    </row>
    <row r="45" spans="1:9" x14ac:dyDescent="0.25">
      <c r="A45" t="s">
        <v>86</v>
      </c>
      <c r="B45" t="s">
        <v>314</v>
      </c>
      <c r="C45" t="s">
        <v>253</v>
      </c>
      <c r="E45" s="1" t="str">
        <f t="shared" si="1"/>
        <v>Home</v>
      </c>
      <c r="F45" s="3">
        <f t="shared" si="2"/>
        <v>4</v>
      </c>
      <c r="G45" s="3">
        <f t="shared" si="3"/>
        <v>0</v>
      </c>
      <c r="H45" s="3">
        <f t="shared" si="0"/>
        <v>4</v>
      </c>
      <c r="I45" s="3" t="str">
        <f t="shared" si="4"/>
        <v>W</v>
      </c>
    </row>
    <row r="46" spans="1:9" x14ac:dyDescent="0.25">
      <c r="A46" t="s">
        <v>86</v>
      </c>
      <c r="B46" t="s">
        <v>314</v>
      </c>
      <c r="C46" t="s">
        <v>271</v>
      </c>
      <c r="E46" s="1" t="str">
        <f t="shared" si="1"/>
        <v>Home</v>
      </c>
      <c r="F46" s="3">
        <f t="shared" si="2"/>
        <v>5</v>
      </c>
      <c r="G46" s="3">
        <f t="shared" si="3"/>
        <v>11</v>
      </c>
      <c r="H46" s="3">
        <f t="shared" si="0"/>
        <v>16</v>
      </c>
      <c r="I46" s="3" t="str">
        <f t="shared" si="4"/>
        <v>L</v>
      </c>
    </row>
    <row r="47" spans="1:9" x14ac:dyDescent="0.25">
      <c r="A47" t="s">
        <v>88</v>
      </c>
      <c r="B47" t="s">
        <v>115</v>
      </c>
      <c r="C47" t="s">
        <v>50</v>
      </c>
      <c r="E47" s="1" t="str">
        <f t="shared" si="1"/>
        <v>Away</v>
      </c>
      <c r="F47" s="3">
        <f t="shared" si="2"/>
        <v>3</v>
      </c>
      <c r="G47" s="3">
        <f t="shared" si="3"/>
        <v>4</v>
      </c>
      <c r="H47" s="3">
        <f t="shared" si="0"/>
        <v>7</v>
      </c>
      <c r="I47" s="3" t="str">
        <f t="shared" si="4"/>
        <v>L</v>
      </c>
    </row>
    <row r="48" spans="1:9" x14ac:dyDescent="0.25">
      <c r="A48" t="s">
        <v>91</v>
      </c>
      <c r="B48" t="s">
        <v>115</v>
      </c>
      <c r="C48" t="s">
        <v>48</v>
      </c>
      <c r="E48" s="1" t="str">
        <f t="shared" si="1"/>
        <v>Away</v>
      </c>
      <c r="F48" s="3">
        <f t="shared" si="2"/>
        <v>4</v>
      </c>
      <c r="G48" s="3">
        <f t="shared" si="3"/>
        <v>5</v>
      </c>
      <c r="H48" s="3">
        <f t="shared" si="0"/>
        <v>9</v>
      </c>
      <c r="I48" s="3" t="str">
        <f t="shared" si="4"/>
        <v>L</v>
      </c>
    </row>
    <row r="49" spans="1:9" x14ac:dyDescent="0.25">
      <c r="A49" t="s">
        <v>93</v>
      </c>
      <c r="B49" t="s">
        <v>315</v>
      </c>
      <c r="C49" t="s">
        <v>217</v>
      </c>
      <c r="E49" s="1" t="str">
        <f t="shared" si="1"/>
        <v>Away</v>
      </c>
      <c r="F49" s="3">
        <f t="shared" si="2"/>
        <v>3</v>
      </c>
      <c r="G49" s="3">
        <f t="shared" si="3"/>
        <v>0</v>
      </c>
      <c r="H49" s="3">
        <f t="shared" si="0"/>
        <v>3</v>
      </c>
      <c r="I49" s="3" t="str">
        <f t="shared" si="4"/>
        <v>W</v>
      </c>
    </row>
    <row r="50" spans="1:9" x14ac:dyDescent="0.25">
      <c r="A50" t="s">
        <v>96</v>
      </c>
      <c r="B50" t="s">
        <v>315</v>
      </c>
      <c r="C50" t="s">
        <v>244</v>
      </c>
      <c r="E50" s="1" t="str">
        <f t="shared" si="1"/>
        <v>Away</v>
      </c>
      <c r="F50" s="3">
        <f t="shared" si="2"/>
        <v>6</v>
      </c>
      <c r="G50" s="3">
        <f t="shared" si="3"/>
        <v>3</v>
      </c>
      <c r="H50" s="3">
        <f t="shared" si="0"/>
        <v>9</v>
      </c>
      <c r="I50" s="3" t="str">
        <f t="shared" si="4"/>
        <v>W</v>
      </c>
    </row>
    <row r="51" spans="1:9" x14ac:dyDescent="0.25">
      <c r="A51" t="s">
        <v>97</v>
      </c>
      <c r="B51" t="s">
        <v>5</v>
      </c>
      <c r="C51" t="s">
        <v>254</v>
      </c>
      <c r="E51" s="1" t="str">
        <f t="shared" si="1"/>
        <v>Home</v>
      </c>
      <c r="F51" s="3">
        <f t="shared" si="2"/>
        <v>5</v>
      </c>
      <c r="G51" s="3">
        <f t="shared" si="3"/>
        <v>4</v>
      </c>
      <c r="H51" s="3">
        <f t="shared" si="0"/>
        <v>9</v>
      </c>
      <c r="I51" s="3" t="str">
        <f t="shared" si="4"/>
        <v>W</v>
      </c>
    </row>
    <row r="52" spans="1:9" x14ac:dyDescent="0.25">
      <c r="A52" t="s">
        <v>100</v>
      </c>
      <c r="B52" t="s">
        <v>5</v>
      </c>
      <c r="C52" t="s">
        <v>48</v>
      </c>
      <c r="E52" s="1" t="str">
        <f t="shared" si="1"/>
        <v>Home</v>
      </c>
      <c r="F52" s="3">
        <f t="shared" si="2"/>
        <v>4</v>
      </c>
      <c r="G52" s="3">
        <f t="shared" si="3"/>
        <v>5</v>
      </c>
      <c r="H52" s="3">
        <f t="shared" si="0"/>
        <v>9</v>
      </c>
      <c r="I52" s="3" t="str">
        <f t="shared" si="4"/>
        <v>L</v>
      </c>
    </row>
    <row r="53" spans="1:9" x14ac:dyDescent="0.25">
      <c r="A53" t="s">
        <v>215</v>
      </c>
      <c r="B53" t="s">
        <v>74</v>
      </c>
      <c r="C53" t="s">
        <v>383</v>
      </c>
      <c r="E53" s="1" t="str">
        <f t="shared" si="1"/>
        <v>Home</v>
      </c>
      <c r="F53" s="3">
        <f t="shared" si="2"/>
        <v>10</v>
      </c>
      <c r="G53" s="3">
        <f t="shared" si="3"/>
        <v>12</v>
      </c>
      <c r="H53" s="3">
        <f t="shared" si="0"/>
        <v>22</v>
      </c>
      <c r="I53" s="3" t="str">
        <f t="shared" si="4"/>
        <v>L</v>
      </c>
    </row>
    <row r="54" spans="1:9" x14ac:dyDescent="0.25">
      <c r="A54" t="s">
        <v>102</v>
      </c>
      <c r="B54" t="s">
        <v>74</v>
      </c>
      <c r="C54" t="s">
        <v>254</v>
      </c>
      <c r="E54" s="1" t="str">
        <f t="shared" si="1"/>
        <v>Home</v>
      </c>
      <c r="F54" s="3">
        <f t="shared" si="2"/>
        <v>5</v>
      </c>
      <c r="G54" s="3">
        <f t="shared" si="3"/>
        <v>4</v>
      </c>
      <c r="H54" s="3">
        <f t="shared" si="0"/>
        <v>9</v>
      </c>
      <c r="I54" s="3" t="str">
        <f t="shared" si="4"/>
        <v>W</v>
      </c>
    </row>
    <row r="55" spans="1:9" x14ac:dyDescent="0.25">
      <c r="A55" t="s">
        <v>105</v>
      </c>
      <c r="B55" t="s">
        <v>332</v>
      </c>
      <c r="C55" t="s">
        <v>28</v>
      </c>
      <c r="E55" s="1" t="str">
        <f t="shared" si="1"/>
        <v>Away</v>
      </c>
      <c r="F55" s="3">
        <f t="shared" si="2"/>
        <v>4</v>
      </c>
      <c r="G55" s="3">
        <f t="shared" si="3"/>
        <v>2</v>
      </c>
      <c r="H55" s="3">
        <f t="shared" si="0"/>
        <v>6</v>
      </c>
      <c r="I55" s="3" t="str">
        <f t="shared" si="4"/>
        <v>W</v>
      </c>
    </row>
    <row r="56" spans="1:9" x14ac:dyDescent="0.25">
      <c r="A56" t="s">
        <v>105</v>
      </c>
      <c r="B56" t="s">
        <v>332</v>
      </c>
      <c r="C56" t="s">
        <v>398</v>
      </c>
      <c r="E56" s="1" t="str">
        <f t="shared" si="1"/>
        <v>Away</v>
      </c>
      <c r="F56" s="3">
        <f t="shared" si="2"/>
        <v>5</v>
      </c>
      <c r="G56" s="3">
        <f t="shared" si="3"/>
        <v>14</v>
      </c>
      <c r="H56" s="3">
        <f t="shared" si="0"/>
        <v>19</v>
      </c>
      <c r="I56" s="3" t="str">
        <f t="shared" si="4"/>
        <v>L</v>
      </c>
    </row>
    <row r="57" spans="1:9" x14ac:dyDescent="0.25">
      <c r="A57" t="s">
        <v>107</v>
      </c>
      <c r="B57" t="s">
        <v>332</v>
      </c>
      <c r="C57" t="s">
        <v>36</v>
      </c>
      <c r="E57" s="1" t="str">
        <f t="shared" si="1"/>
        <v>Away</v>
      </c>
      <c r="F57" s="3">
        <f t="shared" si="2"/>
        <v>1</v>
      </c>
      <c r="G57" s="3">
        <f t="shared" si="3"/>
        <v>5</v>
      </c>
      <c r="H57" s="3">
        <f t="shared" si="0"/>
        <v>6</v>
      </c>
      <c r="I57" s="3" t="str">
        <f t="shared" si="4"/>
        <v>L</v>
      </c>
    </row>
    <row r="58" spans="1:9" x14ac:dyDescent="0.25">
      <c r="A58" t="s">
        <v>108</v>
      </c>
      <c r="B58" t="s">
        <v>103</v>
      </c>
      <c r="C58" t="s">
        <v>59</v>
      </c>
      <c r="E58" s="1" t="str">
        <f t="shared" si="1"/>
        <v>Home</v>
      </c>
      <c r="F58" s="3">
        <f t="shared" si="2"/>
        <v>11</v>
      </c>
      <c r="G58" s="3">
        <f t="shared" si="3"/>
        <v>7</v>
      </c>
      <c r="H58" s="3">
        <f t="shared" si="0"/>
        <v>18</v>
      </c>
      <c r="I58" s="3" t="str">
        <f t="shared" si="4"/>
        <v>W</v>
      </c>
    </row>
    <row r="59" spans="1:9" x14ac:dyDescent="0.25">
      <c r="A59" t="s">
        <v>110</v>
      </c>
      <c r="B59" t="s">
        <v>124</v>
      </c>
      <c r="C59" t="s">
        <v>42</v>
      </c>
      <c r="E59" s="1" t="str">
        <f t="shared" si="1"/>
        <v>Away</v>
      </c>
      <c r="F59" s="3">
        <f t="shared" si="2"/>
        <v>0</v>
      </c>
      <c r="G59" s="3">
        <f t="shared" si="3"/>
        <v>3</v>
      </c>
      <c r="H59" s="3">
        <f t="shared" si="0"/>
        <v>3</v>
      </c>
      <c r="I59" s="3" t="str">
        <f t="shared" si="4"/>
        <v>L</v>
      </c>
    </row>
    <row r="60" spans="1:9" x14ac:dyDescent="0.25">
      <c r="A60" t="s">
        <v>111</v>
      </c>
      <c r="B60" t="s">
        <v>115</v>
      </c>
      <c r="C60" t="s">
        <v>334</v>
      </c>
      <c r="E60" s="1" t="str">
        <f t="shared" si="1"/>
        <v>Away</v>
      </c>
      <c r="F60" s="3">
        <f t="shared" si="2"/>
        <v>7</v>
      </c>
      <c r="G60" s="3">
        <f t="shared" si="3"/>
        <v>15</v>
      </c>
      <c r="H60" s="3">
        <f t="shared" si="0"/>
        <v>22</v>
      </c>
      <c r="I60" s="3" t="str">
        <f t="shared" si="4"/>
        <v>L</v>
      </c>
    </row>
    <row r="61" spans="1:9" x14ac:dyDescent="0.25">
      <c r="A61" t="s">
        <v>112</v>
      </c>
      <c r="B61" t="s">
        <v>115</v>
      </c>
      <c r="C61" t="s">
        <v>226</v>
      </c>
      <c r="E61" s="1" t="str">
        <f t="shared" si="1"/>
        <v>Away</v>
      </c>
      <c r="F61" s="3">
        <f t="shared" si="2"/>
        <v>3</v>
      </c>
      <c r="G61" s="3">
        <f t="shared" si="3"/>
        <v>2</v>
      </c>
      <c r="H61" s="3">
        <f t="shared" si="0"/>
        <v>5</v>
      </c>
      <c r="I61" s="3" t="str">
        <f t="shared" si="4"/>
        <v>W</v>
      </c>
    </row>
    <row r="62" spans="1:9" x14ac:dyDescent="0.25">
      <c r="A62" t="s">
        <v>114</v>
      </c>
      <c r="B62" t="s">
        <v>314</v>
      </c>
      <c r="C62" t="s">
        <v>28</v>
      </c>
      <c r="E62" s="1" t="str">
        <f t="shared" si="1"/>
        <v>Home</v>
      </c>
      <c r="F62" s="3">
        <f t="shared" si="2"/>
        <v>4</v>
      </c>
      <c r="G62" s="3">
        <f t="shared" si="3"/>
        <v>2</v>
      </c>
      <c r="H62" s="3">
        <f t="shared" si="0"/>
        <v>6</v>
      </c>
      <c r="I62" s="3" t="str">
        <f t="shared" si="4"/>
        <v>W</v>
      </c>
    </row>
    <row r="63" spans="1:9" x14ac:dyDescent="0.25">
      <c r="A63" t="s">
        <v>117</v>
      </c>
      <c r="B63" t="s">
        <v>314</v>
      </c>
      <c r="C63" t="s">
        <v>290</v>
      </c>
      <c r="E63" s="1" t="str">
        <f t="shared" si="1"/>
        <v>Home</v>
      </c>
      <c r="F63" s="3">
        <f t="shared" si="2"/>
        <v>5</v>
      </c>
      <c r="G63" s="3">
        <f t="shared" si="3"/>
        <v>0</v>
      </c>
      <c r="H63" s="3">
        <f t="shared" si="0"/>
        <v>5</v>
      </c>
      <c r="I63" s="3" t="str">
        <f t="shared" si="4"/>
        <v>W</v>
      </c>
    </row>
    <row r="64" spans="1:9" x14ac:dyDescent="0.25">
      <c r="A64" t="s">
        <v>119</v>
      </c>
      <c r="B64" t="s">
        <v>333</v>
      </c>
      <c r="C64" t="s">
        <v>322</v>
      </c>
      <c r="E64" s="1" t="str">
        <f t="shared" si="1"/>
        <v>Home</v>
      </c>
      <c r="F64" s="3">
        <f t="shared" si="2"/>
        <v>6</v>
      </c>
      <c r="G64" s="3">
        <f t="shared" si="3"/>
        <v>7</v>
      </c>
      <c r="H64" s="3">
        <f t="shared" si="0"/>
        <v>13</v>
      </c>
      <c r="I64" s="3" t="str">
        <f t="shared" si="4"/>
        <v>L</v>
      </c>
    </row>
    <row r="65" spans="1:10" x14ac:dyDescent="0.25">
      <c r="A65" t="s">
        <v>122</v>
      </c>
      <c r="B65" t="s">
        <v>332</v>
      </c>
      <c r="C65" t="s">
        <v>364</v>
      </c>
      <c r="E65" s="1" t="str">
        <f t="shared" si="1"/>
        <v>Away</v>
      </c>
      <c r="F65" s="3">
        <f t="shared" si="2"/>
        <v>11</v>
      </c>
      <c r="G65" s="3">
        <f t="shared" si="3"/>
        <v>9</v>
      </c>
      <c r="H65" s="3">
        <f t="shared" si="0"/>
        <v>20</v>
      </c>
      <c r="I65" s="3" t="str">
        <f t="shared" si="4"/>
        <v>W</v>
      </c>
    </row>
    <row r="66" spans="1:10" x14ac:dyDescent="0.25">
      <c r="A66" t="s">
        <v>218</v>
      </c>
      <c r="B66" t="s">
        <v>74</v>
      </c>
      <c r="C66" t="s">
        <v>270</v>
      </c>
      <c r="E66" s="1" t="str">
        <f t="shared" si="1"/>
        <v>Home</v>
      </c>
      <c r="F66" s="3">
        <f t="shared" si="2"/>
        <v>4</v>
      </c>
      <c r="G66" s="3">
        <f t="shared" si="3"/>
        <v>3</v>
      </c>
      <c r="H66" s="3">
        <f t="shared" si="0"/>
        <v>7</v>
      </c>
      <c r="I66" s="3" t="str">
        <f t="shared" si="4"/>
        <v>W</v>
      </c>
    </row>
    <row r="67" spans="1:10" x14ac:dyDescent="0.25">
      <c r="A67" t="s">
        <v>123</v>
      </c>
      <c r="B67" t="s">
        <v>74</v>
      </c>
      <c r="C67" t="s">
        <v>6</v>
      </c>
      <c r="E67" s="1" t="str">
        <f t="shared" si="1"/>
        <v>Home</v>
      </c>
      <c r="F67" s="3">
        <f t="shared" si="2"/>
        <v>2</v>
      </c>
      <c r="G67" s="3">
        <f t="shared" si="3"/>
        <v>6</v>
      </c>
      <c r="H67" s="3">
        <f t="shared" ref="H67:H74" si="6">F67+G67</f>
        <v>8</v>
      </c>
      <c r="I67" s="3" t="str">
        <f t="shared" si="4"/>
        <v>L</v>
      </c>
    </row>
    <row r="68" spans="1:10" x14ac:dyDescent="0.25">
      <c r="A68" t="s">
        <v>126</v>
      </c>
      <c r="B68" t="s">
        <v>98</v>
      </c>
      <c r="C68" t="s">
        <v>24</v>
      </c>
      <c r="E68" s="1" t="str">
        <f t="shared" ref="E68:E74" si="7">IF(LEFT(B68,1)="@","Away","Home")</f>
        <v>Home</v>
      </c>
      <c r="F68" s="3">
        <f t="shared" ref="F68:F74" si="8">_xlfn.NUMBERVALUE(MID(LEFT(C68,FIND("-",C68)-1),FIND(" ",C68)+1,LEN(C68)))</f>
        <v>10</v>
      </c>
      <c r="G68" s="3">
        <f t="shared" ref="G68:G74" si="9">_xlfn.NUMBERVALUE(RIGHT(C68,LEN(C68)-FIND("-",C68)))</f>
        <v>5</v>
      </c>
      <c r="H68" s="3">
        <f t="shared" si="6"/>
        <v>15</v>
      </c>
      <c r="I68" s="3" t="str">
        <f t="shared" ref="I68:I74" si="10">LEFT(C68,1)</f>
        <v>W</v>
      </c>
    </row>
    <row r="69" spans="1:10" x14ac:dyDescent="0.25">
      <c r="A69" t="s">
        <v>126</v>
      </c>
      <c r="B69" t="s">
        <v>98</v>
      </c>
      <c r="C69" t="s">
        <v>270</v>
      </c>
      <c r="E69" s="1" t="str">
        <f t="shared" si="7"/>
        <v>Home</v>
      </c>
      <c r="F69" s="3">
        <f t="shared" si="8"/>
        <v>4</v>
      </c>
      <c r="G69" s="3">
        <f t="shared" si="9"/>
        <v>3</v>
      </c>
      <c r="H69" s="3">
        <f t="shared" si="6"/>
        <v>7</v>
      </c>
      <c r="I69" s="3" t="str">
        <f t="shared" si="10"/>
        <v>W</v>
      </c>
    </row>
    <row r="70" spans="1:10" x14ac:dyDescent="0.25">
      <c r="A70" t="s">
        <v>127</v>
      </c>
      <c r="B70" t="s">
        <v>98</v>
      </c>
      <c r="C70" t="s">
        <v>372</v>
      </c>
      <c r="E70" s="1" t="str">
        <f t="shared" si="7"/>
        <v>Home</v>
      </c>
      <c r="F70" s="3">
        <f t="shared" si="8"/>
        <v>9</v>
      </c>
      <c r="G70" s="3">
        <f t="shared" si="9"/>
        <v>1</v>
      </c>
      <c r="H70" s="3">
        <f t="shared" si="6"/>
        <v>10</v>
      </c>
      <c r="I70" s="3" t="str">
        <f t="shared" si="10"/>
        <v>W</v>
      </c>
    </row>
    <row r="71" spans="1:10" x14ac:dyDescent="0.25">
      <c r="A71" t="s">
        <v>129</v>
      </c>
      <c r="B71" t="s">
        <v>315</v>
      </c>
      <c r="C71" t="s">
        <v>106</v>
      </c>
      <c r="E71" s="1" t="str">
        <f t="shared" si="7"/>
        <v>Away</v>
      </c>
      <c r="F71" s="3">
        <f t="shared" si="8"/>
        <v>12</v>
      </c>
      <c r="G71" s="3">
        <f t="shared" si="9"/>
        <v>5</v>
      </c>
      <c r="H71" s="3">
        <f t="shared" si="6"/>
        <v>17</v>
      </c>
      <c r="I71" s="3" t="str">
        <f t="shared" si="10"/>
        <v>W</v>
      </c>
    </row>
    <row r="72" spans="1:10" x14ac:dyDescent="0.25">
      <c r="A72" t="s">
        <v>131</v>
      </c>
      <c r="B72" t="s">
        <v>315</v>
      </c>
      <c r="C72" t="s">
        <v>50</v>
      </c>
      <c r="E72" s="1" t="str">
        <f t="shared" si="7"/>
        <v>Away</v>
      </c>
      <c r="F72" s="3">
        <f t="shared" si="8"/>
        <v>3</v>
      </c>
      <c r="G72" s="3">
        <f t="shared" si="9"/>
        <v>4</v>
      </c>
      <c r="H72" s="3">
        <f t="shared" si="6"/>
        <v>7</v>
      </c>
      <c r="I72" s="3" t="str">
        <f t="shared" si="10"/>
        <v>L</v>
      </c>
    </row>
    <row r="73" spans="1:10" x14ac:dyDescent="0.25">
      <c r="A73" t="s">
        <v>133</v>
      </c>
      <c r="B73" t="s">
        <v>333</v>
      </c>
      <c r="C73" t="s">
        <v>373</v>
      </c>
      <c r="E73" s="1" t="str">
        <f t="shared" si="7"/>
        <v>Home</v>
      </c>
      <c r="F73" s="3">
        <f t="shared" si="8"/>
        <v>11</v>
      </c>
      <c r="G73" s="3">
        <f t="shared" si="9"/>
        <v>1</v>
      </c>
      <c r="H73" s="3">
        <f t="shared" si="6"/>
        <v>12</v>
      </c>
      <c r="I73" s="3" t="str">
        <f t="shared" si="10"/>
        <v>W</v>
      </c>
    </row>
    <row r="74" spans="1:10" x14ac:dyDescent="0.25">
      <c r="A74" t="s">
        <v>134</v>
      </c>
      <c r="B74" t="s">
        <v>333</v>
      </c>
      <c r="C74" t="s">
        <v>391</v>
      </c>
      <c r="E74" s="1" t="str">
        <f t="shared" si="7"/>
        <v>Home</v>
      </c>
      <c r="F74" s="3">
        <f t="shared" si="8"/>
        <v>11</v>
      </c>
      <c r="G74" s="3">
        <f t="shared" si="9"/>
        <v>5</v>
      </c>
      <c r="H74" s="3">
        <f t="shared" si="6"/>
        <v>16</v>
      </c>
      <c r="I74" s="3" t="str">
        <f t="shared" si="10"/>
        <v>W</v>
      </c>
    </row>
    <row r="76" spans="1:10" x14ac:dyDescent="0.25">
      <c r="A76" t="s">
        <v>1</v>
      </c>
      <c r="B76" t="s">
        <v>2</v>
      </c>
      <c r="C76" t="s">
        <v>469</v>
      </c>
      <c r="D76" t="s">
        <v>135</v>
      </c>
      <c r="E76" t="s">
        <v>136</v>
      </c>
      <c r="F76" t="s">
        <v>137</v>
      </c>
      <c r="G76" t="s">
        <v>138</v>
      </c>
      <c r="H76" t="s">
        <v>3</v>
      </c>
      <c r="I76" t="s">
        <v>494</v>
      </c>
      <c r="J76" t="s">
        <v>495</v>
      </c>
    </row>
    <row r="77" spans="1:10" x14ac:dyDescent="0.25">
      <c r="A77" t="s">
        <v>448</v>
      </c>
      <c r="B77" t="s">
        <v>314</v>
      </c>
      <c r="C77" t="s">
        <v>226</v>
      </c>
      <c r="D77" t="str">
        <f>IF(LEFT(Table13[[#This Row],[Opponent]],1)="@","Away","Home")</f>
        <v>Home</v>
      </c>
      <c r="E77">
        <f>_xlfn.NUMBERVALUE(MID(LEFT(Table13[[#This Row],[Score]],FIND("-",Table13[[#This Row],[Score]])-1),FIND(" ",Table13[[#This Row],[Score]])+1,LEN(Table13[[#This Row],[Score]])))</f>
        <v>3</v>
      </c>
      <c r="F77">
        <f>_xlfn.NUMBERVALUE(RIGHT(Table13[[#This Row],[Score]],LEN(Table13[[#This Row],[Score]])-FIND("-",Table13[[#This Row],[Score]])))</f>
        <v>2</v>
      </c>
      <c r="G77">
        <f t="shared" ref="G77" si="11">E77+F77</f>
        <v>5</v>
      </c>
      <c r="H77" t="str">
        <f>LEFT(Table13[[#This Row],[Score]],1)</f>
        <v>W</v>
      </c>
      <c r="I77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77" s="33">
        <f>VLOOKUP(Table13[[#This Row],[OPP]],Raw!$L$2:$S$23,7,FALSE)-Raw!$U$2</f>
        <v>0.13556883576803896</v>
      </c>
    </row>
    <row r="78" spans="1:10" x14ac:dyDescent="0.25">
      <c r="A78" t="s">
        <v>449</v>
      </c>
      <c r="B78" t="s">
        <v>314</v>
      </c>
      <c r="C78" t="s">
        <v>270</v>
      </c>
      <c r="D78" t="str">
        <f>IF(LEFT(Table13[[#This Row],[Opponent]],1)="@","Away","Home")</f>
        <v>Home</v>
      </c>
      <c r="E78">
        <f>_xlfn.NUMBERVALUE(MID(LEFT(Table13[[#This Row],[Score]],FIND("-",Table13[[#This Row],[Score]])-1),FIND(" ",Table13[[#This Row],[Score]])+1,LEN(Table13[[#This Row],[Score]])))</f>
        <v>4</v>
      </c>
      <c r="F78">
        <f>_xlfn.NUMBERVALUE(RIGHT(Table13[[#This Row],[Score]],LEN(Table13[[#This Row],[Score]])-FIND("-",Table13[[#This Row],[Score]])))</f>
        <v>3</v>
      </c>
      <c r="G78">
        <f t="shared" ref="G78:G99" si="12">E78+F78</f>
        <v>7</v>
      </c>
      <c r="H78" t="str">
        <f>LEFT(Table13[[#This Row],[Score]],1)</f>
        <v>W</v>
      </c>
      <c r="I78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78" s="33">
        <f>VLOOKUP(Table13[[#This Row],[OPP]],Raw!$L$2:$S$23,7,FALSE)-Raw!$U$2</f>
        <v>0.13556883576803896</v>
      </c>
    </row>
    <row r="79" spans="1:10" x14ac:dyDescent="0.25">
      <c r="A79" t="s">
        <v>450</v>
      </c>
      <c r="B79" t="s">
        <v>124</v>
      </c>
      <c r="C79" t="s">
        <v>322</v>
      </c>
      <c r="D79" t="str">
        <f>IF(LEFT(Table13[[#This Row],[Opponent]],1)="@","Away","Home")</f>
        <v>Away</v>
      </c>
      <c r="E79">
        <f>_xlfn.NUMBERVALUE(MID(LEFT(Table13[[#This Row],[Score]],FIND("-",Table13[[#This Row],[Score]])-1),FIND(" ",Table13[[#This Row],[Score]])+1,LEN(Table13[[#This Row],[Score]])))</f>
        <v>6</v>
      </c>
      <c r="F79">
        <f>_xlfn.NUMBERVALUE(RIGHT(Table13[[#This Row],[Score]],LEN(Table13[[#This Row],[Score]])-FIND("-",Table13[[#This Row],[Score]])))</f>
        <v>7</v>
      </c>
      <c r="G79">
        <f t="shared" si="12"/>
        <v>13</v>
      </c>
      <c r="H79" t="str">
        <f>LEFT(Table13[[#This Row],[Score]],1)</f>
        <v>L</v>
      </c>
      <c r="I79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79" s="33">
        <f>VLOOKUP(Table13[[#This Row],[OPP]],Raw!$L$2:$S$23,7,FALSE)-Raw!$U$2</f>
        <v>2.7744577246569277</v>
      </c>
    </row>
    <row r="80" spans="1:10" x14ac:dyDescent="0.25">
      <c r="A80" t="s">
        <v>451</v>
      </c>
      <c r="B80" t="s">
        <v>124</v>
      </c>
      <c r="C80" t="s">
        <v>46</v>
      </c>
      <c r="D80" t="str">
        <f>IF(LEFT(Table13[[#This Row],[Opponent]],1)="@","Away","Home")</f>
        <v>Away</v>
      </c>
      <c r="E80">
        <f>_xlfn.NUMBERVALUE(MID(LEFT(Table13[[#This Row],[Score]],FIND("-",Table13[[#This Row],[Score]])-1),FIND(" ",Table13[[#This Row],[Score]])+1,LEN(Table13[[#This Row],[Score]])))</f>
        <v>6</v>
      </c>
      <c r="F80">
        <f>_xlfn.NUMBERVALUE(RIGHT(Table13[[#This Row],[Score]],LEN(Table13[[#This Row],[Score]])-FIND("-",Table13[[#This Row],[Score]])))</f>
        <v>8</v>
      </c>
      <c r="G80">
        <f t="shared" si="12"/>
        <v>14</v>
      </c>
      <c r="H80" t="str">
        <f>LEFT(Table13[[#This Row],[Score]],1)</f>
        <v>L</v>
      </c>
      <c r="I80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80" s="33">
        <f>VLOOKUP(Table13[[#This Row],[OPP]],Raw!$L$2:$S$23,7,FALSE)-Raw!$U$2</f>
        <v>2.7744577246569277</v>
      </c>
    </row>
    <row r="81" spans="1:10" x14ac:dyDescent="0.25">
      <c r="A81" t="s">
        <v>453</v>
      </c>
      <c r="B81" t="s">
        <v>333</v>
      </c>
      <c r="C81" t="s">
        <v>113</v>
      </c>
      <c r="D81" t="str">
        <f>IF(LEFT(Table13[[#This Row],[Opponent]],1)="@","Away","Home")</f>
        <v>Home</v>
      </c>
      <c r="E81">
        <f>_xlfn.NUMBERVALUE(MID(LEFT(Table13[[#This Row],[Score]],FIND("-",Table13[[#This Row],[Score]])-1),FIND(" ",Table13[[#This Row],[Score]])+1,LEN(Table13[[#This Row],[Score]])))</f>
        <v>7</v>
      </c>
      <c r="F81">
        <f>_xlfn.NUMBERVALUE(RIGHT(Table13[[#This Row],[Score]],LEN(Table13[[#This Row],[Score]])-FIND("-",Table13[[#This Row],[Score]])))</f>
        <v>9</v>
      </c>
      <c r="G81">
        <f t="shared" si="12"/>
        <v>16</v>
      </c>
      <c r="H81" t="str">
        <f>LEFT(Table13[[#This Row],[Score]],1)</f>
        <v>L</v>
      </c>
      <c r="I81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81" s="33">
        <f>VLOOKUP(Table13[[#This Row],[OPP]],Raw!$L$2:$S$23,7,FALSE)-Raw!$U$2</f>
        <v>0.7572433271608402</v>
      </c>
    </row>
    <row r="82" spans="1:10" x14ac:dyDescent="0.25">
      <c r="A82" t="s">
        <v>454</v>
      </c>
      <c r="B82" t="s">
        <v>332</v>
      </c>
      <c r="C82" t="s">
        <v>33</v>
      </c>
      <c r="D82" t="str">
        <f>IF(LEFT(Table13[[#This Row],[Opponent]],1)="@","Away","Home")</f>
        <v>Away</v>
      </c>
      <c r="E82">
        <f>_xlfn.NUMBERVALUE(MID(LEFT(Table13[[#This Row],[Score]],FIND("-",Table13[[#This Row],[Score]])-1),FIND(" ",Table13[[#This Row],[Score]])+1,LEN(Table13[[#This Row],[Score]])))</f>
        <v>7</v>
      </c>
      <c r="F82">
        <f>_xlfn.NUMBERVALUE(RIGHT(Table13[[#This Row],[Score]],LEN(Table13[[#This Row],[Score]])-FIND("-",Table13[[#This Row],[Score]])))</f>
        <v>4</v>
      </c>
      <c r="G82">
        <f t="shared" si="12"/>
        <v>11</v>
      </c>
      <c r="H82" t="str">
        <f>LEFT(Table13[[#This Row],[Score]],1)</f>
        <v>W</v>
      </c>
      <c r="I82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82" s="33">
        <f>VLOOKUP(Table13[[#This Row],[OPP]],Raw!$L$2:$S$23,7,FALSE)-Raw!$U$2</f>
        <v>0.7572433271608402</v>
      </c>
    </row>
    <row r="83" spans="1:10" x14ac:dyDescent="0.25">
      <c r="A83" t="s">
        <v>455</v>
      </c>
      <c r="B83" t="s">
        <v>115</v>
      </c>
      <c r="C83" t="s">
        <v>373</v>
      </c>
      <c r="D83" t="str">
        <f>IF(LEFT(Table13[[#This Row],[Opponent]],1)="@","Away","Home")</f>
        <v>Away</v>
      </c>
      <c r="E83">
        <f>_xlfn.NUMBERVALUE(MID(LEFT(Table13[[#This Row],[Score]],FIND("-",Table13[[#This Row],[Score]])-1),FIND(" ",Table13[[#This Row],[Score]])+1,LEN(Table13[[#This Row],[Score]])))</f>
        <v>11</v>
      </c>
      <c r="F83">
        <f>_xlfn.NUMBERVALUE(RIGHT(Table13[[#This Row],[Score]],LEN(Table13[[#This Row],[Score]])-FIND("-",Table13[[#This Row],[Score]])))</f>
        <v>1</v>
      </c>
      <c r="G83">
        <f t="shared" si="12"/>
        <v>12</v>
      </c>
      <c r="H83" t="str">
        <f>LEFT(Table13[[#This Row],[Score]],1)</f>
        <v>W</v>
      </c>
      <c r="I83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83" s="33">
        <f>VLOOKUP(Table13[[#This Row],[OPP]],Raw!$L$2:$S$23,7,FALSE)-Raw!$U$2</f>
        <v>-1.4060978308986276</v>
      </c>
    </row>
    <row r="84" spans="1:10" x14ac:dyDescent="0.25">
      <c r="A84" t="s">
        <v>456</v>
      </c>
      <c r="B84" t="s">
        <v>98</v>
      </c>
      <c r="C84" t="s">
        <v>234</v>
      </c>
      <c r="D84" t="str">
        <f>IF(LEFT(Table13[[#This Row],[Opponent]],1)="@","Away","Home")</f>
        <v>Home</v>
      </c>
      <c r="E84">
        <f>_xlfn.NUMBERVALUE(MID(LEFT(Table13[[#This Row],[Score]],FIND("-",Table13[[#This Row],[Score]])-1),FIND(" ",Table13[[#This Row],[Score]])+1,LEN(Table13[[#This Row],[Score]])))</f>
        <v>2</v>
      </c>
      <c r="F84">
        <f>_xlfn.NUMBERVALUE(RIGHT(Table13[[#This Row],[Score]],LEN(Table13[[#This Row],[Score]])-FIND("-",Table13[[#This Row],[Score]])))</f>
        <v>5</v>
      </c>
      <c r="G84">
        <f t="shared" si="12"/>
        <v>7</v>
      </c>
      <c r="H84" t="str">
        <f>LEFT(Table13[[#This Row],[Score]],1)</f>
        <v>L</v>
      </c>
      <c r="I84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84" s="33">
        <f>VLOOKUP(Table13[[#This Row],[OPP]],Raw!$L$2:$S$23,7,FALSE)-Raw!$U$2</f>
        <v>-1.4060978308986276</v>
      </c>
    </row>
    <row r="85" spans="1:10" x14ac:dyDescent="0.25">
      <c r="A85" t="s">
        <v>470</v>
      </c>
      <c r="B85" t="s">
        <v>314</v>
      </c>
      <c r="C85" t="s">
        <v>259</v>
      </c>
      <c r="D85" t="str">
        <f>IF(LEFT(Table13[[#This Row],[Opponent]],1)="@","Away","Home")</f>
        <v>Home</v>
      </c>
      <c r="E85">
        <f>_xlfn.NUMBERVALUE(MID(LEFT(Table13[[#This Row],[Score]],FIND("-",Table13[[#This Row],[Score]])-1),FIND(" ",Table13[[#This Row],[Score]])+1,LEN(Table13[[#This Row],[Score]])))</f>
        <v>0</v>
      </c>
      <c r="F85">
        <f>_xlfn.NUMBERVALUE(RIGHT(Table13[[#This Row],[Score]],LEN(Table13[[#This Row],[Score]])-FIND("-",Table13[[#This Row],[Score]])))</f>
        <v>5</v>
      </c>
      <c r="G85">
        <f t="shared" si="12"/>
        <v>5</v>
      </c>
      <c r="H85" t="str">
        <f>LEFT(Table13[[#This Row],[Score]],1)</f>
        <v>L</v>
      </c>
      <c r="I85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85" s="33">
        <f>VLOOKUP(Table13[[#This Row],[OPP]],Raw!$L$2:$S$23,7,FALSE)-Raw!$U$2</f>
        <v>0.13556883576803896</v>
      </c>
    </row>
    <row r="86" spans="1:10" x14ac:dyDescent="0.25">
      <c r="A86" t="s">
        <v>457</v>
      </c>
      <c r="B86" t="s">
        <v>315</v>
      </c>
      <c r="C86" t="s">
        <v>85</v>
      </c>
      <c r="D86" t="str">
        <f>IF(LEFT(Table13[[#This Row],[Opponent]],1)="@","Away","Home")</f>
        <v>Away</v>
      </c>
      <c r="E86">
        <f>_xlfn.NUMBERVALUE(MID(LEFT(Table13[[#This Row],[Score]],FIND("-",Table13[[#This Row],[Score]])-1),FIND(" ",Table13[[#This Row],[Score]])+1,LEN(Table13[[#This Row],[Score]])))</f>
        <v>5</v>
      </c>
      <c r="F86">
        <f>_xlfn.NUMBERVALUE(RIGHT(Table13[[#This Row],[Score]],LEN(Table13[[#This Row],[Score]])-FIND("-",Table13[[#This Row],[Score]])))</f>
        <v>3</v>
      </c>
      <c r="G86">
        <f t="shared" si="12"/>
        <v>8</v>
      </c>
      <c r="H86" t="str">
        <f>LEFT(Table13[[#This Row],[Score]],1)</f>
        <v>W</v>
      </c>
      <c r="I86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86" s="33">
        <f>VLOOKUP(Table13[[#This Row],[OPP]],Raw!$L$2:$S$23,7,FALSE)-Raw!$U$2</f>
        <v>0.13556883576803896</v>
      </c>
    </row>
    <row r="87" spans="1:10" x14ac:dyDescent="0.25">
      <c r="A87" t="s">
        <v>458</v>
      </c>
      <c r="B87" t="s">
        <v>74</v>
      </c>
      <c r="C87" t="s">
        <v>89</v>
      </c>
      <c r="D87" t="str">
        <f>IF(LEFT(Table13[[#This Row],[Opponent]],1)="@","Away","Home")</f>
        <v>Home</v>
      </c>
      <c r="E87">
        <f>_xlfn.NUMBERVALUE(MID(LEFT(Table13[[#This Row],[Score]],FIND("-",Table13[[#This Row],[Score]])-1),FIND(" ",Table13[[#This Row],[Score]])+1,LEN(Table13[[#This Row],[Score]])))</f>
        <v>1</v>
      </c>
      <c r="F87">
        <f>_xlfn.NUMBERVALUE(RIGHT(Table13[[#This Row],[Score]],LEN(Table13[[#This Row],[Score]])-FIND("-",Table13[[#This Row],[Score]])))</f>
        <v>6</v>
      </c>
      <c r="G87">
        <f t="shared" si="12"/>
        <v>7</v>
      </c>
      <c r="H87" t="str">
        <f>LEFT(Table13[[#This Row],[Score]],1)</f>
        <v>L</v>
      </c>
      <c r="I87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87" s="33">
        <f>VLOOKUP(Table13[[#This Row],[OPP]],Raw!$L$2:$S$23,7,FALSE)-Raw!$U$2</f>
        <v>0.17977853842844585</v>
      </c>
    </row>
    <row r="88" spans="1:10" x14ac:dyDescent="0.25">
      <c r="A88" t="s">
        <v>459</v>
      </c>
      <c r="B88" t="s">
        <v>74</v>
      </c>
      <c r="C88" t="s">
        <v>270</v>
      </c>
      <c r="D88" t="str">
        <f>IF(LEFT(Table13[[#This Row],[Opponent]],1)="@","Away","Home")</f>
        <v>Home</v>
      </c>
      <c r="E88">
        <f>_xlfn.NUMBERVALUE(MID(LEFT(Table13[[#This Row],[Score]],FIND("-",Table13[[#This Row],[Score]])-1),FIND(" ",Table13[[#This Row],[Score]])+1,LEN(Table13[[#This Row],[Score]])))</f>
        <v>4</v>
      </c>
      <c r="F88">
        <f>_xlfn.NUMBERVALUE(RIGHT(Table13[[#This Row],[Score]],LEN(Table13[[#This Row],[Score]])-FIND("-",Table13[[#This Row],[Score]])))</f>
        <v>3</v>
      </c>
      <c r="G88">
        <f t="shared" si="12"/>
        <v>7</v>
      </c>
      <c r="H88" t="str">
        <f>LEFT(Table13[[#This Row],[Score]],1)</f>
        <v>W</v>
      </c>
      <c r="I88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88" s="33">
        <f>VLOOKUP(Table13[[#This Row],[OPP]],Raw!$L$2:$S$23,7,FALSE)-Raw!$U$2</f>
        <v>0.17977853842844585</v>
      </c>
    </row>
    <row r="89" spans="1:10" x14ac:dyDescent="0.25">
      <c r="A89" t="s">
        <v>460</v>
      </c>
      <c r="B89" t="s">
        <v>10</v>
      </c>
      <c r="C89" t="s">
        <v>21</v>
      </c>
      <c r="D89" t="str">
        <f>IF(LEFT(Table13[[#This Row],[Opponent]],1)="@","Away","Home")</f>
        <v>Away</v>
      </c>
      <c r="E89">
        <f>_xlfn.NUMBERVALUE(MID(LEFT(Table13[[#This Row],[Score]],FIND("-",Table13[[#This Row],[Score]])-1),FIND(" ",Table13[[#This Row],[Score]])+1,LEN(Table13[[#This Row],[Score]])))</f>
        <v>6</v>
      </c>
      <c r="F89">
        <f>_xlfn.NUMBERVALUE(RIGHT(Table13[[#This Row],[Score]],LEN(Table13[[#This Row],[Score]])-FIND("-",Table13[[#This Row],[Score]])))</f>
        <v>1</v>
      </c>
      <c r="G89">
        <f t="shared" si="12"/>
        <v>7</v>
      </c>
      <c r="H89" t="str">
        <f>LEFT(Table13[[#This Row],[Score]],1)</f>
        <v>W</v>
      </c>
      <c r="I89" s="17" t="str">
        <f>VLOOKUP(IF(Table13[[#This Row],[At]]="Home",Table13[[#This Row],[Opponent]],RIGHT(Table13[[#This Row],[Opponent]],LEN(Table13[[#This Row],[Opponent]])-1)),CHOOSE({1,2},[1]StandingsRAW!$J$1:$J$22,[1]StandingsRAW!$L$1:$L$22),2,FALSE)</f>
        <v>KMO</v>
      </c>
      <c r="J89" s="33">
        <f>VLOOKUP(Table13[[#This Row],[OPP]],Raw!$L$2:$S$23,7,FALSE)-Raw!$U$2</f>
        <v>-3.1019116024166244</v>
      </c>
    </row>
    <row r="90" spans="1:10" x14ac:dyDescent="0.25">
      <c r="A90" t="s">
        <v>471</v>
      </c>
      <c r="B90" t="s">
        <v>10</v>
      </c>
      <c r="C90" t="s">
        <v>220</v>
      </c>
      <c r="D90" t="str">
        <f>IF(LEFT(Table13[[#This Row],[Opponent]],1)="@","Away","Home")</f>
        <v>Away</v>
      </c>
      <c r="E90">
        <f>_xlfn.NUMBERVALUE(MID(LEFT(Table13[[#This Row],[Score]],FIND("-",Table13[[#This Row],[Score]])-1),FIND(" ",Table13[[#This Row],[Score]])+1,LEN(Table13[[#This Row],[Score]])))</f>
        <v>12</v>
      </c>
      <c r="F90">
        <f>_xlfn.NUMBERVALUE(RIGHT(Table13[[#This Row],[Score]],LEN(Table13[[#This Row],[Score]])-FIND("-",Table13[[#This Row],[Score]])))</f>
        <v>8</v>
      </c>
      <c r="G90">
        <f t="shared" si="12"/>
        <v>20</v>
      </c>
      <c r="H90" t="str">
        <f>LEFT(Table13[[#This Row],[Score]],1)</f>
        <v>W</v>
      </c>
      <c r="I90" s="17" t="str">
        <f>VLOOKUP(IF(Table13[[#This Row],[At]]="Home",Table13[[#This Row],[Opponent]],RIGHT(Table13[[#This Row],[Opponent]],LEN(Table13[[#This Row],[Opponent]])-1)),CHOOSE({1,2},[1]StandingsRAW!$J$1:$J$22,[1]StandingsRAW!$L$1:$L$22),2,FALSE)</f>
        <v>KMO</v>
      </c>
      <c r="J90" s="33">
        <f>VLOOKUP(Table13[[#This Row],[OPP]],Raw!$L$2:$S$23,7,FALSE)-Raw!$U$2</f>
        <v>-3.1019116024166244</v>
      </c>
    </row>
    <row r="91" spans="1:10" x14ac:dyDescent="0.25">
      <c r="A91" t="s">
        <v>461</v>
      </c>
      <c r="B91" t="s">
        <v>315</v>
      </c>
      <c r="C91" t="s">
        <v>482</v>
      </c>
      <c r="D91" t="str">
        <f>IF(LEFT(Table13[[#This Row],[Opponent]],1)="@","Away","Home")</f>
        <v>Away</v>
      </c>
      <c r="E91">
        <f>_xlfn.NUMBERVALUE(MID(LEFT(Table13[[#This Row],[Score]],FIND("-",Table13[[#This Row],[Score]])-1),FIND(" ",Table13[[#This Row],[Score]])+1,LEN(Table13[[#This Row],[Score]])))</f>
        <v>14</v>
      </c>
      <c r="F91">
        <f>_xlfn.NUMBERVALUE(RIGHT(Table13[[#This Row],[Score]],LEN(Table13[[#This Row],[Score]])-FIND("-",Table13[[#This Row],[Score]])))</f>
        <v>16</v>
      </c>
      <c r="G91">
        <f t="shared" si="12"/>
        <v>30</v>
      </c>
      <c r="H91" t="str">
        <f>LEFT(Table13[[#This Row],[Score]],1)</f>
        <v>L</v>
      </c>
      <c r="I91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91" s="33">
        <f>VLOOKUP(Table13[[#This Row],[OPP]],Raw!$L$2:$S$23,7,FALSE)-Raw!$U$2</f>
        <v>0.13556883576803896</v>
      </c>
    </row>
    <row r="92" spans="1:10" x14ac:dyDescent="0.25">
      <c r="A92" t="s">
        <v>462</v>
      </c>
      <c r="B92" t="s">
        <v>315</v>
      </c>
      <c r="C92" t="s">
        <v>197</v>
      </c>
      <c r="D92" t="str">
        <f>IF(LEFT(Table13[[#This Row],[Opponent]],1)="@","Away","Home")</f>
        <v>Away</v>
      </c>
      <c r="E92">
        <f>_xlfn.NUMBERVALUE(MID(LEFT(Table13[[#This Row],[Score]],FIND("-",Table13[[#This Row],[Score]])-1),FIND(" ",Table13[[#This Row],[Score]])+1,LEN(Table13[[#This Row],[Score]])))</f>
        <v>0</v>
      </c>
      <c r="F92">
        <f>_xlfn.NUMBERVALUE(RIGHT(Table13[[#This Row],[Score]],LEN(Table13[[#This Row],[Score]])-FIND("-",Table13[[#This Row],[Score]])))</f>
        <v>1</v>
      </c>
      <c r="G92">
        <f t="shared" si="12"/>
        <v>1</v>
      </c>
      <c r="H92" t="str">
        <f>LEFT(Table13[[#This Row],[Score]],1)</f>
        <v>L</v>
      </c>
      <c r="I92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92" s="33">
        <f>VLOOKUP(Table13[[#This Row],[OPP]],Raw!$L$2:$S$23,7,FALSE)-Raw!$U$2</f>
        <v>0.13556883576803896</v>
      </c>
    </row>
    <row r="93" spans="1:10" x14ac:dyDescent="0.25">
      <c r="A93" t="s">
        <v>463</v>
      </c>
      <c r="B93" t="s">
        <v>333</v>
      </c>
      <c r="C93" t="s">
        <v>265</v>
      </c>
      <c r="D93" t="str">
        <f>IF(LEFT(Table13[[#This Row],[Opponent]],1)="@","Away","Home")</f>
        <v>Home</v>
      </c>
      <c r="E93">
        <f>_xlfn.NUMBERVALUE(MID(LEFT(Table13[[#This Row],[Score]],FIND("-",Table13[[#This Row],[Score]])-1),FIND(" ",Table13[[#This Row],[Score]])+1,LEN(Table13[[#This Row],[Score]])))</f>
        <v>2</v>
      </c>
      <c r="F93">
        <f>_xlfn.NUMBERVALUE(RIGHT(Table13[[#This Row],[Score]],LEN(Table13[[#This Row],[Score]])-FIND("-",Table13[[#This Row],[Score]])))</f>
        <v>15</v>
      </c>
      <c r="G93">
        <f t="shared" si="12"/>
        <v>17</v>
      </c>
      <c r="H93" t="str">
        <f>LEFT(Table13[[#This Row],[Score]],1)</f>
        <v>L</v>
      </c>
      <c r="I93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93" s="33">
        <f>VLOOKUP(Table13[[#This Row],[OPP]],Raw!$L$2:$S$23,7,FALSE)-Raw!$U$2</f>
        <v>0.7572433271608402</v>
      </c>
    </row>
    <row r="94" spans="1:10" x14ac:dyDescent="0.25">
      <c r="A94" t="s">
        <v>463</v>
      </c>
      <c r="B94" t="s">
        <v>333</v>
      </c>
      <c r="C94" t="s">
        <v>349</v>
      </c>
      <c r="D94" t="str">
        <f>IF(LEFT(Table13[[#This Row],[Opponent]],1)="@","Away","Home")</f>
        <v>Home</v>
      </c>
      <c r="E94">
        <f>_xlfn.NUMBERVALUE(MID(LEFT(Table13[[#This Row],[Score]],FIND("-",Table13[[#This Row],[Score]])-1),FIND(" ",Table13[[#This Row],[Score]])+1,LEN(Table13[[#This Row],[Score]])))</f>
        <v>12</v>
      </c>
      <c r="F94">
        <f>_xlfn.NUMBERVALUE(RIGHT(Table13[[#This Row],[Score]],LEN(Table13[[#This Row],[Score]])-FIND("-",Table13[[#This Row],[Score]])))</f>
        <v>2</v>
      </c>
      <c r="G94">
        <f t="shared" si="12"/>
        <v>14</v>
      </c>
      <c r="H94" t="str">
        <f>LEFT(Table13[[#This Row],[Score]],1)</f>
        <v>W</v>
      </c>
      <c r="I94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94" s="33">
        <f>VLOOKUP(Table13[[#This Row],[OPP]],Raw!$L$2:$S$23,7,FALSE)-Raw!$U$2</f>
        <v>0.7572433271608402</v>
      </c>
    </row>
    <row r="95" spans="1:10" x14ac:dyDescent="0.25">
      <c r="A95" t="s">
        <v>464</v>
      </c>
      <c r="B95" t="s">
        <v>103</v>
      </c>
      <c r="C95" t="s">
        <v>99</v>
      </c>
      <c r="D95" t="str">
        <f>IF(LEFT(Table13[[#This Row],[Opponent]],1)="@","Away","Home")</f>
        <v>Home</v>
      </c>
      <c r="E95">
        <f>_xlfn.NUMBERVALUE(MID(LEFT(Table13[[#This Row],[Score]],FIND("-",Table13[[#This Row],[Score]])-1),FIND(" ",Table13[[#This Row],[Score]])+1,LEN(Table13[[#This Row],[Score]])))</f>
        <v>4</v>
      </c>
      <c r="F95">
        <f>_xlfn.NUMBERVALUE(RIGHT(Table13[[#This Row],[Score]],LEN(Table13[[#This Row],[Score]])-FIND("-",Table13[[#This Row],[Score]])))</f>
        <v>12</v>
      </c>
      <c r="G95">
        <f t="shared" si="12"/>
        <v>16</v>
      </c>
      <c r="H95" t="str">
        <f>LEFT(Table13[[#This Row],[Score]],1)</f>
        <v>L</v>
      </c>
      <c r="I95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95" s="33">
        <f>VLOOKUP(Table13[[#This Row],[OPP]],Raw!$L$2:$S$23,7,FALSE)-Raw!$U$2</f>
        <v>2.7744577246569277</v>
      </c>
    </row>
    <row r="96" spans="1:10" x14ac:dyDescent="0.25">
      <c r="A96" t="s">
        <v>465</v>
      </c>
      <c r="B96" t="s">
        <v>124</v>
      </c>
      <c r="C96" t="s">
        <v>50</v>
      </c>
      <c r="D96" t="str">
        <f>IF(LEFT(Table13[[#This Row],[Opponent]],1)="@","Away","Home")</f>
        <v>Away</v>
      </c>
      <c r="E96">
        <f>_xlfn.NUMBERVALUE(MID(LEFT(Table13[[#This Row],[Score]],FIND("-",Table13[[#This Row],[Score]])-1),FIND(" ",Table13[[#This Row],[Score]])+1,LEN(Table13[[#This Row],[Score]])))</f>
        <v>3</v>
      </c>
      <c r="F96">
        <f>_xlfn.NUMBERVALUE(RIGHT(Table13[[#This Row],[Score]],LEN(Table13[[#This Row],[Score]])-FIND("-",Table13[[#This Row],[Score]])))</f>
        <v>4</v>
      </c>
      <c r="G96">
        <f t="shared" si="12"/>
        <v>7</v>
      </c>
      <c r="H96" t="str">
        <f>LEFT(Table13[[#This Row],[Score]],1)</f>
        <v>L</v>
      </c>
      <c r="I96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96" s="33">
        <f>VLOOKUP(Table13[[#This Row],[OPP]],Raw!$L$2:$S$23,7,FALSE)-Raw!$U$2</f>
        <v>2.7744577246569277</v>
      </c>
    </row>
    <row r="97" spans="1:10" x14ac:dyDescent="0.25">
      <c r="A97" t="s">
        <v>466</v>
      </c>
      <c r="B97" t="s">
        <v>333</v>
      </c>
      <c r="C97" t="s">
        <v>50</v>
      </c>
      <c r="D97" t="str">
        <f>IF(LEFT(Table13[[#This Row],[Opponent]],1)="@","Away","Home")</f>
        <v>Home</v>
      </c>
      <c r="E97">
        <f>_xlfn.NUMBERVALUE(MID(LEFT(Table13[[#This Row],[Score]],FIND("-",Table13[[#This Row],[Score]])-1),FIND(" ",Table13[[#This Row],[Score]])+1,LEN(Table13[[#This Row],[Score]])))</f>
        <v>3</v>
      </c>
      <c r="F97">
        <f>_xlfn.NUMBERVALUE(RIGHT(Table13[[#This Row],[Score]],LEN(Table13[[#This Row],[Score]])-FIND("-",Table13[[#This Row],[Score]])))</f>
        <v>4</v>
      </c>
      <c r="G97">
        <f t="shared" si="12"/>
        <v>7</v>
      </c>
      <c r="H97" t="str">
        <f>LEFT(Table13[[#This Row],[Score]],1)</f>
        <v>L</v>
      </c>
      <c r="I97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97" s="33">
        <f>VLOOKUP(Table13[[#This Row],[OPP]],Raw!$L$2:$S$23,7,FALSE)-Raw!$U$2</f>
        <v>0.7572433271608402</v>
      </c>
    </row>
    <row r="98" spans="1:10" x14ac:dyDescent="0.25">
      <c r="A98" t="s">
        <v>467</v>
      </c>
      <c r="B98" t="s">
        <v>332</v>
      </c>
      <c r="C98" t="s">
        <v>329</v>
      </c>
      <c r="D98" t="str">
        <f>IF(LEFT(Table13[[#This Row],[Opponent]],1)="@","Away","Home")</f>
        <v>Away</v>
      </c>
      <c r="E98">
        <f>_xlfn.NUMBERVALUE(MID(LEFT(Table13[[#This Row],[Score]],FIND("-",Table13[[#This Row],[Score]])-1),FIND(" ",Table13[[#This Row],[Score]])+1,LEN(Table13[[#This Row],[Score]])))</f>
        <v>5</v>
      </c>
      <c r="F98">
        <f>_xlfn.NUMBERVALUE(RIGHT(Table13[[#This Row],[Score]],LEN(Table13[[#This Row],[Score]])-FIND("-",Table13[[#This Row],[Score]])))</f>
        <v>2</v>
      </c>
      <c r="G98">
        <f t="shared" si="12"/>
        <v>7</v>
      </c>
      <c r="H98" t="str">
        <f>LEFT(Table13[[#This Row],[Score]],1)</f>
        <v>W</v>
      </c>
      <c r="I98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98" s="33">
        <f>VLOOKUP(Table13[[#This Row],[OPP]],Raw!$L$2:$S$23,7,FALSE)-Raw!$U$2</f>
        <v>0.7572433271608402</v>
      </c>
    </row>
    <row r="99" spans="1:10" x14ac:dyDescent="0.25">
      <c r="A99" t="s">
        <v>468</v>
      </c>
      <c r="B99" t="s">
        <v>74</v>
      </c>
      <c r="C99" t="s">
        <v>320</v>
      </c>
      <c r="D99" t="str">
        <f>IF(LEFT(Table13[[#This Row],[Opponent]],1)="@","Away","Home")</f>
        <v>Home</v>
      </c>
      <c r="E99">
        <f>_xlfn.NUMBERVALUE(MID(LEFT(Table13[[#This Row],[Score]],FIND("-",Table13[[#This Row],[Score]])-1),FIND(" ",Table13[[#This Row],[Score]])+1,LEN(Table13[[#This Row],[Score]])))</f>
        <v>5</v>
      </c>
      <c r="F99">
        <f>_xlfn.NUMBERVALUE(RIGHT(Table13[[#This Row],[Score]],LEN(Table13[[#This Row],[Score]])-FIND("-",Table13[[#This Row],[Score]])))</f>
        <v>1</v>
      </c>
      <c r="G99">
        <f t="shared" si="12"/>
        <v>6</v>
      </c>
      <c r="H99" t="str">
        <f>LEFT(Table13[[#This Row],[Score]],1)</f>
        <v>W</v>
      </c>
      <c r="I99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99" s="33">
        <f>VLOOKUP(Table13[[#This Row],[OPP]],Raw!$L$2:$S$23,7,FALSE)-Raw!$U$2</f>
        <v>0.17977853842844585</v>
      </c>
    </row>
    <row r="100" spans="1:10" x14ac:dyDescent="0.25">
      <c r="A100" t="s">
        <v>498</v>
      </c>
      <c r="B100" t="s">
        <v>120</v>
      </c>
      <c r="C100" t="s">
        <v>284</v>
      </c>
      <c r="D100" t="str">
        <f>IF(LEFT(Table13[[#This Row],[Opponent]],1)="@","Away","Home")</f>
        <v>Away</v>
      </c>
      <c r="E100">
        <f>_xlfn.NUMBERVALUE(MID(LEFT(Table13[[#This Row],[Score]],FIND("-",Table13[[#This Row],[Score]])-1),FIND(" ",Table13[[#This Row],[Score]])+1,LEN(Table13[[#This Row],[Score]])))</f>
        <v>2</v>
      </c>
      <c r="F100">
        <f>_xlfn.NUMBERVALUE(RIGHT(Table13[[#This Row],[Score]],LEN(Table13[[#This Row],[Score]])-FIND("-",Table13[[#This Row],[Score]])))</f>
        <v>13</v>
      </c>
      <c r="G100">
        <f t="shared" ref="G100:G102" si="13">E100+F100</f>
        <v>15</v>
      </c>
      <c r="H100" t="str">
        <f>LEFT(Table13[[#This Row],[Score]],1)</f>
        <v>L</v>
      </c>
      <c r="I100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100" s="33">
        <f>VLOOKUP(Table13[[#This Row],[OPP]],Raw!$L$2:$S$23,7,FALSE)-Raw!$U$2</f>
        <v>0.17977853842844585</v>
      </c>
    </row>
    <row r="101" spans="1:10" x14ac:dyDescent="0.25">
      <c r="A101" t="s">
        <v>499</v>
      </c>
      <c r="B101" t="s">
        <v>343</v>
      </c>
      <c r="C101" t="s">
        <v>255</v>
      </c>
      <c r="D101" t="str">
        <f>IF(LEFT(Table13[[#This Row],[Opponent]],1)="@","Away","Home")</f>
        <v>Home</v>
      </c>
      <c r="E101">
        <f>_xlfn.NUMBERVALUE(MID(LEFT(Table13[[#This Row],[Score]],FIND("-",Table13[[#This Row],[Score]])-1),FIND(" ",Table13[[#This Row],[Score]])+1,LEN(Table13[[#This Row],[Score]])))</f>
        <v>4</v>
      </c>
      <c r="F101">
        <f>_xlfn.NUMBERVALUE(RIGHT(Table13[[#This Row],[Score]],LEN(Table13[[#This Row],[Score]])-FIND("-",Table13[[#This Row],[Score]])))</f>
        <v>10</v>
      </c>
      <c r="G101">
        <f t="shared" si="13"/>
        <v>14</v>
      </c>
      <c r="H101" t="str">
        <f>LEFT(Table13[[#This Row],[Score]],1)</f>
        <v>L</v>
      </c>
      <c r="I101" s="17" t="str">
        <f>VLOOKUP(IF(Table13[[#This Row],[At]]="Home",Table13[[#This Row],[Opponent]],RIGHT(Table13[[#This Row],[Opponent]],LEN(Table13[[#This Row],[Opponent]])-1)),CHOOSE({1,2},[1]StandingsRAW!$J$1:$J$22,[1]StandingsRAW!$L$1:$L$22),2,FALSE)</f>
        <v>BC</v>
      </c>
      <c r="J101" s="33">
        <f>VLOOKUP(Table13[[#This Row],[OPP]],Raw!$L$2:$S$23,7,FALSE)-Raw!$U$2</f>
        <v>-0.61443116423196109</v>
      </c>
    </row>
    <row r="102" spans="1:10" x14ac:dyDescent="0.25">
      <c r="A102" t="s">
        <v>500</v>
      </c>
      <c r="B102" t="s">
        <v>343</v>
      </c>
      <c r="C102" t="s">
        <v>304</v>
      </c>
      <c r="D102" t="str">
        <f>IF(LEFT(Table13[[#This Row],[Opponent]],1)="@","Away","Home")</f>
        <v>Home</v>
      </c>
      <c r="E102">
        <f>_xlfn.NUMBERVALUE(MID(LEFT(Table13[[#This Row],[Score]],FIND("-",Table13[[#This Row],[Score]])-1),FIND(" ",Table13[[#This Row],[Score]])+1,LEN(Table13[[#This Row],[Score]])))</f>
        <v>2</v>
      </c>
      <c r="F102">
        <f>_xlfn.NUMBERVALUE(RIGHT(Table13[[#This Row],[Score]],LEN(Table13[[#This Row],[Score]])-FIND("-",Table13[[#This Row],[Score]])))</f>
        <v>0</v>
      </c>
      <c r="G102">
        <f t="shared" si="13"/>
        <v>2</v>
      </c>
      <c r="H102" t="str">
        <f>LEFT(Table13[[#This Row],[Score]],1)</f>
        <v>W</v>
      </c>
      <c r="I102" s="17" t="str">
        <f>VLOOKUP(IF(Table13[[#This Row],[At]]="Home",Table13[[#This Row],[Opponent]],RIGHT(Table13[[#This Row],[Opponent]],LEN(Table13[[#This Row],[Opponent]])-1)),CHOOSE({1,2},[1]StandingsRAW!$J$1:$J$22,[1]StandingsRAW!$L$1:$L$22),2,FALSE)</f>
        <v>BC</v>
      </c>
      <c r="J102" s="33">
        <f>VLOOKUP(Table13[[#This Row],[OPP]],Raw!$L$2:$S$23,7,FALSE)-Raw!$U$2</f>
        <v>-0.61443116423196109</v>
      </c>
    </row>
    <row r="103" spans="1:10" x14ac:dyDescent="0.25">
      <c r="A103" t="s">
        <v>501</v>
      </c>
      <c r="B103" t="s">
        <v>69</v>
      </c>
      <c r="C103" t="s">
        <v>61</v>
      </c>
      <c r="D103" t="str">
        <f>IF(LEFT(Table13[[#This Row],[Opponent]],1)="@","Away","Home")</f>
        <v>Home</v>
      </c>
      <c r="E103">
        <f>_xlfn.NUMBERVALUE(MID(LEFT(Table13[[#This Row],[Score]],FIND("-",Table13[[#This Row],[Score]])-1),FIND(" ",Table13[[#This Row],[Score]])+1,LEN(Table13[[#This Row],[Score]])))</f>
        <v>7</v>
      </c>
      <c r="F103">
        <f>_xlfn.NUMBERVALUE(RIGHT(Table13[[#This Row],[Score]],LEN(Table13[[#This Row],[Score]])-FIND("-",Table13[[#This Row],[Score]])))</f>
        <v>3</v>
      </c>
      <c r="G103">
        <f t="shared" ref="G103:G104" si="14">E103+F103</f>
        <v>10</v>
      </c>
      <c r="H103" t="str">
        <f>LEFT(Table13[[#This Row],[Score]],1)</f>
        <v>W</v>
      </c>
      <c r="I103" s="17" t="str">
        <f>VLOOKUP(IF(Table13[[#This Row],[At]]="Home",Table13[[#This Row],[Opponent]],RIGHT(Table13[[#This Row],[Opponent]],LEN(Table13[[#This Row],[Opponent]])-1)),CHOOSE({1,2},[1]StandingsRAW!$J$1:$J$22,[1]StandingsRAW!$L$1:$L$22),2,FALSE)</f>
        <v>KMO</v>
      </c>
      <c r="J103" s="33">
        <f>VLOOKUP(Table13[[#This Row],[OPP]],Raw!$L$2:$S$23,7,FALSE)-Raw!$U$2</f>
        <v>-3.1019116024166244</v>
      </c>
    </row>
    <row r="104" spans="1:10" x14ac:dyDescent="0.25">
      <c r="A104" t="s">
        <v>502</v>
      </c>
      <c r="B104" t="s">
        <v>69</v>
      </c>
      <c r="C104" t="s">
        <v>38</v>
      </c>
      <c r="D104" t="str">
        <f>IF(LEFT(Table13[[#This Row],[Opponent]],1)="@","Away","Home")</f>
        <v>Home</v>
      </c>
      <c r="E104">
        <f>_xlfn.NUMBERVALUE(MID(LEFT(Table13[[#This Row],[Score]],FIND("-",Table13[[#This Row],[Score]])-1),FIND(" ",Table13[[#This Row],[Score]])+1,LEN(Table13[[#This Row],[Score]])))</f>
        <v>3</v>
      </c>
      <c r="F104">
        <f>_xlfn.NUMBERVALUE(RIGHT(Table13[[#This Row],[Score]],LEN(Table13[[#This Row],[Score]])-FIND("-",Table13[[#This Row],[Score]])))</f>
        <v>5</v>
      </c>
      <c r="G104">
        <f t="shared" si="14"/>
        <v>8</v>
      </c>
      <c r="H104" t="str">
        <f>LEFT(Table13[[#This Row],[Score]],1)</f>
        <v>L</v>
      </c>
      <c r="I104" s="17" t="str">
        <f>VLOOKUP(IF(Table13[[#This Row],[At]]="Home",Table13[[#This Row],[Opponent]],RIGHT(Table13[[#This Row],[Opponent]],LEN(Table13[[#This Row],[Opponent]])-1)),CHOOSE({1,2},[1]StandingsRAW!$J$1:$J$22,[1]StandingsRAW!$L$1:$L$22),2,FALSE)</f>
        <v>KMO</v>
      </c>
      <c r="J104" s="33">
        <f>VLOOKUP(Table13[[#This Row],[OPP]],Raw!$L$2:$S$23,7,FALSE)-Raw!$U$2</f>
        <v>-3.1019116024166244</v>
      </c>
    </row>
    <row r="105" spans="1:10" x14ac:dyDescent="0.25">
      <c r="A105" t="s">
        <v>505</v>
      </c>
      <c r="B105" t="s">
        <v>58</v>
      </c>
      <c r="C105" t="s">
        <v>361</v>
      </c>
      <c r="D105" t="str">
        <f>IF(LEFT(Table13[[#This Row],[Opponent]],1)="@","Away","Home")</f>
        <v>Away</v>
      </c>
      <c r="E105">
        <f>_xlfn.NUMBERVALUE(MID(LEFT(Table13[[#This Row],[Score]],FIND("-",Table13[[#This Row],[Score]])-1),FIND(" ",Table13[[#This Row],[Score]])+1,LEN(Table13[[#This Row],[Score]])))</f>
        <v>13</v>
      </c>
      <c r="F105">
        <f>_xlfn.NUMBERVALUE(RIGHT(Table13[[#This Row],[Score]],LEN(Table13[[#This Row],[Score]])-FIND("-",Table13[[#This Row],[Score]])))</f>
        <v>7</v>
      </c>
      <c r="G105">
        <f>E105+F105</f>
        <v>20</v>
      </c>
      <c r="H105" t="str">
        <f>LEFT(Table13[[#This Row],[Score]],1)</f>
        <v>W</v>
      </c>
      <c r="I105" s="17" t="str">
        <f>VLOOKUP(IF(Table13[[#This Row],[At]]="Home",Table13[[#This Row],[Opponent]],RIGHT(Table13[[#This Row],[Opponent]],LEN(Table13[[#This Row],[Opponent]])-1)),CHOOSE({1,2},[1]StandingsRAW!$J$1:$J$22,[1]StandingsRAW!$L$1:$L$22),2,FALSE)</f>
        <v>RFD</v>
      </c>
      <c r="J105" s="33">
        <f>VLOOKUP(Table13[[#This Row],[OPP]],Raw!$L$2:$S$23,7,FALSE)-Raw!$U$2</f>
        <v>0.83001328021248344</v>
      </c>
    </row>
    <row r="106" spans="1:10" x14ac:dyDescent="0.25">
      <c r="A106" t="s">
        <v>508</v>
      </c>
      <c r="B106" t="s">
        <v>20</v>
      </c>
      <c r="C106" t="s">
        <v>276</v>
      </c>
      <c r="D106" t="str">
        <f>IF(LEFT(Table13[[#This Row],[Opponent]],1)="@","Away","Home")</f>
        <v>Home</v>
      </c>
      <c r="E106">
        <f>_xlfn.NUMBERVALUE(MID(LEFT(Table13[[#This Row],[Score]],FIND("-",Table13[[#This Row],[Score]])-1),FIND(" ",Table13[[#This Row],[Score]])+1,LEN(Table13[[#This Row],[Score]])))</f>
        <v>2</v>
      </c>
      <c r="F106">
        <f>_xlfn.NUMBERVALUE(RIGHT(Table13[[#This Row],[Score]],LEN(Table13[[#This Row],[Score]])-FIND("-",Table13[[#This Row],[Score]])))</f>
        <v>4</v>
      </c>
      <c r="G106">
        <f t="shared" ref="G106:G108" si="15">E106+F106</f>
        <v>6</v>
      </c>
      <c r="H106" t="str">
        <f>LEFT(Table13[[#This Row],[Score]],1)</f>
        <v>L</v>
      </c>
      <c r="I106" s="17" t="str">
        <f>VLOOKUP(IF(Table13[[#This Row],[At]]="Home",Table13[[#This Row],[Opponent]],RIGHT(Table13[[#This Row],[Opponent]],LEN(Table13[[#This Row],[Opponent]])-1)),CHOOSE({1,2},[1]StandingsRAW!$J$1:$J$22,[1]StandingsRAW!$L$1:$L$22),2,FALSE)</f>
        <v>RFD</v>
      </c>
      <c r="J106" s="33">
        <f>VLOOKUP(Table13[[#This Row],[OPP]],Raw!$L$2:$S$23,7,FALSE)-Raw!$U$2</f>
        <v>0.83001328021248344</v>
      </c>
    </row>
    <row r="107" spans="1:10" x14ac:dyDescent="0.25">
      <c r="A107" t="s">
        <v>509</v>
      </c>
      <c r="B107" t="s">
        <v>20</v>
      </c>
      <c r="C107" t="s">
        <v>351</v>
      </c>
      <c r="D107" t="str">
        <f>IF(LEFT(Table13[[#This Row],[Opponent]],1)="@","Away","Home")</f>
        <v>Home</v>
      </c>
      <c r="E107">
        <f>_xlfn.NUMBERVALUE(MID(LEFT(Table13[[#This Row],[Score]],FIND("-",Table13[[#This Row],[Score]])-1),FIND(" ",Table13[[#This Row],[Score]])+1,LEN(Table13[[#This Row],[Score]])))</f>
        <v>2</v>
      </c>
      <c r="F107">
        <f>_xlfn.NUMBERVALUE(RIGHT(Table13[[#This Row],[Score]],LEN(Table13[[#This Row],[Score]])-FIND("-",Table13[[#This Row],[Score]])))</f>
        <v>1</v>
      </c>
      <c r="G107">
        <f t="shared" si="15"/>
        <v>3</v>
      </c>
      <c r="H107" t="str">
        <f>LEFT(Table13[[#This Row],[Score]],1)</f>
        <v>W</v>
      </c>
      <c r="I107" s="17" t="str">
        <f>VLOOKUP(IF(Table13[[#This Row],[At]]="Home",Table13[[#This Row],[Opponent]],RIGHT(Table13[[#This Row],[Opponent]],LEN(Table13[[#This Row],[Opponent]])-1)),CHOOSE({1,2},[1]StandingsRAW!$J$1:$J$22,[1]StandingsRAW!$L$1:$L$22),2,FALSE)</f>
        <v>RFD</v>
      </c>
      <c r="J107" s="33">
        <f>VLOOKUP(Table13[[#This Row],[OPP]],Raw!$L$2:$S$23,7,FALSE)-Raw!$U$2</f>
        <v>0.83001328021248344</v>
      </c>
    </row>
    <row r="108" spans="1:10" x14ac:dyDescent="0.25">
      <c r="A108" t="s">
        <v>510</v>
      </c>
      <c r="B108" t="s">
        <v>58</v>
      </c>
      <c r="C108" t="s">
        <v>339</v>
      </c>
      <c r="D108" t="str">
        <f>IF(LEFT(Table13[[#This Row],[Opponent]],1)="@","Away","Home")</f>
        <v>Away</v>
      </c>
      <c r="E108">
        <f>_xlfn.NUMBERVALUE(MID(LEFT(Table13[[#This Row],[Score]],FIND("-",Table13[[#This Row],[Score]])-1),FIND(" ",Table13[[#This Row],[Score]])+1,LEN(Table13[[#This Row],[Score]])))</f>
        <v>15</v>
      </c>
      <c r="F108">
        <f>_xlfn.NUMBERVALUE(RIGHT(Table13[[#This Row],[Score]],LEN(Table13[[#This Row],[Score]])-FIND("-",Table13[[#This Row],[Score]])))</f>
        <v>8</v>
      </c>
      <c r="G108">
        <f t="shared" si="15"/>
        <v>23</v>
      </c>
      <c r="H108" t="str">
        <f>LEFT(Table13[[#This Row],[Score]],1)</f>
        <v>W</v>
      </c>
      <c r="I108" s="17" t="str">
        <f>VLOOKUP(IF(Table13[[#This Row],[At]]="Home",Table13[[#This Row],[Opponent]],RIGHT(Table13[[#This Row],[Opponent]],LEN(Table13[[#This Row],[Opponent]])-1)),CHOOSE({1,2},[1]StandingsRAW!$J$1:$J$22,[1]StandingsRAW!$L$1:$L$22),2,FALSE)</f>
        <v>RFD</v>
      </c>
      <c r="J108" s="33">
        <f>VLOOKUP(Table13[[#This Row],[OPP]],Raw!$L$2:$S$23,7,FALSE)-Raw!$U$2</f>
        <v>0.83001328021248344</v>
      </c>
    </row>
    <row r="109" spans="1:10" x14ac:dyDescent="0.25">
      <c r="A109" t="s">
        <v>515</v>
      </c>
      <c r="B109" t="s">
        <v>115</v>
      </c>
      <c r="C109" t="s">
        <v>244</v>
      </c>
      <c r="D109" t="str">
        <f>IF(LEFT(Table13[[#This Row],[Opponent]],1)="@","Away","Home")</f>
        <v>Away</v>
      </c>
      <c r="E109">
        <f>_xlfn.NUMBERVALUE(MID(LEFT(Table13[[#This Row],[Score]],FIND("-",Table13[[#This Row],[Score]])-1),FIND(" ",Table13[[#This Row],[Score]])+1,LEN(Table13[[#This Row],[Score]])))</f>
        <v>6</v>
      </c>
      <c r="F109">
        <f>_xlfn.NUMBERVALUE(RIGHT(Table13[[#This Row],[Score]],LEN(Table13[[#This Row],[Score]])-FIND("-",Table13[[#This Row],[Score]])))</f>
        <v>3</v>
      </c>
      <c r="G109">
        <f>E109+F109</f>
        <v>9</v>
      </c>
      <c r="H109" t="str">
        <f>LEFT(Table13[[#This Row],[Score]],1)</f>
        <v>W</v>
      </c>
      <c r="I109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109" s="33">
        <f>VLOOKUP(Table13[[#This Row],[OPP]],Raw!$L$2:$S$23,7,FALSE)-Raw!$U$2</f>
        <v>-1.4060978308986276</v>
      </c>
    </row>
    <row r="110" spans="1:10" x14ac:dyDescent="0.25">
      <c r="A110" t="s">
        <v>518</v>
      </c>
      <c r="B110" t="s">
        <v>115</v>
      </c>
      <c r="C110" t="s">
        <v>24</v>
      </c>
      <c r="D110" t="str">
        <f>IF(LEFT(Table13[[#This Row],[Opponent]],1)="@","Away","Home")</f>
        <v>Away</v>
      </c>
      <c r="E110">
        <f>_xlfn.NUMBERVALUE(MID(LEFT(Table13[[#This Row],[Score]],FIND("-",Table13[[#This Row],[Score]])-1),FIND(" ",Table13[[#This Row],[Score]])+1,LEN(Table13[[#This Row],[Score]])))</f>
        <v>10</v>
      </c>
      <c r="F110">
        <f>_xlfn.NUMBERVALUE(RIGHT(Table13[[#This Row],[Score]],LEN(Table13[[#This Row],[Score]])-FIND("-",Table13[[#This Row],[Score]])))</f>
        <v>5</v>
      </c>
      <c r="G110">
        <f t="shared" ref="G110:G113" si="16">E110+F110</f>
        <v>15</v>
      </c>
      <c r="H110" t="str">
        <f>LEFT(Table13[[#This Row],[Score]],1)</f>
        <v>W</v>
      </c>
      <c r="I110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110" s="33">
        <f>VLOOKUP(Table13[[#This Row],[OPP]],Raw!$L$2:$S$23,7,FALSE)-Raw!$U$2</f>
        <v>-1.4060978308986276</v>
      </c>
    </row>
    <row r="111" spans="1:10" x14ac:dyDescent="0.25">
      <c r="A111" t="s">
        <v>519</v>
      </c>
      <c r="B111" t="s">
        <v>333</v>
      </c>
      <c r="C111" t="s">
        <v>44</v>
      </c>
      <c r="D111" t="str">
        <f>IF(LEFT(Table13[[#This Row],[Opponent]],1)="@","Away","Home")</f>
        <v>Home</v>
      </c>
      <c r="E111">
        <f>_xlfn.NUMBERVALUE(MID(LEFT(Table13[[#This Row],[Score]],FIND("-",Table13[[#This Row],[Score]])-1),FIND(" ",Table13[[#This Row],[Score]])+1,LEN(Table13[[#This Row],[Score]])))</f>
        <v>2</v>
      </c>
      <c r="F111">
        <f>_xlfn.NUMBERVALUE(RIGHT(Table13[[#This Row],[Score]],LEN(Table13[[#This Row],[Score]])-FIND("-",Table13[[#This Row],[Score]])))</f>
        <v>12</v>
      </c>
      <c r="G111">
        <f t="shared" si="16"/>
        <v>14</v>
      </c>
      <c r="H111" t="str">
        <f>LEFT(Table13[[#This Row],[Score]],1)</f>
        <v>L</v>
      </c>
      <c r="I111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111" s="33">
        <f>VLOOKUP(Table13[[#This Row],[OPP]],Raw!$L$2:$S$23,7,FALSE)-Raw!$U$2</f>
        <v>0.7572433271608402</v>
      </c>
    </row>
    <row r="112" spans="1:10" x14ac:dyDescent="0.25">
      <c r="A112" t="s">
        <v>520</v>
      </c>
      <c r="B112" t="s">
        <v>332</v>
      </c>
      <c r="C112" t="s">
        <v>255</v>
      </c>
      <c r="D112" t="str">
        <f>IF(LEFT(Table13[[#This Row],[Opponent]],1)="@","Away","Home")</f>
        <v>Away</v>
      </c>
      <c r="E112">
        <f>_xlfn.NUMBERVALUE(MID(LEFT(Table13[[#This Row],[Score]],FIND("-",Table13[[#This Row],[Score]])-1),FIND(" ",Table13[[#This Row],[Score]])+1,LEN(Table13[[#This Row],[Score]])))</f>
        <v>4</v>
      </c>
      <c r="F112">
        <f>_xlfn.NUMBERVALUE(RIGHT(Table13[[#This Row],[Score]],LEN(Table13[[#This Row],[Score]])-FIND("-",Table13[[#This Row],[Score]])))</f>
        <v>10</v>
      </c>
      <c r="G112">
        <f t="shared" si="16"/>
        <v>14</v>
      </c>
      <c r="H112" t="str">
        <f>LEFT(Table13[[#This Row],[Score]],1)</f>
        <v>L</v>
      </c>
      <c r="I112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112" s="33">
        <f>VLOOKUP(Table13[[#This Row],[OPP]],Raw!$L$2:$S$23,7,FALSE)-Raw!$U$2</f>
        <v>0.7572433271608402</v>
      </c>
    </row>
    <row r="113" spans="1:10" x14ac:dyDescent="0.25">
      <c r="A113" t="s">
        <v>521</v>
      </c>
      <c r="B113" t="s">
        <v>98</v>
      </c>
      <c r="C113" t="s">
        <v>217</v>
      </c>
      <c r="D113" t="str">
        <f>IF(LEFT(Table13[[#This Row],[Opponent]],1)="@","Away","Home")</f>
        <v>Home</v>
      </c>
      <c r="E113">
        <f>_xlfn.NUMBERVALUE(MID(LEFT(Table13[[#This Row],[Score]],FIND("-",Table13[[#This Row],[Score]])-1),FIND(" ",Table13[[#This Row],[Score]])+1,LEN(Table13[[#This Row],[Score]])))</f>
        <v>3</v>
      </c>
      <c r="F113">
        <f>_xlfn.NUMBERVALUE(RIGHT(Table13[[#This Row],[Score]],LEN(Table13[[#This Row],[Score]])-FIND("-",Table13[[#This Row],[Score]])))</f>
        <v>0</v>
      </c>
      <c r="G113">
        <f t="shared" si="16"/>
        <v>3</v>
      </c>
      <c r="H113" t="str">
        <f>LEFT(Table13[[#This Row],[Score]],1)</f>
        <v>W</v>
      </c>
      <c r="I113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113" s="33">
        <f>VLOOKUP(Table13[[#This Row],[OPP]],Raw!$L$2:$S$23,7,FALSE)-Raw!$U$2</f>
        <v>-1.4060978308986276</v>
      </c>
    </row>
    <row r="114" spans="1:10" x14ac:dyDescent="0.25">
      <c r="A114" t="s">
        <v>524</v>
      </c>
      <c r="B114" t="s">
        <v>98</v>
      </c>
      <c r="C114" t="s">
        <v>249</v>
      </c>
      <c r="D114" t="str">
        <f>IF(LEFT(Table13[[#This Row],[Opponent]],1)="@","Away","Home")</f>
        <v>Home</v>
      </c>
      <c r="E114">
        <f>_xlfn.NUMBERVALUE(MID(LEFT(Table13[[#This Row],[Score]],FIND("-",Table13[[#This Row],[Score]])-1),FIND(" ",Table13[[#This Row],[Score]])+1,LEN(Table13[[#This Row],[Score]])))</f>
        <v>9</v>
      </c>
      <c r="F114">
        <f>_xlfn.NUMBERVALUE(RIGHT(Table13[[#This Row],[Score]],LEN(Table13[[#This Row],[Score]])-FIND("-",Table13[[#This Row],[Score]])))</f>
        <v>11</v>
      </c>
      <c r="G114">
        <f t="shared" ref="G114:G120" si="17">E114+F114</f>
        <v>20</v>
      </c>
      <c r="H114" t="str">
        <f>LEFT(Table13[[#This Row],[Score]],1)</f>
        <v>L</v>
      </c>
      <c r="I114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114" s="33">
        <f>VLOOKUP(Table13[[#This Row],[OPP]],Raw!$L$2:$S$23,7,FALSE)-Raw!$U$2</f>
        <v>-1.4060978308986276</v>
      </c>
    </row>
    <row r="115" spans="1:10" x14ac:dyDescent="0.25">
      <c r="A115" t="s">
        <v>525</v>
      </c>
      <c r="B115" t="s">
        <v>120</v>
      </c>
      <c r="C115" t="s">
        <v>46</v>
      </c>
      <c r="D115" t="str">
        <f>IF(LEFT(Table13[[#This Row],[Opponent]],1)="@","Away","Home")</f>
        <v>Away</v>
      </c>
      <c r="E115">
        <f>_xlfn.NUMBERVALUE(MID(LEFT(Table13[[#This Row],[Score]],FIND("-",Table13[[#This Row],[Score]])-1),FIND(" ",Table13[[#This Row],[Score]])+1,LEN(Table13[[#This Row],[Score]])))</f>
        <v>6</v>
      </c>
      <c r="F115">
        <f>_xlfn.NUMBERVALUE(RIGHT(Table13[[#This Row],[Score]],LEN(Table13[[#This Row],[Score]])-FIND("-",Table13[[#This Row],[Score]])))</f>
        <v>8</v>
      </c>
      <c r="G115">
        <f t="shared" si="17"/>
        <v>14</v>
      </c>
      <c r="H115" t="str">
        <f>LEFT(Table13[[#This Row],[Score]],1)</f>
        <v>L</v>
      </c>
      <c r="I115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115" s="33">
        <f>VLOOKUP(Table13[[#This Row],[OPP]],Raw!$L$2:$S$23,7,FALSE)-Raw!$U$2</f>
        <v>0.17977853842844585</v>
      </c>
    </row>
    <row r="116" spans="1:10" x14ac:dyDescent="0.25">
      <c r="A116" t="s">
        <v>526</v>
      </c>
      <c r="B116" t="s">
        <v>120</v>
      </c>
      <c r="C116" t="s">
        <v>442</v>
      </c>
      <c r="D116" t="str">
        <f>IF(LEFT(Table13[[#This Row],[Opponent]],1)="@","Away","Home")</f>
        <v>Away</v>
      </c>
      <c r="E116">
        <f>_xlfn.NUMBERVALUE(MID(LEFT(Table13[[#This Row],[Score]],FIND("-",Table13[[#This Row],[Score]])-1),FIND(" ",Table13[[#This Row],[Score]])+1,LEN(Table13[[#This Row],[Score]])))</f>
        <v>8</v>
      </c>
      <c r="F116">
        <f>_xlfn.NUMBERVALUE(RIGHT(Table13[[#This Row],[Score]],LEN(Table13[[#This Row],[Score]])-FIND("-",Table13[[#This Row],[Score]])))</f>
        <v>17</v>
      </c>
      <c r="G116">
        <f t="shared" si="17"/>
        <v>25</v>
      </c>
      <c r="H116" t="str">
        <f>LEFT(Table13[[#This Row],[Score]],1)</f>
        <v>L</v>
      </c>
      <c r="I116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116" s="33">
        <f>VLOOKUP(Table13[[#This Row],[OPP]],Raw!$L$2:$S$23,7,FALSE)-Raw!$U$2</f>
        <v>0.17977853842844585</v>
      </c>
    </row>
    <row r="117" spans="1:10" x14ac:dyDescent="0.25">
      <c r="A117" t="s">
        <v>527</v>
      </c>
      <c r="B117" t="s">
        <v>315</v>
      </c>
      <c r="C117" t="s">
        <v>118</v>
      </c>
      <c r="D117" t="str">
        <f>IF(LEFT(Table13[[#This Row],[Opponent]],1)="@","Away","Home")</f>
        <v>Away</v>
      </c>
      <c r="E117">
        <f>_xlfn.NUMBERVALUE(MID(LEFT(Table13[[#This Row],[Score]],FIND("-",Table13[[#This Row],[Score]])-1),FIND(" ",Table13[[#This Row],[Score]])+1,LEN(Table13[[#This Row],[Score]])))</f>
        <v>9</v>
      </c>
      <c r="F117">
        <f>_xlfn.NUMBERVALUE(RIGHT(Table13[[#This Row],[Score]],LEN(Table13[[#This Row],[Score]])-FIND("-",Table13[[#This Row],[Score]])))</f>
        <v>8</v>
      </c>
      <c r="G117">
        <f t="shared" si="17"/>
        <v>17</v>
      </c>
      <c r="H117" t="str">
        <f>LEFT(Table13[[#This Row],[Score]],1)</f>
        <v>W</v>
      </c>
      <c r="I117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117" s="33">
        <f>VLOOKUP(Table13[[#This Row],[OPP]],Raw!$L$2:$S$23,7,FALSE)-Raw!$U$2</f>
        <v>0.13556883576803896</v>
      </c>
    </row>
    <row r="118" spans="1:10" x14ac:dyDescent="0.25">
      <c r="A118" t="s">
        <v>528</v>
      </c>
      <c r="B118" t="s">
        <v>315</v>
      </c>
      <c r="C118" t="s">
        <v>44</v>
      </c>
      <c r="D118" t="str">
        <f>IF(LEFT(Table13[[#This Row],[Opponent]],1)="@","Away","Home")</f>
        <v>Away</v>
      </c>
      <c r="E118">
        <f>_xlfn.NUMBERVALUE(MID(LEFT(Table13[[#This Row],[Score]],FIND("-",Table13[[#This Row],[Score]])-1),FIND(" ",Table13[[#This Row],[Score]])+1,LEN(Table13[[#This Row],[Score]])))</f>
        <v>2</v>
      </c>
      <c r="F118">
        <f>_xlfn.NUMBERVALUE(RIGHT(Table13[[#This Row],[Score]],LEN(Table13[[#This Row],[Score]])-FIND("-",Table13[[#This Row],[Score]])))</f>
        <v>12</v>
      </c>
      <c r="G118">
        <f t="shared" si="17"/>
        <v>14</v>
      </c>
      <c r="H118" t="str">
        <f>LEFT(Table13[[#This Row],[Score]],1)</f>
        <v>L</v>
      </c>
      <c r="I118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118" s="33">
        <f>VLOOKUP(Table13[[#This Row],[OPP]],Raw!$L$2:$S$23,7,FALSE)-Raw!$U$2</f>
        <v>0.13556883576803896</v>
      </c>
    </row>
    <row r="119" spans="1:10" x14ac:dyDescent="0.25">
      <c r="A119" t="s">
        <v>529</v>
      </c>
      <c r="B119" t="s">
        <v>332</v>
      </c>
      <c r="C119" t="s">
        <v>535</v>
      </c>
      <c r="D119" t="str">
        <f>IF(LEFT(Table13[[#This Row],[Opponent]],1)="@","Away","Home")</f>
        <v>Away</v>
      </c>
      <c r="E119">
        <f>_xlfn.NUMBERVALUE(MID(LEFT(Table13[[#This Row],[Score]],FIND("-",Table13[[#This Row],[Score]])-1),FIND(" ",Table13[[#This Row],[Score]])+1,LEN(Table13[[#This Row],[Score]])))</f>
        <v>7</v>
      </c>
      <c r="F119">
        <f>_xlfn.NUMBERVALUE(RIGHT(Table13[[#This Row],[Score]],LEN(Table13[[#This Row],[Score]])-FIND("-",Table13[[#This Row],[Score]])))</f>
        <v>19</v>
      </c>
      <c r="G119">
        <f t="shared" si="17"/>
        <v>26</v>
      </c>
      <c r="H119" t="str">
        <f>LEFT(Table13[[#This Row],[Score]],1)</f>
        <v>L</v>
      </c>
      <c r="I119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119" s="33">
        <f>VLOOKUP(Table13[[#This Row],[OPP]],Raw!$L$2:$S$23,7,FALSE)-Raw!$U$2</f>
        <v>0.7572433271608402</v>
      </c>
    </row>
    <row r="120" spans="1:10" x14ac:dyDescent="0.25">
      <c r="A120" t="s">
        <v>530</v>
      </c>
      <c r="B120" t="s">
        <v>333</v>
      </c>
      <c r="C120" t="s">
        <v>253</v>
      </c>
      <c r="D120" t="str">
        <f>IF(LEFT(Table13[[#This Row],[Opponent]],1)="@","Away","Home")</f>
        <v>Home</v>
      </c>
      <c r="E120">
        <f>_xlfn.NUMBERVALUE(MID(LEFT(Table13[[#This Row],[Score]],FIND("-",Table13[[#This Row],[Score]])-1),FIND(" ",Table13[[#This Row],[Score]])+1,LEN(Table13[[#This Row],[Score]])))</f>
        <v>4</v>
      </c>
      <c r="F120">
        <f>_xlfn.NUMBERVALUE(RIGHT(Table13[[#This Row],[Score]],LEN(Table13[[#This Row],[Score]])-FIND("-",Table13[[#This Row],[Score]])))</f>
        <v>0</v>
      </c>
      <c r="G120">
        <f t="shared" si="17"/>
        <v>4</v>
      </c>
      <c r="H120" t="str">
        <f>LEFT(Table13[[#This Row],[Score]],1)</f>
        <v>W</v>
      </c>
      <c r="I120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120" s="33">
        <f>VLOOKUP(Table13[[#This Row],[OPP]],Raw!$L$2:$S$23,7,FALSE)-Raw!$U$2</f>
        <v>0.7572433271608402</v>
      </c>
    </row>
    <row r="121" spans="1:10" x14ac:dyDescent="0.25">
      <c r="A121" t="s">
        <v>541</v>
      </c>
      <c r="B121" t="s">
        <v>98</v>
      </c>
      <c r="C121" t="s">
        <v>106</v>
      </c>
      <c r="D121" t="str">
        <f>IF(LEFT(Table13[[#This Row],[Opponent]],1)="@","Away","Home")</f>
        <v>Home</v>
      </c>
      <c r="E121">
        <f>_xlfn.NUMBERVALUE(MID(LEFT(Table13[[#This Row],[Score]],FIND("-",Table13[[#This Row],[Score]])-1),FIND(" ",Table13[[#This Row],[Score]])+1,LEN(Table13[[#This Row],[Score]])))</f>
        <v>12</v>
      </c>
      <c r="F121">
        <f>_xlfn.NUMBERVALUE(RIGHT(Table13[[#This Row],[Score]],LEN(Table13[[#This Row],[Score]])-FIND("-",Table13[[#This Row],[Score]])))</f>
        <v>5</v>
      </c>
      <c r="G121">
        <f>E121+F121</f>
        <v>17</v>
      </c>
      <c r="H121" t="str">
        <f>LEFT(Table13[[#This Row],[Score]],1)</f>
        <v>W</v>
      </c>
      <c r="I121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121" s="33">
        <f>VLOOKUP(Table13[[#This Row],[OPP]],Raw!$L$2:$S$23,7,FALSE)-Raw!$U$2</f>
        <v>-1.4060978308986276</v>
      </c>
    </row>
    <row r="122" spans="1:10" x14ac:dyDescent="0.25">
      <c r="A122" t="s">
        <v>542</v>
      </c>
      <c r="B122" t="s">
        <v>98</v>
      </c>
      <c r="C122" t="s">
        <v>337</v>
      </c>
      <c r="D122" t="str">
        <f>IF(LEFT(Table13[[#This Row],[Opponent]],1)="@","Away","Home")</f>
        <v>Home</v>
      </c>
      <c r="E122">
        <f>_xlfn.NUMBERVALUE(MID(LEFT(Table13[[#This Row],[Score]],FIND("-",Table13[[#This Row],[Score]])-1),FIND(" ",Table13[[#This Row],[Score]])+1,LEN(Table13[[#This Row],[Score]])))</f>
        <v>6</v>
      </c>
      <c r="F122">
        <f>_xlfn.NUMBERVALUE(RIGHT(Table13[[#This Row],[Score]],LEN(Table13[[#This Row],[Score]])-FIND("-",Table13[[#This Row],[Score]])))</f>
        <v>12</v>
      </c>
      <c r="G122">
        <f>E122+F122</f>
        <v>18</v>
      </c>
      <c r="H122" t="str">
        <f>LEFT(Table13[[#This Row],[Score]],1)</f>
        <v>L</v>
      </c>
      <c r="I122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122" s="33">
        <f>VLOOKUP(Table13[[#This Row],[OPP]],Raw!$L$2:$S$23,7,FALSE)-Raw!$U$2</f>
        <v>-1.4060978308986276</v>
      </c>
    </row>
    <row r="123" spans="1:10" x14ac:dyDescent="0.25">
      <c r="A123" t="s">
        <v>543</v>
      </c>
      <c r="B123" t="s">
        <v>103</v>
      </c>
      <c r="C123" t="s">
        <v>338</v>
      </c>
      <c r="D123" t="str">
        <f>IF(LEFT(Table13[[#This Row],[Opponent]],1)="@","Away","Home")</f>
        <v>Home</v>
      </c>
      <c r="E123">
        <f>_xlfn.NUMBERVALUE(MID(LEFT(Table13[[#This Row],[Score]],FIND("-",Table13[[#This Row],[Score]])-1),FIND(" ",Table13[[#This Row],[Score]])+1,LEN(Table13[[#This Row],[Score]])))</f>
        <v>0</v>
      </c>
      <c r="F123">
        <f>_xlfn.NUMBERVALUE(RIGHT(Table13[[#This Row],[Score]],LEN(Table13[[#This Row],[Score]])-FIND("-",Table13[[#This Row],[Score]])))</f>
        <v>11</v>
      </c>
      <c r="G123">
        <f>E123+F123</f>
        <v>11</v>
      </c>
      <c r="H123" t="str">
        <f>LEFT(Table13[[#This Row],[Score]],1)</f>
        <v>L</v>
      </c>
      <c r="I123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123" s="33">
        <f>VLOOKUP(Table13[[#This Row],[OPP]],Raw!$L$2:$S$23,7,FALSE)-Raw!$U$2</f>
        <v>2.7744577246569277</v>
      </c>
    </row>
    <row r="124" spans="1:10" x14ac:dyDescent="0.25">
      <c r="A124" t="s">
        <v>546</v>
      </c>
      <c r="B124" t="s">
        <v>103</v>
      </c>
      <c r="C124" t="s">
        <v>230</v>
      </c>
      <c r="D124" t="str">
        <f>IF(LEFT(Table13[[#This Row],[Opponent]],1)="@","Away","Home")</f>
        <v>Home</v>
      </c>
      <c r="E124">
        <f>_xlfn.NUMBERVALUE(MID(LEFT(Table13[[#This Row],[Score]],FIND("-",Table13[[#This Row],[Score]])-1),FIND(" ",Table13[[#This Row],[Score]])+1,LEN(Table13[[#This Row],[Score]])))</f>
        <v>4</v>
      </c>
      <c r="F124">
        <f>_xlfn.NUMBERVALUE(RIGHT(Table13[[#This Row],[Score]],LEN(Table13[[#This Row],[Score]])-FIND("-",Table13[[#This Row],[Score]])))</f>
        <v>9</v>
      </c>
      <c r="G124">
        <f>E124+F124</f>
        <v>13</v>
      </c>
      <c r="H124" t="str">
        <f>LEFT(Table13[[#This Row],[Score]],1)</f>
        <v>L</v>
      </c>
      <c r="I124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124" s="33">
        <f>VLOOKUP(Table13[[#This Row],[OPP]],Raw!$L$2:$S$23,7,FALSE)-Raw!$U$2</f>
        <v>2.7744577246569277</v>
      </c>
    </row>
    <row r="125" spans="1:10" x14ac:dyDescent="0.25">
      <c r="A125" t="s">
        <v>549</v>
      </c>
      <c r="B125" t="s">
        <v>115</v>
      </c>
      <c r="C125" t="s">
        <v>202</v>
      </c>
      <c r="D125" t="str">
        <f>IF(LEFT(Table13[[#This Row],[Opponent]],1)="@","Away","Home")</f>
        <v>Away</v>
      </c>
      <c r="E125">
        <f>_xlfn.NUMBERVALUE(MID(LEFT(Table13[[#This Row],[Score]],FIND("-",Table13[[#This Row],[Score]])-1),FIND(" ",Table13[[#This Row],[Score]])+1,LEN(Table13[[#This Row],[Score]])))</f>
        <v>4</v>
      </c>
      <c r="F125">
        <f>_xlfn.NUMBERVALUE(RIGHT(Table13[[#This Row],[Score]],LEN(Table13[[#This Row],[Score]])-FIND("-",Table13[[#This Row],[Score]])))</f>
        <v>11</v>
      </c>
      <c r="G125">
        <f t="shared" ref="G125:G128" si="18">E125+F125</f>
        <v>15</v>
      </c>
      <c r="H125" t="str">
        <f>LEFT(Table13[[#This Row],[Score]],1)</f>
        <v>L</v>
      </c>
      <c r="I125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125" s="33">
        <f>VLOOKUP(Table13[[#This Row],[OPP]],Raw!$L$2:$S$23,7,FALSE)-Raw!$U$2</f>
        <v>-1.4060978308986276</v>
      </c>
    </row>
    <row r="126" spans="1:10" x14ac:dyDescent="0.25">
      <c r="A126" t="s">
        <v>550</v>
      </c>
      <c r="B126" t="s">
        <v>98</v>
      </c>
      <c r="C126" t="s">
        <v>38</v>
      </c>
      <c r="D126" t="str">
        <f>IF(LEFT(Table13[[#This Row],[Opponent]],1)="@","Away","Home")</f>
        <v>Home</v>
      </c>
      <c r="E126">
        <f>_xlfn.NUMBERVALUE(MID(LEFT(Table13[[#This Row],[Score]],FIND("-",Table13[[#This Row],[Score]])-1),FIND(" ",Table13[[#This Row],[Score]])+1,LEN(Table13[[#This Row],[Score]])))</f>
        <v>3</v>
      </c>
      <c r="F126">
        <f>_xlfn.NUMBERVALUE(RIGHT(Table13[[#This Row],[Score]],LEN(Table13[[#This Row],[Score]])-FIND("-",Table13[[#This Row],[Score]])))</f>
        <v>5</v>
      </c>
      <c r="G126">
        <f t="shared" si="18"/>
        <v>8</v>
      </c>
      <c r="H126" t="str">
        <f>LEFT(Table13[[#This Row],[Score]],1)</f>
        <v>L</v>
      </c>
      <c r="I126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126" s="33">
        <f>VLOOKUP(Table13[[#This Row],[OPP]],Raw!$L$2:$S$23,7,FALSE)-Raw!$U$2</f>
        <v>-1.4060978308986276</v>
      </c>
    </row>
    <row r="127" spans="1:10" x14ac:dyDescent="0.25">
      <c r="A127" t="s">
        <v>551</v>
      </c>
      <c r="B127" t="s">
        <v>124</v>
      </c>
      <c r="C127" t="s">
        <v>83</v>
      </c>
      <c r="D127" t="str">
        <f>IF(LEFT(Table13[[#This Row],[Opponent]],1)="@","Away","Home")</f>
        <v>Away</v>
      </c>
      <c r="E127">
        <f>_xlfn.NUMBERVALUE(MID(LEFT(Table13[[#This Row],[Score]],FIND("-",Table13[[#This Row],[Score]])-1),FIND(" ",Table13[[#This Row],[Score]])+1,LEN(Table13[[#This Row],[Score]])))</f>
        <v>4</v>
      </c>
      <c r="F127">
        <f>_xlfn.NUMBERVALUE(RIGHT(Table13[[#This Row],[Score]],LEN(Table13[[#This Row],[Score]])-FIND("-",Table13[[#This Row],[Score]])))</f>
        <v>7</v>
      </c>
      <c r="G127">
        <f t="shared" si="18"/>
        <v>11</v>
      </c>
      <c r="H127" t="str">
        <f>LEFT(Table13[[#This Row],[Score]],1)</f>
        <v>L</v>
      </c>
      <c r="I127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127" s="33">
        <f>VLOOKUP(Table13[[#This Row],[OPP]],Raw!$L$2:$S$23,7,FALSE)-Raw!$U$2</f>
        <v>2.7744577246569277</v>
      </c>
    </row>
    <row r="128" spans="1:10" x14ac:dyDescent="0.25">
      <c r="A128" t="s">
        <v>552</v>
      </c>
      <c r="B128" t="s">
        <v>103</v>
      </c>
      <c r="C128" t="s">
        <v>50</v>
      </c>
      <c r="D128" t="str">
        <f>IF(LEFT(Table13[[#This Row],[Opponent]],1)="@","Away","Home")</f>
        <v>Home</v>
      </c>
      <c r="E128">
        <f>_xlfn.NUMBERVALUE(MID(LEFT(Table13[[#This Row],[Score]],FIND("-",Table13[[#This Row],[Score]])-1),FIND(" ",Table13[[#This Row],[Score]])+1,LEN(Table13[[#This Row],[Score]])))</f>
        <v>3</v>
      </c>
      <c r="F128">
        <f>_xlfn.NUMBERVALUE(RIGHT(Table13[[#This Row],[Score]],LEN(Table13[[#This Row],[Score]])-FIND("-",Table13[[#This Row],[Score]])))</f>
        <v>4</v>
      </c>
      <c r="G128">
        <f t="shared" si="18"/>
        <v>7</v>
      </c>
      <c r="H128" t="str">
        <f>LEFT(Table13[[#This Row],[Score]],1)</f>
        <v>L</v>
      </c>
      <c r="I128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128" s="33">
        <f>VLOOKUP(Table13[[#This Row],[OPP]],Raw!$L$2:$S$23,7,FALSE)-Raw!$U$2</f>
        <v>2.7744577246569277</v>
      </c>
    </row>
    <row r="129" spans="1:10" x14ac:dyDescent="0.25">
      <c r="A129" t="s">
        <v>555</v>
      </c>
      <c r="B129" t="s">
        <v>120</v>
      </c>
      <c r="C129" t="s">
        <v>327</v>
      </c>
      <c r="D129" t="str">
        <f>IF(LEFT(Table13[[#This Row],[Opponent]],1)="@","Away","Home")</f>
        <v>Away</v>
      </c>
      <c r="E129">
        <f>_xlfn.NUMBERVALUE(MID(LEFT(Table13[[#This Row],[Score]],FIND("-",Table13[[#This Row],[Score]])-1),FIND(" ",Table13[[#This Row],[Score]])+1,LEN(Table13[[#This Row],[Score]])))</f>
        <v>9</v>
      </c>
      <c r="F129">
        <f>_xlfn.NUMBERVALUE(RIGHT(Table13[[#This Row],[Score]],LEN(Table13[[#This Row],[Score]])-FIND("-",Table13[[#This Row],[Score]])))</f>
        <v>7</v>
      </c>
      <c r="G129">
        <f>E129+F129</f>
        <v>16</v>
      </c>
      <c r="H129" t="str">
        <f>LEFT(Table13[[#This Row],[Score]],1)</f>
        <v>W</v>
      </c>
      <c r="I129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129" s="33">
        <f>VLOOKUP(Table13[[#This Row],[OPP]],Raw!$L$2:$S$23,7,FALSE)-Raw!$U$2</f>
        <v>0.17977853842844585</v>
      </c>
    </row>
    <row r="130" spans="1:10" x14ac:dyDescent="0.25">
      <c r="A130" t="s">
        <v>557</v>
      </c>
      <c r="B130" t="s">
        <v>74</v>
      </c>
      <c r="C130" t="s">
        <v>367</v>
      </c>
      <c r="D130" t="str">
        <f>IF(LEFT(Table13[[#This Row],[Opponent]],1)="@","Away","Home")</f>
        <v>Home</v>
      </c>
      <c r="E130">
        <f>_xlfn.NUMBERVALUE(MID(LEFT(Table13[[#This Row],[Score]],FIND("-",Table13[[#This Row],[Score]])-1),FIND(" ",Table13[[#This Row],[Score]])+1,LEN(Table13[[#This Row],[Score]])))</f>
        <v>9</v>
      </c>
      <c r="F130">
        <f>_xlfn.NUMBERVALUE(RIGHT(Table13[[#This Row],[Score]],LEN(Table13[[#This Row],[Score]])-FIND("-",Table13[[#This Row],[Score]])))</f>
        <v>13</v>
      </c>
      <c r="G130">
        <f>E130+F130</f>
        <v>22</v>
      </c>
      <c r="H130" t="str">
        <f>LEFT(Table13[[#This Row],[Score]],1)</f>
        <v>L</v>
      </c>
      <c r="I130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130" s="33">
        <f>VLOOKUP(Table13[[#This Row],[OPP]],Raw!$L$2:$S$23,7,FALSE)-Raw!$U$2</f>
        <v>0.17977853842844585</v>
      </c>
    </row>
    <row r="131" spans="1:10" x14ac:dyDescent="0.25">
      <c r="A131" t="s">
        <v>558</v>
      </c>
      <c r="B131" t="s">
        <v>332</v>
      </c>
      <c r="C131" t="s">
        <v>561</v>
      </c>
      <c r="D131" t="str">
        <f>IF(LEFT(Table13[[#This Row],[Opponent]],1)="@","Away","Home")</f>
        <v>Away</v>
      </c>
      <c r="E131">
        <f>_xlfn.NUMBERVALUE(MID(LEFT(Table13[[#This Row],[Score]],FIND("-",Table13[[#This Row],[Score]])-1),FIND(" ",Table13[[#This Row],[Score]])+1,LEN(Table13[[#This Row],[Score]])))</f>
        <v>6</v>
      </c>
      <c r="F131">
        <f>_xlfn.NUMBERVALUE(RIGHT(Table13[[#This Row],[Score]],LEN(Table13[[#This Row],[Score]])-FIND("-",Table13[[#This Row],[Score]])))</f>
        <v>14</v>
      </c>
      <c r="G131">
        <f t="shared" ref="G131:G132" si="19">E131+F131</f>
        <v>20</v>
      </c>
      <c r="H131" t="str">
        <f>LEFT(Table13[[#This Row],[Score]],1)</f>
        <v>L</v>
      </c>
      <c r="I131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131" s="33">
        <f>VLOOKUP(Table13[[#This Row],[OPP]],Raw!$L$2:$S$23,7,FALSE)-Raw!$U$2</f>
        <v>0.7572433271608402</v>
      </c>
    </row>
    <row r="132" spans="1:10" x14ac:dyDescent="0.25">
      <c r="A132" t="s">
        <v>558</v>
      </c>
      <c r="B132" t="s">
        <v>332</v>
      </c>
      <c r="C132" t="s">
        <v>338</v>
      </c>
      <c r="D132" t="str">
        <f>IF(LEFT(Table13[[#This Row],[Opponent]],1)="@","Away","Home")</f>
        <v>Away</v>
      </c>
      <c r="E132">
        <f>_xlfn.NUMBERVALUE(MID(LEFT(Table13[[#This Row],[Score]],FIND("-",Table13[[#This Row],[Score]])-1),FIND(" ",Table13[[#This Row],[Score]])+1,LEN(Table13[[#This Row],[Score]])))</f>
        <v>0</v>
      </c>
      <c r="F132">
        <f>_xlfn.NUMBERVALUE(RIGHT(Table13[[#This Row],[Score]],LEN(Table13[[#This Row],[Score]])-FIND("-",Table13[[#This Row],[Score]])))</f>
        <v>11</v>
      </c>
      <c r="G132">
        <f t="shared" si="19"/>
        <v>11</v>
      </c>
      <c r="H132" t="str">
        <f>LEFT(Table13[[#This Row],[Score]],1)</f>
        <v>L</v>
      </c>
      <c r="I132" s="17" t="str">
        <f>VLOOKUP(IF(Table13[[#This Row],[At]]="Home",Table13[[#This Row],[Opponent]],RIGHT(Table13[[#This Row],[Opponent]],LEN(Table13[[#This Row],[Opponent]])-1)),CHOOSE({1,2},[1]StandingsRAW!$J$1:$J$22,[1]StandingsRAW!$L$1:$L$22),2,FALSE)</f>
        <v>FDL</v>
      </c>
      <c r="J132" s="33">
        <f>VLOOKUP(Table13[[#This Row],[OPP]],Raw!$L$2:$S$23,7,FALSE)-Raw!$U$2</f>
        <v>0.7572433271608402</v>
      </c>
    </row>
    <row r="133" spans="1:10" x14ac:dyDescent="0.25">
      <c r="A133" t="s">
        <v>563</v>
      </c>
      <c r="B133" t="s">
        <v>120</v>
      </c>
      <c r="C133" t="s">
        <v>277</v>
      </c>
      <c r="D133" t="str">
        <f>IF(LEFT(Table13[[#This Row],[Opponent]],1)="@","Away","Home")</f>
        <v>Away</v>
      </c>
      <c r="E133">
        <f>_xlfn.NUMBERVALUE(MID(LEFT(Table13[[#This Row],[Score]],FIND("-",Table13[[#This Row],[Score]])-1),FIND(" ",Table13[[#This Row],[Score]])+1,LEN(Table13[[#This Row],[Score]])))</f>
        <v>5</v>
      </c>
      <c r="F133">
        <f>_xlfn.NUMBERVALUE(RIGHT(Table13[[#This Row],[Score]],LEN(Table13[[#This Row],[Score]])-FIND("-",Table13[[#This Row],[Score]])))</f>
        <v>8</v>
      </c>
      <c r="G133">
        <f>E133+F133</f>
        <v>13</v>
      </c>
      <c r="H133" t="str">
        <f>LEFT(Table13[[#This Row],[Score]],1)</f>
        <v>L</v>
      </c>
      <c r="I133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133" s="33">
        <f>VLOOKUP(Table13[[#This Row],[OPP]],Raw!$L$2:$S$23,7,FALSE)-Raw!$U$2</f>
        <v>0.17977853842844585</v>
      </c>
    </row>
    <row r="134" spans="1:10" x14ac:dyDescent="0.25">
      <c r="A134" t="s">
        <v>564</v>
      </c>
      <c r="B134" t="s">
        <v>74</v>
      </c>
      <c r="C134" t="s">
        <v>335</v>
      </c>
      <c r="D134" t="str">
        <f>IF(LEFT(Table13[[#This Row],[Opponent]],1)="@","Away","Home")</f>
        <v>Home</v>
      </c>
      <c r="E134">
        <f>_xlfn.NUMBERVALUE(MID(LEFT(Table13[[#This Row],[Score]],FIND("-",Table13[[#This Row],[Score]])-1),FIND(" ",Table13[[#This Row],[Score]])+1,LEN(Table13[[#This Row],[Score]])))</f>
        <v>6</v>
      </c>
      <c r="F134">
        <f>_xlfn.NUMBERVALUE(RIGHT(Table13[[#This Row],[Score]],LEN(Table13[[#This Row],[Score]])-FIND("-",Table13[[#This Row],[Score]])))</f>
        <v>4</v>
      </c>
      <c r="G134">
        <f t="shared" ref="G134:G137" si="20">E134+F134</f>
        <v>10</v>
      </c>
      <c r="H134" t="str">
        <f>LEFT(Table13[[#This Row],[Score]],1)</f>
        <v>W</v>
      </c>
      <c r="I134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134" s="33">
        <f>VLOOKUP(Table13[[#This Row],[OPP]],Raw!$L$2:$S$23,7,FALSE)-Raw!$U$2</f>
        <v>0.17977853842844585</v>
      </c>
    </row>
    <row r="135" spans="1:10" x14ac:dyDescent="0.25">
      <c r="A135" t="s">
        <v>565</v>
      </c>
      <c r="B135" t="s">
        <v>341</v>
      </c>
      <c r="C135" t="s">
        <v>234</v>
      </c>
      <c r="D135" t="str">
        <f>IF(LEFT(Table13[[#This Row],[Opponent]],1)="@","Away","Home")</f>
        <v>Away</v>
      </c>
      <c r="E135">
        <f>_xlfn.NUMBERVALUE(MID(LEFT(Table13[[#This Row],[Score]],FIND("-",Table13[[#This Row],[Score]])-1),FIND(" ",Table13[[#This Row],[Score]])+1,LEN(Table13[[#This Row],[Score]])))</f>
        <v>2</v>
      </c>
      <c r="F135">
        <f>_xlfn.NUMBERVALUE(RIGHT(Table13[[#This Row],[Score]],LEN(Table13[[#This Row],[Score]])-FIND("-",Table13[[#This Row],[Score]])))</f>
        <v>5</v>
      </c>
      <c r="G135">
        <f t="shared" si="20"/>
        <v>7</v>
      </c>
      <c r="H135" t="str">
        <f>LEFT(Table13[[#This Row],[Score]],1)</f>
        <v>L</v>
      </c>
      <c r="I135" s="17" t="str">
        <f>VLOOKUP(IF(Table13[[#This Row],[At]]="Home",Table13[[#This Row],[Opponent]],RIGHT(Table13[[#This Row],[Opponent]],LEN(Table13[[#This Row],[Opponent]])-1)),CHOOSE({1,2},[1]StandingsRAW!$J$1:$J$22,[1]StandingsRAW!$L$1:$L$22),2,FALSE)</f>
        <v>BC</v>
      </c>
      <c r="J135" s="33">
        <f>VLOOKUP(Table13[[#This Row],[OPP]],Raw!$L$2:$S$23,7,FALSE)-Raw!$U$2</f>
        <v>-0.61443116423196109</v>
      </c>
    </row>
    <row r="136" spans="1:10" x14ac:dyDescent="0.25">
      <c r="A136" t="s">
        <v>566</v>
      </c>
      <c r="B136" t="s">
        <v>341</v>
      </c>
      <c r="C136" t="s">
        <v>572</v>
      </c>
      <c r="D136" t="str">
        <f>IF(LEFT(Table13[[#This Row],[Opponent]],1)="@","Away","Home")</f>
        <v>Away</v>
      </c>
      <c r="E136">
        <f>_xlfn.NUMBERVALUE(MID(LEFT(Table13[[#This Row],[Score]],FIND("-",Table13[[#This Row],[Score]])-1),FIND(" ",Table13[[#This Row],[Score]])+1,LEN(Table13[[#This Row],[Score]])))</f>
        <v>10</v>
      </c>
      <c r="F136">
        <f>_xlfn.NUMBERVALUE(RIGHT(Table13[[#This Row],[Score]],LEN(Table13[[#This Row],[Score]])-FIND("-",Table13[[#This Row],[Score]])))</f>
        <v>14</v>
      </c>
      <c r="G136">
        <f t="shared" si="20"/>
        <v>24</v>
      </c>
      <c r="H136" t="str">
        <f>LEFT(Table13[[#This Row],[Score]],1)</f>
        <v>L</v>
      </c>
      <c r="I136" s="17" t="str">
        <f>VLOOKUP(IF(Table13[[#This Row],[At]]="Home",Table13[[#This Row],[Opponent]],RIGHT(Table13[[#This Row],[Opponent]],LEN(Table13[[#This Row],[Opponent]])-1)),CHOOSE({1,2},[1]StandingsRAW!$J$1:$J$22,[1]StandingsRAW!$L$1:$L$22),2,FALSE)</f>
        <v>BC</v>
      </c>
      <c r="J136" s="33">
        <f>VLOOKUP(Table13[[#This Row],[OPP]],Raw!$L$2:$S$23,7,FALSE)-Raw!$U$2</f>
        <v>-0.61443116423196109</v>
      </c>
    </row>
    <row r="137" spans="1:10" x14ac:dyDescent="0.25">
      <c r="A137" t="s">
        <v>568</v>
      </c>
      <c r="B137" t="s">
        <v>314</v>
      </c>
      <c r="C137" t="s">
        <v>276</v>
      </c>
      <c r="D137" t="str">
        <f>IF(LEFT(Table13[[#This Row],[Opponent]],1)="@","Away","Home")</f>
        <v>Home</v>
      </c>
      <c r="E137">
        <f>_xlfn.NUMBERVALUE(MID(LEFT(Table13[[#This Row],[Score]],FIND("-",Table13[[#This Row],[Score]])-1),FIND(" ",Table13[[#This Row],[Score]])+1,LEN(Table13[[#This Row],[Score]])))</f>
        <v>2</v>
      </c>
      <c r="F137">
        <f>_xlfn.NUMBERVALUE(RIGHT(Table13[[#This Row],[Score]],LEN(Table13[[#This Row],[Score]])-FIND("-",Table13[[#This Row],[Score]])))</f>
        <v>4</v>
      </c>
      <c r="G137">
        <f t="shared" si="20"/>
        <v>6</v>
      </c>
      <c r="H137" t="str">
        <f>LEFT(Table13[[#This Row],[Score]],1)</f>
        <v>L</v>
      </c>
      <c r="I137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137" s="33">
        <f>VLOOKUP(Table13[[#This Row],[OPP]],Raw!$L$2:$S$23,7,FALSE)-Raw!$U$2</f>
        <v>0.13556883576803896</v>
      </c>
    </row>
    <row r="138" spans="1:10" x14ac:dyDescent="0.25">
      <c r="A138" t="s">
        <v>589</v>
      </c>
      <c r="B138" t="s">
        <v>314</v>
      </c>
      <c r="C138" t="s">
        <v>350</v>
      </c>
      <c r="D138" t="str">
        <f>IF(LEFT(Table13[[#This Row],[Opponent]],1)="@","Away","Home")</f>
        <v>Home</v>
      </c>
      <c r="E138">
        <f>_xlfn.NUMBERVALUE(MID(LEFT(Table13[[#This Row],[Score]],FIND("-",Table13[[#This Row],[Score]])-1),FIND(" ",Table13[[#This Row],[Score]])+1,LEN(Table13[[#This Row],[Score]])))</f>
        <v>17</v>
      </c>
      <c r="F138">
        <f>_xlfn.NUMBERVALUE(RIGHT(Table13[[#This Row],[Score]],LEN(Table13[[#This Row],[Score]])-FIND("-",Table13[[#This Row],[Score]])))</f>
        <v>7</v>
      </c>
      <c r="G138">
        <f>E138+F138</f>
        <v>24</v>
      </c>
      <c r="H138" t="str">
        <f>LEFT(Table13[[#This Row],[Score]],1)</f>
        <v>W</v>
      </c>
      <c r="I138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138" s="33">
        <f>VLOOKUP(Table13[[#This Row],[OPP]],Raw!$L$2:$S$23,7,FALSE)-Raw!$U$2</f>
        <v>0.13556883576803896</v>
      </c>
    </row>
    <row r="139" spans="1:10" x14ac:dyDescent="0.25">
      <c r="A139" t="s">
        <v>592</v>
      </c>
      <c r="B139" t="s">
        <v>103</v>
      </c>
      <c r="C139" t="s">
        <v>337</v>
      </c>
      <c r="D139" t="str">
        <f>IF(LEFT(Table13[[#This Row],[Opponent]],1)="@","Away","Home")</f>
        <v>Home</v>
      </c>
      <c r="E139">
        <f>_xlfn.NUMBERVALUE(MID(LEFT(Table13[[#This Row],[Score]],FIND("-",Table13[[#This Row],[Score]])-1),FIND(" ",Table13[[#This Row],[Score]])+1,LEN(Table13[[#This Row],[Score]])))</f>
        <v>6</v>
      </c>
      <c r="F139">
        <f>_xlfn.NUMBERVALUE(RIGHT(Table13[[#This Row],[Score]],LEN(Table13[[#This Row],[Score]])-FIND("-",Table13[[#This Row],[Score]])))</f>
        <v>12</v>
      </c>
      <c r="G139">
        <f>E139+F139</f>
        <v>18</v>
      </c>
      <c r="H139" t="str">
        <f>LEFT(Table13[[#This Row],[Score]],1)</f>
        <v>L</v>
      </c>
      <c r="I139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139" s="33">
        <f>VLOOKUP(Table13[[#This Row],[OPP]],Raw!$L$2:$S$23,7,FALSE)-Raw!$U$2</f>
        <v>2.7744577246569277</v>
      </c>
    </row>
    <row r="140" spans="1:10" x14ac:dyDescent="0.25">
      <c r="A140" t="s">
        <v>595</v>
      </c>
      <c r="B140" t="s">
        <v>124</v>
      </c>
      <c r="C140" t="s">
        <v>411</v>
      </c>
      <c r="D140" t="str">
        <f>IF(LEFT(Table13[[#This Row],[Opponent]],1)="@","Away","Home")</f>
        <v>Away</v>
      </c>
      <c r="E140">
        <f>_xlfn.NUMBERVALUE(MID(LEFT(Table13[[#This Row],[Score]],FIND("-",Table13[[#This Row],[Score]])-1),FIND(" ",Table13[[#This Row],[Score]])+1,LEN(Table13[[#This Row],[Score]])))</f>
        <v>6</v>
      </c>
      <c r="F140">
        <f>_xlfn.NUMBERVALUE(RIGHT(Table13[[#This Row],[Score]],LEN(Table13[[#This Row],[Score]])-FIND("-",Table13[[#This Row],[Score]])))</f>
        <v>16</v>
      </c>
      <c r="G140">
        <f>E140+F140</f>
        <v>22</v>
      </c>
      <c r="H140" t="str">
        <f>LEFT(Table13[[#This Row],[Score]],1)</f>
        <v>L</v>
      </c>
      <c r="I140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140" s="33">
        <f>VLOOKUP(Table13[[#This Row],[OPP]],Raw!$L$2:$S$23,7,FALSE)-Raw!$U$2</f>
        <v>2.7744577246569277</v>
      </c>
    </row>
    <row r="141" spans="1:10" x14ac:dyDescent="0.25">
      <c r="A141" t="s">
        <v>598</v>
      </c>
      <c r="B141" t="s">
        <v>314</v>
      </c>
      <c r="C141" t="s">
        <v>240</v>
      </c>
      <c r="D141" t="str">
        <f>IF(LEFT(Table13[[#This Row],[Opponent]],1)="@","Away","Home")</f>
        <v>Home</v>
      </c>
      <c r="E141">
        <f>_xlfn.NUMBERVALUE(MID(LEFT(Table13[[#This Row],[Score]],FIND("-",Table13[[#This Row],[Score]])-1),FIND(" ",Table13[[#This Row],[Score]])+1,LEN(Table13[[#This Row],[Score]])))</f>
        <v>1</v>
      </c>
      <c r="F141">
        <f>_xlfn.NUMBERVALUE(RIGHT(Table13[[#This Row],[Score]],LEN(Table13[[#This Row],[Score]])-FIND("-",Table13[[#This Row],[Score]])))</f>
        <v>3</v>
      </c>
      <c r="G141">
        <f>E141+F141</f>
        <v>4</v>
      </c>
      <c r="H141" t="str">
        <f>LEFT(Table13[[#This Row],[Score]],1)</f>
        <v>L</v>
      </c>
      <c r="I141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141" s="33">
        <f>VLOOKUP(Table13[[#This Row],[OPP]],Raw!$L$2:$S$23,7,FALSE)-Raw!$U$2</f>
        <v>0.13556883576803896</v>
      </c>
    </row>
    <row r="142" spans="1:10" x14ac:dyDescent="0.25">
      <c r="A142" t="s">
        <v>599</v>
      </c>
      <c r="B142" t="s">
        <v>315</v>
      </c>
      <c r="C142" t="s">
        <v>94</v>
      </c>
      <c r="D142" t="str">
        <f>IF(LEFT(Table13[[#This Row],[Opponent]],1)="@","Away","Home")</f>
        <v>Away</v>
      </c>
      <c r="E142">
        <f>_xlfn.NUMBERVALUE(MID(LEFT(Table13[[#This Row],[Score]],FIND("-",Table13[[#This Row],[Score]])-1),FIND(" ",Table13[[#This Row],[Score]])+1,LEN(Table13[[#This Row],[Score]])))</f>
        <v>4</v>
      </c>
      <c r="F142">
        <f>_xlfn.NUMBERVALUE(RIGHT(Table13[[#This Row],[Score]],LEN(Table13[[#This Row],[Score]])-FIND("-",Table13[[#This Row],[Score]])))</f>
        <v>8</v>
      </c>
      <c r="G142">
        <f>E142+F142</f>
        <v>12</v>
      </c>
      <c r="H142" t="str">
        <f>LEFT(Table13[[#This Row],[Score]],1)</f>
        <v>L</v>
      </c>
      <c r="I142" s="17" t="str">
        <f>VLOOKUP(IF(Table13[[#This Row],[At]]="Home",Table13[[#This Row],[Opponent]],RIGHT(Table13[[#This Row],[Opponent]],LEN(Table13[[#This Row],[Opponent]])-1)),CHOOSE({1,2},[1]StandingsRAW!$J$1:$J$22,[1]StandingsRAW!$L$1:$L$22),2,FALSE)</f>
        <v>LAK</v>
      </c>
      <c r="J142" s="33">
        <f>VLOOKUP(Table13[[#This Row],[OPP]],Raw!$L$2:$S$23,7,FALSE)-Raw!$U$2</f>
        <v>0.13556883576803896</v>
      </c>
    </row>
    <row r="143" spans="1:10" x14ac:dyDescent="0.25">
      <c r="A143" t="s">
        <v>600</v>
      </c>
      <c r="B143" t="s">
        <v>115</v>
      </c>
      <c r="C143" t="s">
        <v>48</v>
      </c>
      <c r="D143" t="str">
        <f>IF(LEFT(Table13[[#This Row],[Opponent]],1)="@","Away","Home")</f>
        <v>Away</v>
      </c>
      <c r="E143">
        <f>_xlfn.NUMBERVALUE(MID(LEFT(Table13[[#This Row],[Score]],FIND("-",Table13[[#This Row],[Score]])-1),FIND(" ",Table13[[#This Row],[Score]])+1,LEN(Table13[[#This Row],[Score]])))</f>
        <v>4</v>
      </c>
      <c r="F143">
        <f>_xlfn.NUMBERVALUE(RIGHT(Table13[[#This Row],[Score]],LEN(Table13[[#This Row],[Score]])-FIND("-",Table13[[#This Row],[Score]])))</f>
        <v>5</v>
      </c>
      <c r="G143">
        <f t="shared" ref="G143:G146" si="21">E143+F143</f>
        <v>9</v>
      </c>
      <c r="H143" t="str">
        <f>LEFT(Table13[[#This Row],[Score]],1)</f>
        <v>L</v>
      </c>
      <c r="I143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143" s="33">
        <f>VLOOKUP(Table13[[#This Row],[OPP]],Raw!$L$2:$S$23,7,FALSE)-Raw!$U$2</f>
        <v>-1.4060978308986276</v>
      </c>
    </row>
    <row r="144" spans="1:10" x14ac:dyDescent="0.25">
      <c r="A144" t="s">
        <v>601</v>
      </c>
      <c r="B144" t="s">
        <v>115</v>
      </c>
      <c r="C144" t="s">
        <v>259</v>
      </c>
      <c r="D144" t="str">
        <f>IF(LEFT(Table13[[#This Row],[Opponent]],1)="@","Away","Home")</f>
        <v>Away</v>
      </c>
      <c r="E144">
        <f>_xlfn.NUMBERVALUE(MID(LEFT(Table13[[#This Row],[Score]],FIND("-",Table13[[#This Row],[Score]])-1),FIND(" ",Table13[[#This Row],[Score]])+1,LEN(Table13[[#This Row],[Score]])))</f>
        <v>0</v>
      </c>
      <c r="F144">
        <f>_xlfn.NUMBERVALUE(RIGHT(Table13[[#This Row],[Score]],LEN(Table13[[#This Row],[Score]])-FIND("-",Table13[[#This Row],[Score]])))</f>
        <v>5</v>
      </c>
      <c r="G144">
        <f t="shared" si="21"/>
        <v>5</v>
      </c>
      <c r="H144" t="str">
        <f>LEFT(Table13[[#This Row],[Score]],1)</f>
        <v>L</v>
      </c>
      <c r="I144" s="17" t="str">
        <f>VLOOKUP(IF(Table13[[#This Row],[At]]="Home",Table13[[#This Row],[Opponent]],RIGHT(Table13[[#This Row],[Opponent]],LEN(Table13[[#This Row],[Opponent]])-1)),CHOOSE({1,2},[1]StandingsRAW!$J$1:$J$22,[1]StandingsRAW!$L$1:$L$22),2,FALSE)</f>
        <v>GB</v>
      </c>
      <c r="J144" s="33">
        <f>VLOOKUP(Table13[[#This Row],[OPP]],Raw!$L$2:$S$23,7,FALSE)-Raw!$U$2</f>
        <v>-1.4060978308986276</v>
      </c>
    </row>
    <row r="145" spans="1:10" x14ac:dyDescent="0.25">
      <c r="A145" t="s">
        <v>602</v>
      </c>
      <c r="B145" t="s">
        <v>103</v>
      </c>
      <c r="C145" t="s">
        <v>506</v>
      </c>
      <c r="D145" t="str">
        <f>IF(LEFT(Table13[[#This Row],[Opponent]],1)="@","Away","Home")</f>
        <v>Home</v>
      </c>
      <c r="E145">
        <f>_xlfn.NUMBERVALUE(MID(LEFT(Table13[[#This Row],[Score]],FIND("-",Table13[[#This Row],[Score]])-1),FIND(" ",Table13[[#This Row],[Score]])+1,LEN(Table13[[#This Row],[Score]])))</f>
        <v>13</v>
      </c>
      <c r="F145">
        <f>_xlfn.NUMBERVALUE(RIGHT(Table13[[#This Row],[Score]],LEN(Table13[[#This Row],[Score]])-FIND("-",Table13[[#This Row],[Score]])))</f>
        <v>14</v>
      </c>
      <c r="G145">
        <f t="shared" si="21"/>
        <v>27</v>
      </c>
      <c r="H145" t="str">
        <f>LEFT(Table13[[#This Row],[Score]],1)</f>
        <v>L</v>
      </c>
      <c r="I145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145" s="33">
        <f>VLOOKUP(Table13[[#This Row],[OPP]],Raw!$L$2:$S$23,7,FALSE)-Raw!$U$2</f>
        <v>2.7744577246569277</v>
      </c>
    </row>
    <row r="146" spans="1:10" x14ac:dyDescent="0.25">
      <c r="A146" t="s">
        <v>603</v>
      </c>
      <c r="B146" t="s">
        <v>124</v>
      </c>
      <c r="C146" t="s">
        <v>205</v>
      </c>
      <c r="D146" t="str">
        <f>IF(LEFT(Table13[[#This Row],[Opponent]],1)="@","Away","Home")</f>
        <v>Away</v>
      </c>
      <c r="E146">
        <f>_xlfn.NUMBERVALUE(MID(LEFT(Table13[[#This Row],[Score]],FIND("-",Table13[[#This Row],[Score]])-1),FIND(" ",Table13[[#This Row],[Score]])+1,LEN(Table13[[#This Row],[Score]])))</f>
        <v>5</v>
      </c>
      <c r="F146">
        <f>_xlfn.NUMBERVALUE(RIGHT(Table13[[#This Row],[Score]],LEN(Table13[[#This Row],[Score]])-FIND("-",Table13[[#This Row],[Score]])))</f>
        <v>6</v>
      </c>
      <c r="G146">
        <f t="shared" si="21"/>
        <v>11</v>
      </c>
      <c r="H146" t="str">
        <f>LEFT(Table13[[#This Row],[Score]],1)</f>
        <v>L</v>
      </c>
      <c r="I146" s="17" t="str">
        <f>VLOOKUP(IF(Table13[[#This Row],[At]]="Home",Table13[[#This Row],[Opponent]],RIGHT(Table13[[#This Row],[Opponent]],LEN(Table13[[#This Row],[Opponent]])-1)),CHOOSE({1,2},[1]StandingsRAW!$J$1:$J$22,[1]StandingsRAW!$L$1:$L$22),2,FALSE)</f>
        <v>WIR</v>
      </c>
      <c r="J146" s="33">
        <f>VLOOKUP(Table13[[#This Row],[OPP]],Raw!$L$2:$S$23,7,FALSE)-Raw!$U$2</f>
        <v>2.7744577246569277</v>
      </c>
    </row>
    <row r="147" spans="1:10" x14ac:dyDescent="0.25">
      <c r="A147" t="s">
        <v>608</v>
      </c>
      <c r="B147" t="s">
        <v>120</v>
      </c>
      <c r="C147" t="s">
        <v>298</v>
      </c>
      <c r="D147" t="str">
        <f>IF(LEFT(Table13[[#This Row],[Opponent]],1)="@","Away","Home")</f>
        <v>Away</v>
      </c>
      <c r="E147">
        <f>_xlfn.NUMBERVALUE(MID(LEFT(Table13[[#This Row],[Score]],FIND("-",Table13[[#This Row],[Score]])-1),FIND(" ",Table13[[#This Row],[Score]])+1,LEN(Table13[[#This Row],[Score]])))</f>
        <v>1</v>
      </c>
      <c r="F147">
        <f>_xlfn.NUMBERVALUE(RIGHT(Table13[[#This Row],[Score]],LEN(Table13[[#This Row],[Score]])-FIND("-",Table13[[#This Row],[Score]])))</f>
        <v>2</v>
      </c>
      <c r="G147">
        <f t="shared" ref="G147:G148" si="22">E147+F147</f>
        <v>3</v>
      </c>
      <c r="H147" t="str">
        <f>LEFT(Table13[[#This Row],[Score]],1)</f>
        <v>L</v>
      </c>
      <c r="I147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147" s="33">
        <f>VLOOKUP(Table13[[#This Row],[OPP]],Raw!$L$2:$S$23,7,FALSE)-Raw!$U$2</f>
        <v>0.17977853842844585</v>
      </c>
    </row>
    <row r="148" spans="1:10" x14ac:dyDescent="0.25">
      <c r="A148" t="s">
        <v>609</v>
      </c>
      <c r="B148" t="s">
        <v>74</v>
      </c>
      <c r="C148" t="s">
        <v>116</v>
      </c>
      <c r="D148" t="str">
        <f>IF(LEFT(Table13[[#This Row],[Opponent]],1)="@","Away","Home")</f>
        <v>Home</v>
      </c>
      <c r="E148">
        <f>_xlfn.NUMBERVALUE(MID(LEFT(Table13[[#This Row],[Score]],FIND("-",Table13[[#This Row],[Score]])-1),FIND(" ",Table13[[#This Row],[Score]])+1,LEN(Table13[[#This Row],[Score]])))</f>
        <v>9</v>
      </c>
      <c r="F148">
        <f>_xlfn.NUMBERVALUE(RIGHT(Table13[[#This Row],[Score]],LEN(Table13[[#This Row],[Score]])-FIND("-",Table13[[#This Row],[Score]])))</f>
        <v>3</v>
      </c>
      <c r="G148">
        <f t="shared" si="22"/>
        <v>12</v>
      </c>
      <c r="H148" t="str">
        <f>LEFT(Table13[[#This Row],[Score]],1)</f>
        <v>W</v>
      </c>
      <c r="I148" s="17" t="str">
        <f>VLOOKUP(IF(Table13[[#This Row],[At]]="Home",Table13[[#This Row],[Opponent]],RIGHT(Table13[[#This Row],[Opponent]],LEN(Table13[[#This Row],[Opponent]])-1)),CHOOSE({1,2},[1]StandingsRAW!$J$1:$J$22,[1]StandingsRAW!$L$1:$L$22),2,FALSE)</f>
        <v>WAU</v>
      </c>
      <c r="J148" s="33">
        <f>VLOOKUP(Table13[[#This Row],[OPP]],Raw!$L$2:$S$23,7,FALSE)-Raw!$U$2</f>
        <v>0.17977853842844585</v>
      </c>
    </row>
  </sheetData>
  <conditionalFormatting sqref="L17">
    <cfRule type="cellIs" dxfId="54" priority="4" operator="greaterThan">
      <formula>100</formula>
    </cfRule>
    <cfRule type="cellIs" dxfId="53" priority="5" operator="lessThan">
      <formula>100</formula>
    </cfRule>
  </conditionalFormatting>
  <conditionalFormatting sqref="L18">
    <cfRule type="cellIs" dxfId="52" priority="2" operator="greaterThan">
      <formula>100</formula>
    </cfRule>
    <cfRule type="cellIs" dxfId="51" priority="3" operator="lessThan">
      <formula>100</formula>
    </cfRule>
  </conditionalFormatting>
  <conditionalFormatting sqref="L17:L18">
    <cfRule type="cellIs" dxfId="50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F2D5-06FC-464A-A0ED-E9A99DA2CDEA}">
  <sheetPr codeName="Sheet15"/>
  <dimension ref="A1:P142"/>
  <sheetViews>
    <sheetView topLeftCell="A71" workbookViewId="0">
      <selection activeCell="A73" sqref="A73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399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231</v>
      </c>
      <c r="C3" t="s">
        <v>351</v>
      </c>
      <c r="E3" s="1" t="str">
        <f>IF(LEFT(B3,1)="@","Away","Home")</f>
        <v>Home</v>
      </c>
      <c r="F3" s="3">
        <f>_xlfn.NUMBERVALUE(MID(LEFT(C3,FIND("-",C3)-1),FIND(" ",C3)+1,LEN(C3)))</f>
        <v>2</v>
      </c>
      <c r="G3" s="3">
        <f>_xlfn.NUMBERVALUE(RIGHT(C3,LEN(C3)-FIND("-",C3)))</f>
        <v>1</v>
      </c>
      <c r="H3" s="3">
        <f t="shared" ref="H3:H66" si="0">F3+G3</f>
        <v>3</v>
      </c>
      <c r="I3" s="3" t="str">
        <f>LEFT(C3,1)</f>
        <v>W</v>
      </c>
      <c r="K3" s="4" t="s">
        <v>139</v>
      </c>
      <c r="L3" s="5">
        <f>(SUMIF($E$3:$E$141,$K3,F$3:F$141) + SUMIF(MAN!$D$73:$D$140,$K3,MAN!$E$73:$E$140))/(COUNTIF($E$3:$E$141,$K3) + COUNTIF(MAN!$D$73:$D$140,$K3))</f>
        <v>5.3888888888888893</v>
      </c>
      <c r="M3" s="5">
        <f>(SUMIF($E$3:$E$141,$K3,G$3:G$141) + SUMIF(MAN!$D$73:$D$140,$K3,MAN!$F$73:$F$140))/(COUNTIF($E$3:$E$141,$K3) + COUNTIF(MAN!$D$73:$D$140,$K3))</f>
        <v>4.1388888888888893</v>
      </c>
      <c r="N3" s="5">
        <f>L3+M3</f>
        <v>9.5277777777777786</v>
      </c>
      <c r="O3" s="5">
        <f>(COUNTIFS($E$3:$E$73,$K3,$I$3:$I$73,O$2) + COUNTIFS(MAN!$D$73:$D$140,$K3,MAN!$H$73:$H$140,O$2))/(COUNTIF($E$3:$E$73,$K3) + COUNTIF(MAN!$D$73:$D$140,$K3))</f>
        <v>0.70833333333333337</v>
      </c>
      <c r="P3" s="5">
        <f>(COUNTIFS($E$3:$E$73,$K3,$I$3:$I$73,P$2) + COUNTIFS(MAN!$D$73:$D$140,$K3,MAN!$H$73:$H$140,P$2))/(COUNTIF($E$3:$E$73,$K3) + COUNTIF(MAN!$D$73:$D$140,$K3))</f>
        <v>0.29166666666666669</v>
      </c>
    </row>
    <row r="4" spans="1:16" x14ac:dyDescent="0.25">
      <c r="A4" t="s">
        <v>7</v>
      </c>
      <c r="B4" t="s">
        <v>231</v>
      </c>
      <c r="C4" t="s">
        <v>400</v>
      </c>
      <c r="E4" s="1" t="str">
        <f t="shared" ref="E4:E67" si="1">IF(LEFT(B4,1)="@","Away","Home")</f>
        <v>Home</v>
      </c>
      <c r="F4" s="3">
        <f t="shared" ref="F4:F67" si="2">_xlfn.NUMBERVALUE(MID(LEFT(C4,FIND("-",C4)-1),FIND(" ",C4)+1,LEN(C4)))</f>
        <v>19</v>
      </c>
      <c r="G4" s="3">
        <f t="shared" ref="G4:G67" si="3">_xlfn.NUMBERVALUE(RIGHT(C4,LEN(C4)-FIND("-",C4)))</f>
        <v>3</v>
      </c>
      <c r="H4" s="3">
        <f t="shared" si="0"/>
        <v>22</v>
      </c>
      <c r="I4" s="3" t="str">
        <f t="shared" ref="I4:I67" si="4">LEFT(C4,1)</f>
        <v>W</v>
      </c>
      <c r="K4" s="4" t="s">
        <v>140</v>
      </c>
      <c r="L4" s="5">
        <f>(SUMIF($E$3:$E$141,$K4,F$3:F$141) + SUMIF(MAN!$D$73:$D$140,$K4,MAN!$E$73:$E$140))/(COUNTIF($E$3:$E$141,$K4) + COUNTIF(MAN!$D$73:$D$140,$K4))</f>
        <v>6.109375</v>
      </c>
      <c r="M4" s="5">
        <f>(SUMIF($E$3:$E$141,$K4,G$3:G$141) + SUMIF(MAN!$D$73:$D$140,$K4,MAN!$F$73:$F$140))/(COUNTIF($E$3:$E$141,$K4) + COUNTIF(MAN!$D$73:$D$140,$K4))</f>
        <v>5.859375</v>
      </c>
      <c r="N4" s="5">
        <f>L4+M4</f>
        <v>11.96875</v>
      </c>
      <c r="O4" s="5">
        <f>(COUNTIFS($E$3:$E$73,$K4,$I$3:$I$73,O$2) + COUNTIFS(MAN!$D$73:$D$140,$K4,MAN!$H$73:$H$140,O$2))/(COUNTIF($E$3:$E$73,$K4) + COUNTIF(MAN!$D$73:$D$140,$K4))</f>
        <v>0.515625</v>
      </c>
      <c r="P4" s="5">
        <f>(COUNTIFS($E$3:$E$73,$K4,$I$3:$I$73,P$2) + COUNTIFS(MAN!$D$73:$D$140,$K4,MAN!$H$73:$H$140,P$2))/(COUNTIF($E$3:$E$73,$K4) + COUNTIF(MAN!$D$73:$D$140,$K4))</f>
        <v>0.484375</v>
      </c>
    </row>
    <row r="5" spans="1:16" x14ac:dyDescent="0.25">
      <c r="A5" t="s">
        <v>9</v>
      </c>
      <c r="B5" t="s">
        <v>245</v>
      </c>
      <c r="C5" t="s">
        <v>15</v>
      </c>
      <c r="E5" s="1" t="str">
        <f t="shared" si="1"/>
        <v>Home</v>
      </c>
      <c r="F5" s="3">
        <f t="shared" si="2"/>
        <v>3</v>
      </c>
      <c r="G5" s="3">
        <f t="shared" si="3"/>
        <v>1</v>
      </c>
      <c r="H5" s="3">
        <f t="shared" si="0"/>
        <v>4</v>
      </c>
      <c r="I5" s="3" t="str">
        <f t="shared" si="4"/>
        <v>W</v>
      </c>
    </row>
    <row r="6" spans="1:16" x14ac:dyDescent="0.25">
      <c r="A6" t="s">
        <v>12</v>
      </c>
      <c r="B6" t="s">
        <v>245</v>
      </c>
      <c r="C6" t="s">
        <v>351</v>
      </c>
      <c r="E6" s="1" t="str">
        <f t="shared" si="1"/>
        <v>Home</v>
      </c>
      <c r="F6" s="3">
        <f t="shared" si="2"/>
        <v>2</v>
      </c>
      <c r="G6" s="3">
        <f t="shared" si="3"/>
        <v>1</v>
      </c>
      <c r="H6" s="3">
        <f t="shared" si="0"/>
        <v>3</v>
      </c>
      <c r="I6" s="3" t="str">
        <f t="shared" si="4"/>
        <v>W</v>
      </c>
      <c r="K6" s="4" t="s">
        <v>144</v>
      </c>
      <c r="L6" s="5">
        <f>N3/N4</f>
        <v>0.79605454017986665</v>
      </c>
      <c r="O6" s="4" t="s">
        <v>178</v>
      </c>
      <c r="P6" s="1" t="s">
        <v>180</v>
      </c>
    </row>
    <row r="7" spans="1:16" x14ac:dyDescent="0.25">
      <c r="A7" t="s">
        <v>14</v>
      </c>
      <c r="B7" t="s">
        <v>194</v>
      </c>
      <c r="C7" t="s">
        <v>18</v>
      </c>
      <c r="E7" s="1" t="str">
        <f t="shared" si="1"/>
        <v>Away</v>
      </c>
      <c r="F7" s="3">
        <f t="shared" si="2"/>
        <v>8</v>
      </c>
      <c r="G7" s="3">
        <f t="shared" si="3"/>
        <v>9</v>
      </c>
      <c r="H7" s="3">
        <f t="shared" si="0"/>
        <v>17</v>
      </c>
      <c r="I7" s="3" t="str">
        <f t="shared" si="4"/>
        <v>L</v>
      </c>
      <c r="K7" s="7" t="s">
        <v>143</v>
      </c>
      <c r="L7" s="5">
        <f>(18.5 - O3)/(18.5-P4)</f>
        <v>0.98756866146285061</v>
      </c>
      <c r="O7" s="4" t="s">
        <v>147</v>
      </c>
      <c r="P7" s="1">
        <f>VLOOKUP($P$6,'Full League'!$L$4:$N$5,2,FALSE)</f>
        <v>10</v>
      </c>
    </row>
    <row r="8" spans="1:16" x14ac:dyDescent="0.25">
      <c r="A8" t="s">
        <v>16</v>
      </c>
      <c r="B8" t="s">
        <v>194</v>
      </c>
      <c r="C8" t="s">
        <v>21</v>
      </c>
      <c r="E8" s="1" t="str">
        <f t="shared" si="1"/>
        <v>Away</v>
      </c>
      <c r="F8" s="3">
        <f t="shared" si="2"/>
        <v>6</v>
      </c>
      <c r="G8" s="3">
        <f t="shared" si="3"/>
        <v>1</v>
      </c>
      <c r="H8" s="3">
        <f t="shared" si="0"/>
        <v>7</v>
      </c>
      <c r="I8" s="3" t="str">
        <f t="shared" si="4"/>
        <v>W</v>
      </c>
      <c r="K8" s="7" t="s">
        <v>146</v>
      </c>
      <c r="L8" s="5">
        <f>L6/L7</f>
        <v>0.80607513304512834</v>
      </c>
      <c r="O8" s="4" t="s">
        <v>151</v>
      </c>
      <c r="P8" s="2">
        <f>VLOOKUP($P$6,'Full League'!$L$4:$N$5,3,FALSE)</f>
        <v>11.586233565351895</v>
      </c>
    </row>
    <row r="9" spans="1:16" x14ac:dyDescent="0.25">
      <c r="A9" t="s">
        <v>19</v>
      </c>
      <c r="B9" t="s">
        <v>190</v>
      </c>
      <c r="C9" t="s">
        <v>274</v>
      </c>
      <c r="E9" s="1" t="str">
        <f t="shared" si="1"/>
        <v>Away</v>
      </c>
      <c r="F9" s="3">
        <f t="shared" si="2"/>
        <v>9</v>
      </c>
      <c r="G9" s="3">
        <f t="shared" si="3"/>
        <v>10</v>
      </c>
      <c r="H9" s="3">
        <f t="shared" si="0"/>
        <v>19</v>
      </c>
      <c r="I9" s="3" t="str">
        <f t="shared" si="4"/>
        <v>L</v>
      </c>
      <c r="K9" s="7" t="s">
        <v>145</v>
      </c>
      <c r="L9" s="5">
        <f>(P7)/(P7-1+L8)</f>
        <v>1.0197759923643019</v>
      </c>
      <c r="O9" s="4"/>
      <c r="P9" s="1"/>
    </row>
    <row r="10" spans="1:16" x14ac:dyDescent="0.25">
      <c r="A10" t="s">
        <v>193</v>
      </c>
      <c r="B10" t="s">
        <v>190</v>
      </c>
      <c r="C10" t="s">
        <v>125</v>
      </c>
      <c r="E10" s="1" t="str">
        <f t="shared" si="1"/>
        <v>Away</v>
      </c>
      <c r="F10" s="3">
        <f t="shared" si="2"/>
        <v>0</v>
      </c>
      <c r="G10" s="3">
        <f t="shared" si="3"/>
        <v>4</v>
      </c>
      <c r="H10" s="3">
        <f t="shared" si="0"/>
        <v>4</v>
      </c>
      <c r="I10" s="3" t="str">
        <f t="shared" si="4"/>
        <v>L</v>
      </c>
      <c r="K10" s="4" t="s">
        <v>149</v>
      </c>
      <c r="L10" s="5">
        <f>L8*L9</f>
        <v>0.82201606872128252</v>
      </c>
      <c r="O10" s="4"/>
      <c r="P10" s="1"/>
    </row>
    <row r="11" spans="1:16" x14ac:dyDescent="0.25">
      <c r="A11" t="s">
        <v>22</v>
      </c>
      <c r="B11" t="s">
        <v>278</v>
      </c>
      <c r="C11" t="s">
        <v>240</v>
      </c>
      <c r="E11" s="1" t="str">
        <f t="shared" si="1"/>
        <v>Home</v>
      </c>
      <c r="F11" s="3">
        <f t="shared" si="2"/>
        <v>1</v>
      </c>
      <c r="G11" s="3">
        <f t="shared" si="3"/>
        <v>3</v>
      </c>
      <c r="H11" s="3">
        <f t="shared" si="0"/>
        <v>4</v>
      </c>
      <c r="I11" s="3" t="str">
        <f t="shared" si="4"/>
        <v>L</v>
      </c>
      <c r="K11" s="4" t="s">
        <v>148</v>
      </c>
      <c r="L11" s="5">
        <f>1 - ((L10-1)/(P7-1))</f>
        <v>1.0197759923643019</v>
      </c>
      <c r="O11" s="4"/>
      <c r="P11" s="1"/>
    </row>
    <row r="12" spans="1:16" x14ac:dyDescent="0.25">
      <c r="A12" t="s">
        <v>196</v>
      </c>
      <c r="B12" t="s">
        <v>278</v>
      </c>
      <c r="C12" t="s">
        <v>300</v>
      </c>
      <c r="E12" s="1" t="str">
        <f t="shared" si="1"/>
        <v>Home</v>
      </c>
      <c r="F12" s="3">
        <f t="shared" si="2"/>
        <v>9</v>
      </c>
      <c r="G12" s="3">
        <f t="shared" si="3"/>
        <v>4</v>
      </c>
      <c r="H12" s="3">
        <f t="shared" si="0"/>
        <v>13</v>
      </c>
      <c r="I12" s="3" t="str">
        <f t="shared" si="4"/>
        <v>W</v>
      </c>
      <c r="K12" s="4" t="s">
        <v>150</v>
      </c>
      <c r="L12" s="5">
        <f>(($L4/$L11)+($L3/$L10)) * (1 + (L13-1)/($P7-1)) / $P8</f>
        <v>1.0828883003110805</v>
      </c>
      <c r="M12" s="5">
        <f t="shared" ref="M12:O12" si="5">(($L4/$L11)+($L3/$L10)) * (1 + (M13-1)/($P7-1)) / $P8</f>
        <v>1.0755550495307873</v>
      </c>
      <c r="N12" s="5">
        <f t="shared" si="5"/>
        <v>1.0754638266837564</v>
      </c>
      <c r="O12" s="8">
        <f t="shared" si="5"/>
        <v>1.0754626919062789</v>
      </c>
      <c r="P12" s="5"/>
    </row>
    <row r="13" spans="1:16" x14ac:dyDescent="0.25">
      <c r="A13" t="s">
        <v>25</v>
      </c>
      <c r="B13" t="s">
        <v>211</v>
      </c>
      <c r="C13" t="s">
        <v>94</v>
      </c>
      <c r="E13" s="1" t="str">
        <f t="shared" si="1"/>
        <v>Away</v>
      </c>
      <c r="F13" s="3">
        <f t="shared" si="2"/>
        <v>4</v>
      </c>
      <c r="G13" s="3">
        <f t="shared" si="3"/>
        <v>8</v>
      </c>
      <c r="H13" s="3">
        <f t="shared" si="0"/>
        <v>12</v>
      </c>
      <c r="I13" s="3" t="str">
        <f t="shared" si="4"/>
        <v>L</v>
      </c>
      <c r="K13" s="4" t="s">
        <v>182</v>
      </c>
      <c r="L13" s="5">
        <v>1</v>
      </c>
      <c r="M13" s="5">
        <f>(($M4/$L11)+($M3/$L10)) * (1 + (L12-1)/($P7-1)) / $P8</f>
        <v>0.93905257171614065</v>
      </c>
      <c r="N13" s="5">
        <f>(($M4/$L11)+($M3/$L10)) * (1 + (M12-1)/($P7-1)) / $P8</f>
        <v>0.93829440891851634</v>
      </c>
      <c r="O13" s="5">
        <f>(($M4/$L11)+($M3/$L10)) * (1 + (N12-1)/($P7-1)) / $P8</f>
        <v>0.93828497766204033</v>
      </c>
      <c r="P13" s="8">
        <f>(($M4/$L11)+($M3/$L10)) * (1 + (O12-1)/($P7-1)) / $P8</f>
        <v>0.93828486034080139</v>
      </c>
    </row>
    <row r="14" spans="1:16" x14ac:dyDescent="0.25">
      <c r="A14" t="s">
        <v>27</v>
      </c>
      <c r="B14" t="s">
        <v>222</v>
      </c>
      <c r="C14" t="s">
        <v>351</v>
      </c>
      <c r="E14" s="1" t="str">
        <f t="shared" si="1"/>
        <v>Home</v>
      </c>
      <c r="F14" s="3">
        <f t="shared" si="2"/>
        <v>2</v>
      </c>
      <c r="G14" s="3">
        <f t="shared" si="3"/>
        <v>1</v>
      </c>
      <c r="H14" s="3">
        <f t="shared" si="0"/>
        <v>3</v>
      </c>
      <c r="I14" s="3" t="str">
        <f t="shared" si="4"/>
        <v>W</v>
      </c>
      <c r="K14" s="4" t="s">
        <v>183</v>
      </c>
      <c r="L14" s="5">
        <f xml:space="preserve"> (L10+L11) / (2 * (1 + ((P13-1)/(P7-1))))</f>
        <v>0.92725443464655033</v>
      </c>
      <c r="N14" s="5"/>
    </row>
    <row r="15" spans="1:16" x14ac:dyDescent="0.25">
      <c r="A15" t="s">
        <v>29</v>
      </c>
      <c r="B15" t="s">
        <v>222</v>
      </c>
      <c r="C15" t="s">
        <v>384</v>
      </c>
      <c r="E15" s="1" t="str">
        <f t="shared" si="1"/>
        <v>Home</v>
      </c>
      <c r="F15" s="3">
        <f t="shared" si="2"/>
        <v>7</v>
      </c>
      <c r="G15" s="3">
        <f t="shared" si="3"/>
        <v>5</v>
      </c>
      <c r="H15" s="3">
        <f t="shared" si="0"/>
        <v>12</v>
      </c>
      <c r="I15" s="3" t="str">
        <f t="shared" si="4"/>
        <v>W</v>
      </c>
      <c r="K15" s="4" t="s">
        <v>184</v>
      </c>
      <c r="L15" s="5">
        <f xml:space="preserve"> (L10+L11) / (2 * (1 + ((O12-1)/(P7-1))))</f>
        <v>0.91323875776346153</v>
      </c>
    </row>
    <row r="16" spans="1:16" ht="15.75" thickBot="1" x14ac:dyDescent="0.3">
      <c r="A16" t="s">
        <v>32</v>
      </c>
      <c r="B16" t="s">
        <v>222</v>
      </c>
      <c r="C16" t="s">
        <v>254</v>
      </c>
      <c r="E16" s="1" t="str">
        <f t="shared" si="1"/>
        <v>Home</v>
      </c>
      <c r="F16" s="3">
        <f t="shared" si="2"/>
        <v>5</v>
      </c>
      <c r="G16" s="3">
        <f t="shared" si="3"/>
        <v>4</v>
      </c>
      <c r="H16" s="3">
        <f t="shared" si="0"/>
        <v>9</v>
      </c>
      <c r="I16" s="3" t="str">
        <f t="shared" si="4"/>
        <v>W</v>
      </c>
    </row>
    <row r="17" spans="1:14" x14ac:dyDescent="0.25">
      <c r="A17" t="s">
        <v>34</v>
      </c>
      <c r="B17" t="s">
        <v>210</v>
      </c>
      <c r="C17" t="s">
        <v>50</v>
      </c>
      <c r="E17" s="1" t="str">
        <f t="shared" si="1"/>
        <v>Away</v>
      </c>
      <c r="F17" s="3">
        <f t="shared" si="2"/>
        <v>3</v>
      </c>
      <c r="G17" s="3">
        <f t="shared" si="3"/>
        <v>4</v>
      </c>
      <c r="H17" s="3">
        <f t="shared" si="0"/>
        <v>7</v>
      </c>
      <c r="I17" s="3" t="str">
        <f t="shared" si="4"/>
        <v>L</v>
      </c>
      <c r="K17" s="9" t="s">
        <v>185</v>
      </c>
      <c r="L17" s="10">
        <f>L14*100</f>
        <v>92.725443464655029</v>
      </c>
    </row>
    <row r="18" spans="1:14" ht="15.75" thickBot="1" x14ac:dyDescent="0.3">
      <c r="A18" t="s">
        <v>37</v>
      </c>
      <c r="B18" t="s">
        <v>210</v>
      </c>
      <c r="C18" t="s">
        <v>270</v>
      </c>
      <c r="E18" s="1" t="str">
        <f t="shared" si="1"/>
        <v>Away</v>
      </c>
      <c r="F18" s="3">
        <f t="shared" si="2"/>
        <v>4</v>
      </c>
      <c r="G18" s="3">
        <f t="shared" si="3"/>
        <v>3</v>
      </c>
      <c r="H18" s="3">
        <f t="shared" si="0"/>
        <v>7</v>
      </c>
      <c r="I18" s="3" t="str">
        <f t="shared" si="4"/>
        <v>W</v>
      </c>
      <c r="K18" s="11" t="s">
        <v>186</v>
      </c>
      <c r="L18" s="12">
        <f>L15*100</f>
        <v>91.323875776346156</v>
      </c>
    </row>
    <row r="19" spans="1:14" x14ac:dyDescent="0.25">
      <c r="A19" t="s">
        <v>43</v>
      </c>
      <c r="B19" t="s">
        <v>263</v>
      </c>
      <c r="C19" t="s">
        <v>232</v>
      </c>
      <c r="E19" s="1" t="str">
        <f t="shared" si="1"/>
        <v>Home</v>
      </c>
      <c r="F19" s="3">
        <f t="shared" si="2"/>
        <v>8</v>
      </c>
      <c r="G19" s="3">
        <f t="shared" si="3"/>
        <v>6</v>
      </c>
      <c r="H19" s="3">
        <f t="shared" si="0"/>
        <v>14</v>
      </c>
      <c r="I19" s="3" t="str">
        <f t="shared" si="4"/>
        <v>W</v>
      </c>
    </row>
    <row r="20" spans="1:14" x14ac:dyDescent="0.25">
      <c r="A20" t="s">
        <v>45</v>
      </c>
      <c r="B20" t="s">
        <v>263</v>
      </c>
      <c r="C20" t="s">
        <v>270</v>
      </c>
      <c r="E20" s="1" t="str">
        <f t="shared" si="1"/>
        <v>Home</v>
      </c>
      <c r="F20" s="3">
        <f t="shared" si="2"/>
        <v>4</v>
      </c>
      <c r="G20" s="3">
        <f t="shared" si="3"/>
        <v>3</v>
      </c>
      <c r="H20" s="3">
        <f t="shared" si="0"/>
        <v>7</v>
      </c>
      <c r="I20" s="3" t="str">
        <f t="shared" si="4"/>
        <v>W</v>
      </c>
    </row>
    <row r="21" spans="1:14" x14ac:dyDescent="0.25">
      <c r="A21" t="s">
        <v>47</v>
      </c>
      <c r="B21" t="s">
        <v>211</v>
      </c>
      <c r="C21" t="s">
        <v>219</v>
      </c>
      <c r="E21" s="1" t="str">
        <f t="shared" si="1"/>
        <v>Away</v>
      </c>
      <c r="F21" s="3">
        <f t="shared" si="2"/>
        <v>0</v>
      </c>
      <c r="G21" s="3">
        <f t="shared" si="3"/>
        <v>2</v>
      </c>
      <c r="H21" s="3">
        <f t="shared" si="0"/>
        <v>2</v>
      </c>
      <c r="I21" s="3" t="str">
        <f t="shared" si="4"/>
        <v>L</v>
      </c>
    </row>
    <row r="22" spans="1:14" x14ac:dyDescent="0.25">
      <c r="A22" t="s">
        <v>49</v>
      </c>
      <c r="B22" t="s">
        <v>222</v>
      </c>
      <c r="C22" t="s">
        <v>128</v>
      </c>
      <c r="E22" s="1" t="str">
        <f t="shared" si="1"/>
        <v>Home</v>
      </c>
      <c r="F22" s="3">
        <f t="shared" si="2"/>
        <v>6</v>
      </c>
      <c r="G22" s="3">
        <f t="shared" si="3"/>
        <v>5</v>
      </c>
      <c r="H22" s="3">
        <f t="shared" si="0"/>
        <v>11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51</v>
      </c>
      <c r="B23" t="s">
        <v>210</v>
      </c>
      <c r="C23" t="s">
        <v>244</v>
      </c>
      <c r="E23" s="1" t="str">
        <f t="shared" si="1"/>
        <v>Away</v>
      </c>
      <c r="F23" s="3">
        <f t="shared" si="2"/>
        <v>6</v>
      </c>
      <c r="G23" s="3">
        <f t="shared" si="3"/>
        <v>3</v>
      </c>
      <c r="H23" s="3">
        <f t="shared" si="0"/>
        <v>9</v>
      </c>
      <c r="I23" s="3" t="str">
        <f t="shared" si="4"/>
        <v>W</v>
      </c>
      <c r="K23" s="1">
        <f>COUNTIFS(Table25[At], "Home",Table25[Result], "W")</f>
        <v>25</v>
      </c>
      <c r="L23" s="1">
        <f>COUNTIFS(Table25[At], "Home",Table25[Result], "L")</f>
        <v>11</v>
      </c>
      <c r="M23" s="1">
        <f>COUNTIFS(Table25[At], "Away",Table25[Result], "W")</f>
        <v>15</v>
      </c>
      <c r="N23" s="1">
        <f>COUNTIFS(Table25[At], "Away",Table25[Result], "L")</f>
        <v>17</v>
      </c>
    </row>
    <row r="24" spans="1:14" x14ac:dyDescent="0.25">
      <c r="A24" t="s">
        <v>51</v>
      </c>
      <c r="B24" t="s">
        <v>210</v>
      </c>
      <c r="C24" t="s">
        <v>277</v>
      </c>
      <c r="E24" s="1" t="str">
        <f t="shared" si="1"/>
        <v>Away</v>
      </c>
      <c r="F24" s="3">
        <f t="shared" si="2"/>
        <v>5</v>
      </c>
      <c r="G24" s="3">
        <f t="shared" si="3"/>
        <v>8</v>
      </c>
      <c r="H24" s="3">
        <f t="shared" si="0"/>
        <v>13</v>
      </c>
      <c r="I24" s="3" t="str">
        <f t="shared" si="4"/>
        <v>L</v>
      </c>
      <c r="K24" s="1"/>
      <c r="M24" s="1"/>
      <c r="N24" s="1"/>
    </row>
    <row r="25" spans="1:14" x14ac:dyDescent="0.25">
      <c r="A25" t="s">
        <v>53</v>
      </c>
      <c r="B25" t="s">
        <v>241</v>
      </c>
      <c r="C25" t="s">
        <v>280</v>
      </c>
      <c r="E25" s="1" t="str">
        <f t="shared" si="1"/>
        <v>Home</v>
      </c>
      <c r="F25" s="3">
        <f t="shared" si="2"/>
        <v>8</v>
      </c>
      <c r="G25" s="3">
        <f t="shared" si="3"/>
        <v>3</v>
      </c>
      <c r="H25" s="3">
        <f t="shared" si="0"/>
        <v>11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208</v>
      </c>
      <c r="B26" t="s">
        <v>241</v>
      </c>
      <c r="C26" t="s">
        <v>85</v>
      </c>
      <c r="E26" s="1" t="str">
        <f t="shared" si="1"/>
        <v>Home</v>
      </c>
      <c r="F26" s="3">
        <f t="shared" si="2"/>
        <v>5</v>
      </c>
      <c r="G26" s="3">
        <f t="shared" si="3"/>
        <v>3</v>
      </c>
      <c r="H26" s="3">
        <f t="shared" si="0"/>
        <v>8</v>
      </c>
      <c r="I26" s="3" t="str">
        <f t="shared" si="4"/>
        <v>W</v>
      </c>
      <c r="K26" s="1">
        <f>COUNTIFS(Table25[oR/G], "&gt;0",Table25[Result], "W")</f>
        <v>8</v>
      </c>
      <c r="L26" s="1">
        <f>COUNTIFS(Table25[oR/G], "&gt;0",Table25[Result], "l")</f>
        <v>16</v>
      </c>
      <c r="M26" s="1">
        <f>COUNTIFS(Table25[oR/G], "&lt;0",Table25[Result], "W")</f>
        <v>32</v>
      </c>
      <c r="N26" s="1">
        <f>COUNTIFS(Table25[oR/G], "&lt;0",Table25[Result], "l")</f>
        <v>12</v>
      </c>
    </row>
    <row r="27" spans="1:14" x14ac:dyDescent="0.25">
      <c r="A27" t="s">
        <v>247</v>
      </c>
      <c r="B27" t="s">
        <v>231</v>
      </c>
      <c r="C27" t="s">
        <v>320</v>
      </c>
      <c r="E27" s="1" t="str">
        <f t="shared" si="1"/>
        <v>Home</v>
      </c>
      <c r="F27" s="3">
        <f t="shared" si="2"/>
        <v>5</v>
      </c>
      <c r="G27" s="3">
        <f t="shared" si="3"/>
        <v>1</v>
      </c>
      <c r="H27" s="3">
        <f t="shared" si="0"/>
        <v>6</v>
      </c>
      <c r="I27" s="3" t="str">
        <f t="shared" si="4"/>
        <v>W</v>
      </c>
    </row>
    <row r="28" spans="1:14" x14ac:dyDescent="0.25">
      <c r="A28" t="s">
        <v>54</v>
      </c>
      <c r="B28" t="s">
        <v>231</v>
      </c>
      <c r="C28" t="s">
        <v>61</v>
      </c>
      <c r="E28" s="1" t="str">
        <f t="shared" si="1"/>
        <v>Home</v>
      </c>
      <c r="F28" s="3">
        <f t="shared" si="2"/>
        <v>7</v>
      </c>
      <c r="G28" s="3">
        <f t="shared" si="3"/>
        <v>3</v>
      </c>
      <c r="H28" s="3">
        <f t="shared" si="0"/>
        <v>10</v>
      </c>
      <c r="I28" s="3" t="str">
        <f t="shared" si="4"/>
        <v>W</v>
      </c>
    </row>
    <row r="29" spans="1:14" x14ac:dyDescent="0.25">
      <c r="A29" t="s">
        <v>60</v>
      </c>
      <c r="B29" t="s">
        <v>190</v>
      </c>
      <c r="C29" t="s">
        <v>195</v>
      </c>
      <c r="E29" s="1" t="str">
        <f t="shared" si="1"/>
        <v>Away</v>
      </c>
      <c r="F29" s="3">
        <f t="shared" si="2"/>
        <v>8</v>
      </c>
      <c r="G29" s="3">
        <f t="shared" si="3"/>
        <v>1</v>
      </c>
      <c r="H29" s="3">
        <f t="shared" si="0"/>
        <v>9</v>
      </c>
      <c r="I29" s="3" t="str">
        <f t="shared" si="4"/>
        <v>W</v>
      </c>
    </row>
    <row r="30" spans="1:14" x14ac:dyDescent="0.25">
      <c r="A30" t="s">
        <v>60</v>
      </c>
      <c r="B30" t="s">
        <v>190</v>
      </c>
      <c r="C30" t="s">
        <v>85</v>
      </c>
      <c r="E30" s="1" t="str">
        <f t="shared" si="1"/>
        <v>Away</v>
      </c>
      <c r="F30" s="3">
        <f t="shared" si="2"/>
        <v>5</v>
      </c>
      <c r="G30" s="3">
        <f t="shared" si="3"/>
        <v>3</v>
      </c>
      <c r="H30" s="3">
        <f t="shared" si="0"/>
        <v>8</v>
      </c>
      <c r="I30" s="3" t="str">
        <f t="shared" si="4"/>
        <v>W</v>
      </c>
    </row>
    <row r="31" spans="1:14" x14ac:dyDescent="0.25">
      <c r="A31" t="s">
        <v>62</v>
      </c>
      <c r="B31" t="s">
        <v>201</v>
      </c>
      <c r="C31" t="s">
        <v>254</v>
      </c>
      <c r="E31" s="1" t="str">
        <f t="shared" si="1"/>
        <v>Away</v>
      </c>
      <c r="F31" s="3">
        <f t="shared" si="2"/>
        <v>5</v>
      </c>
      <c r="G31" s="3">
        <f t="shared" si="3"/>
        <v>4</v>
      </c>
      <c r="H31" s="3">
        <f t="shared" si="0"/>
        <v>9</v>
      </c>
      <c r="I31" s="3" t="str">
        <f t="shared" si="4"/>
        <v>W</v>
      </c>
    </row>
    <row r="32" spans="1:14" x14ac:dyDescent="0.25">
      <c r="A32" t="s">
        <v>64</v>
      </c>
      <c r="B32" t="s">
        <v>201</v>
      </c>
      <c r="C32" t="s">
        <v>36</v>
      </c>
      <c r="E32" s="1" t="str">
        <f t="shared" si="1"/>
        <v>Away</v>
      </c>
      <c r="F32" s="3">
        <f t="shared" si="2"/>
        <v>1</v>
      </c>
      <c r="G32" s="3">
        <f t="shared" si="3"/>
        <v>5</v>
      </c>
      <c r="H32" s="3">
        <f t="shared" si="0"/>
        <v>6</v>
      </c>
      <c r="I32" s="3" t="str">
        <f t="shared" si="4"/>
        <v>L</v>
      </c>
    </row>
    <row r="33" spans="1:9" x14ac:dyDescent="0.25">
      <c r="A33" t="s">
        <v>66</v>
      </c>
      <c r="B33" t="s">
        <v>203</v>
      </c>
      <c r="C33" t="s">
        <v>318</v>
      </c>
      <c r="E33" s="1" t="str">
        <f t="shared" si="1"/>
        <v>Away</v>
      </c>
      <c r="F33" s="3">
        <f t="shared" si="2"/>
        <v>11</v>
      </c>
      <c r="G33" s="3">
        <f t="shared" si="3"/>
        <v>4</v>
      </c>
      <c r="H33" s="3">
        <f t="shared" si="0"/>
        <v>15</v>
      </c>
      <c r="I33" s="3" t="str">
        <f t="shared" si="4"/>
        <v>W</v>
      </c>
    </row>
    <row r="34" spans="1:9" x14ac:dyDescent="0.25">
      <c r="A34" t="s">
        <v>67</v>
      </c>
      <c r="B34" t="s">
        <v>203</v>
      </c>
      <c r="C34" t="s">
        <v>128</v>
      </c>
      <c r="E34" s="1" t="str">
        <f t="shared" si="1"/>
        <v>Away</v>
      </c>
      <c r="F34" s="3">
        <f t="shared" si="2"/>
        <v>6</v>
      </c>
      <c r="G34" s="3">
        <f t="shared" si="3"/>
        <v>5</v>
      </c>
      <c r="H34" s="3">
        <f t="shared" si="0"/>
        <v>11</v>
      </c>
      <c r="I34" s="3" t="str">
        <f t="shared" si="4"/>
        <v>W</v>
      </c>
    </row>
    <row r="35" spans="1:9" x14ac:dyDescent="0.25">
      <c r="A35" t="s">
        <v>68</v>
      </c>
      <c r="B35" t="s">
        <v>203</v>
      </c>
      <c r="C35" t="s">
        <v>61</v>
      </c>
      <c r="E35" s="1" t="str">
        <f t="shared" si="1"/>
        <v>Away</v>
      </c>
      <c r="F35" s="3">
        <f t="shared" si="2"/>
        <v>7</v>
      </c>
      <c r="G35" s="3">
        <f t="shared" si="3"/>
        <v>3</v>
      </c>
      <c r="H35" s="3">
        <f t="shared" si="0"/>
        <v>10</v>
      </c>
      <c r="I35" s="3" t="str">
        <f t="shared" si="4"/>
        <v>W</v>
      </c>
    </row>
    <row r="36" spans="1:9" x14ac:dyDescent="0.25">
      <c r="A36" t="s">
        <v>209</v>
      </c>
      <c r="B36" t="s">
        <v>258</v>
      </c>
      <c r="C36" t="s">
        <v>351</v>
      </c>
      <c r="E36" s="1" t="str">
        <f t="shared" si="1"/>
        <v>Home</v>
      </c>
      <c r="F36" s="3">
        <f t="shared" si="2"/>
        <v>2</v>
      </c>
      <c r="G36" s="3">
        <f t="shared" si="3"/>
        <v>1</v>
      </c>
      <c r="H36" s="3">
        <f t="shared" si="0"/>
        <v>3</v>
      </c>
      <c r="I36" s="3" t="str">
        <f t="shared" si="4"/>
        <v>W</v>
      </c>
    </row>
    <row r="37" spans="1:9" x14ac:dyDescent="0.25">
      <c r="A37" t="s">
        <v>209</v>
      </c>
      <c r="B37" t="s">
        <v>258</v>
      </c>
      <c r="C37" t="s">
        <v>226</v>
      </c>
      <c r="E37" s="1" t="str">
        <f t="shared" si="1"/>
        <v>Home</v>
      </c>
      <c r="F37" s="3">
        <f t="shared" si="2"/>
        <v>3</v>
      </c>
      <c r="G37" s="3">
        <f t="shared" si="3"/>
        <v>2</v>
      </c>
      <c r="H37" s="3">
        <f t="shared" si="0"/>
        <v>5</v>
      </c>
      <c r="I37" s="3" t="str">
        <f t="shared" si="4"/>
        <v>W</v>
      </c>
    </row>
    <row r="38" spans="1:9" x14ac:dyDescent="0.25">
      <c r="A38" t="s">
        <v>76</v>
      </c>
      <c r="B38" t="s">
        <v>192</v>
      </c>
      <c r="C38" t="s">
        <v>401</v>
      </c>
      <c r="E38" s="1" t="str">
        <f t="shared" si="1"/>
        <v>Away</v>
      </c>
      <c r="F38" s="3">
        <f t="shared" si="2"/>
        <v>11</v>
      </c>
      <c r="G38" s="3">
        <f t="shared" si="3"/>
        <v>8</v>
      </c>
      <c r="H38" s="3">
        <f t="shared" si="0"/>
        <v>19</v>
      </c>
      <c r="I38" s="3" t="str">
        <f t="shared" si="4"/>
        <v>W</v>
      </c>
    </row>
    <row r="39" spans="1:9" x14ac:dyDescent="0.25">
      <c r="A39" t="s">
        <v>78</v>
      </c>
      <c r="B39" t="s">
        <v>192</v>
      </c>
      <c r="C39" t="s">
        <v>316</v>
      </c>
      <c r="E39" s="1" t="str">
        <f t="shared" si="1"/>
        <v>Away</v>
      </c>
      <c r="F39" s="3">
        <f t="shared" si="2"/>
        <v>9</v>
      </c>
      <c r="G39" s="3">
        <f t="shared" si="3"/>
        <v>6</v>
      </c>
      <c r="H39" s="3">
        <f t="shared" si="0"/>
        <v>15</v>
      </c>
      <c r="I39" s="3" t="str">
        <f t="shared" si="4"/>
        <v>W</v>
      </c>
    </row>
    <row r="40" spans="1:9" x14ac:dyDescent="0.25">
      <c r="A40" t="s">
        <v>80</v>
      </c>
      <c r="B40" t="s">
        <v>235</v>
      </c>
      <c r="C40" t="s">
        <v>6</v>
      </c>
      <c r="E40" s="1" t="str">
        <f t="shared" si="1"/>
        <v>Home</v>
      </c>
      <c r="F40" s="3">
        <f t="shared" si="2"/>
        <v>2</v>
      </c>
      <c r="G40" s="3">
        <f t="shared" si="3"/>
        <v>6</v>
      </c>
      <c r="H40" s="3">
        <f t="shared" si="0"/>
        <v>8</v>
      </c>
      <c r="I40" s="3" t="str">
        <f t="shared" si="4"/>
        <v>L</v>
      </c>
    </row>
    <row r="41" spans="1:9" x14ac:dyDescent="0.25">
      <c r="A41" t="s">
        <v>81</v>
      </c>
      <c r="B41" t="s">
        <v>235</v>
      </c>
      <c r="C41" t="s">
        <v>219</v>
      </c>
      <c r="E41" s="1" t="str">
        <f t="shared" si="1"/>
        <v>Home</v>
      </c>
      <c r="F41" s="3">
        <f t="shared" si="2"/>
        <v>0</v>
      </c>
      <c r="G41" s="3">
        <f t="shared" si="3"/>
        <v>2</v>
      </c>
      <c r="H41" s="3">
        <f t="shared" si="0"/>
        <v>2</v>
      </c>
      <c r="I41" s="3" t="str">
        <f t="shared" si="4"/>
        <v>L</v>
      </c>
    </row>
    <row r="42" spans="1:9" x14ac:dyDescent="0.25">
      <c r="A42" t="s">
        <v>82</v>
      </c>
      <c r="B42" t="s">
        <v>225</v>
      </c>
      <c r="C42" t="s">
        <v>207</v>
      </c>
      <c r="E42" s="1" t="str">
        <f t="shared" si="1"/>
        <v>Home</v>
      </c>
      <c r="F42" s="3">
        <f t="shared" si="2"/>
        <v>3</v>
      </c>
      <c r="G42" s="3">
        <f t="shared" si="3"/>
        <v>8</v>
      </c>
      <c r="H42" s="3">
        <f t="shared" si="0"/>
        <v>11</v>
      </c>
      <c r="I42" s="3" t="str">
        <f t="shared" si="4"/>
        <v>L</v>
      </c>
    </row>
    <row r="43" spans="1:9" x14ac:dyDescent="0.25">
      <c r="A43" t="s">
        <v>84</v>
      </c>
      <c r="B43" t="s">
        <v>225</v>
      </c>
      <c r="C43" t="s">
        <v>402</v>
      </c>
      <c r="E43" s="1" t="str">
        <f t="shared" si="1"/>
        <v>Home</v>
      </c>
      <c r="F43" s="3">
        <f t="shared" si="2"/>
        <v>13</v>
      </c>
      <c r="G43" s="3">
        <f t="shared" si="3"/>
        <v>2</v>
      </c>
      <c r="H43" s="3">
        <f t="shared" si="0"/>
        <v>15</v>
      </c>
      <c r="I43" s="3" t="str">
        <f t="shared" si="4"/>
        <v>W</v>
      </c>
    </row>
    <row r="44" spans="1:9" x14ac:dyDescent="0.25">
      <c r="A44" t="s">
        <v>86</v>
      </c>
      <c r="B44" t="s">
        <v>245</v>
      </c>
      <c r="C44" t="s">
        <v>292</v>
      </c>
      <c r="E44" s="1" t="str">
        <f t="shared" si="1"/>
        <v>Home</v>
      </c>
      <c r="F44" s="3">
        <f t="shared" si="2"/>
        <v>7</v>
      </c>
      <c r="G44" s="3">
        <f t="shared" si="3"/>
        <v>8</v>
      </c>
      <c r="H44" s="3">
        <f t="shared" si="0"/>
        <v>15</v>
      </c>
      <c r="I44" s="3" t="str">
        <f t="shared" si="4"/>
        <v>L</v>
      </c>
    </row>
    <row r="45" spans="1:9" x14ac:dyDescent="0.25">
      <c r="A45" t="s">
        <v>86</v>
      </c>
      <c r="B45" t="s">
        <v>245</v>
      </c>
      <c r="C45" t="s">
        <v>253</v>
      </c>
      <c r="E45" s="1" t="str">
        <f t="shared" si="1"/>
        <v>Home</v>
      </c>
      <c r="F45" s="3">
        <f t="shared" si="2"/>
        <v>4</v>
      </c>
      <c r="G45" s="3">
        <f t="shared" si="3"/>
        <v>0</v>
      </c>
      <c r="H45" s="3">
        <f t="shared" si="0"/>
        <v>4</v>
      </c>
      <c r="I45" s="3" t="str">
        <f t="shared" si="4"/>
        <v>W</v>
      </c>
    </row>
    <row r="46" spans="1:9" x14ac:dyDescent="0.25">
      <c r="A46" t="s">
        <v>88</v>
      </c>
      <c r="B46" t="s">
        <v>194</v>
      </c>
      <c r="C46" t="s">
        <v>301</v>
      </c>
      <c r="E46" s="1" t="str">
        <f t="shared" si="1"/>
        <v>Away</v>
      </c>
      <c r="F46" s="3">
        <f t="shared" si="2"/>
        <v>3</v>
      </c>
      <c r="G46" s="3">
        <f t="shared" si="3"/>
        <v>9</v>
      </c>
      <c r="H46" s="3">
        <f t="shared" si="0"/>
        <v>12</v>
      </c>
      <c r="I46" s="3" t="str">
        <f t="shared" si="4"/>
        <v>L</v>
      </c>
    </row>
    <row r="47" spans="1:9" x14ac:dyDescent="0.25">
      <c r="A47" t="s">
        <v>91</v>
      </c>
      <c r="B47" t="s">
        <v>194</v>
      </c>
      <c r="C47" t="s">
        <v>199</v>
      </c>
      <c r="E47" s="1" t="str">
        <f t="shared" si="1"/>
        <v>Away</v>
      </c>
      <c r="F47" s="3">
        <f t="shared" si="2"/>
        <v>3</v>
      </c>
      <c r="G47" s="3">
        <f t="shared" si="3"/>
        <v>7</v>
      </c>
      <c r="H47" s="3">
        <f t="shared" si="0"/>
        <v>10</v>
      </c>
      <c r="I47" s="3" t="str">
        <f t="shared" si="4"/>
        <v>L</v>
      </c>
    </row>
    <row r="48" spans="1:9" x14ac:dyDescent="0.25">
      <c r="A48" t="s">
        <v>93</v>
      </c>
      <c r="B48" t="s">
        <v>198</v>
      </c>
      <c r="C48" t="s">
        <v>244</v>
      </c>
      <c r="E48" s="1" t="str">
        <f t="shared" si="1"/>
        <v>Away</v>
      </c>
      <c r="F48" s="3">
        <f t="shared" si="2"/>
        <v>6</v>
      </c>
      <c r="G48" s="3">
        <f t="shared" si="3"/>
        <v>3</v>
      </c>
      <c r="H48" s="3">
        <f t="shared" si="0"/>
        <v>9</v>
      </c>
      <c r="I48" s="3" t="str">
        <f t="shared" si="4"/>
        <v>W</v>
      </c>
    </row>
    <row r="49" spans="1:9" x14ac:dyDescent="0.25">
      <c r="A49" t="s">
        <v>96</v>
      </c>
      <c r="B49" t="s">
        <v>198</v>
      </c>
      <c r="C49" t="s">
        <v>295</v>
      </c>
      <c r="E49" s="1" t="str">
        <f t="shared" si="1"/>
        <v>Away</v>
      </c>
      <c r="F49" s="3">
        <f t="shared" si="2"/>
        <v>1</v>
      </c>
      <c r="G49" s="3">
        <f t="shared" si="3"/>
        <v>0</v>
      </c>
      <c r="H49" s="3">
        <f t="shared" si="0"/>
        <v>1</v>
      </c>
      <c r="I49" s="3" t="str">
        <f t="shared" si="4"/>
        <v>W</v>
      </c>
    </row>
    <row r="50" spans="1:9" x14ac:dyDescent="0.25">
      <c r="A50" t="s">
        <v>97</v>
      </c>
      <c r="B50" t="s">
        <v>235</v>
      </c>
      <c r="C50" t="s">
        <v>35</v>
      </c>
      <c r="E50" s="1" t="str">
        <f t="shared" si="1"/>
        <v>Home</v>
      </c>
      <c r="F50" s="3">
        <f t="shared" si="2"/>
        <v>4</v>
      </c>
      <c r="G50" s="3">
        <f t="shared" si="3"/>
        <v>1</v>
      </c>
      <c r="H50" s="3">
        <f t="shared" si="0"/>
        <v>5</v>
      </c>
      <c r="I50" s="3" t="str">
        <f t="shared" si="4"/>
        <v>W</v>
      </c>
    </row>
    <row r="51" spans="1:9" x14ac:dyDescent="0.25">
      <c r="A51" t="s">
        <v>100</v>
      </c>
      <c r="B51" t="s">
        <v>235</v>
      </c>
      <c r="C51" t="s">
        <v>347</v>
      </c>
      <c r="E51" s="1" t="str">
        <f t="shared" si="1"/>
        <v>Home</v>
      </c>
      <c r="F51" s="3">
        <f t="shared" si="2"/>
        <v>9</v>
      </c>
      <c r="G51" s="3">
        <f t="shared" si="3"/>
        <v>5</v>
      </c>
      <c r="H51" s="3">
        <f t="shared" si="0"/>
        <v>14</v>
      </c>
      <c r="I51" s="3" t="str">
        <f t="shared" si="4"/>
        <v>W</v>
      </c>
    </row>
    <row r="52" spans="1:9" x14ac:dyDescent="0.25">
      <c r="A52" t="s">
        <v>215</v>
      </c>
      <c r="B52" t="s">
        <v>201</v>
      </c>
      <c r="C52" t="s">
        <v>6</v>
      </c>
      <c r="E52" s="1" t="str">
        <f t="shared" si="1"/>
        <v>Away</v>
      </c>
      <c r="F52" s="3">
        <f t="shared" si="2"/>
        <v>2</v>
      </c>
      <c r="G52" s="3">
        <f t="shared" si="3"/>
        <v>6</v>
      </c>
      <c r="H52" s="3">
        <f t="shared" si="0"/>
        <v>8</v>
      </c>
      <c r="I52" s="3" t="str">
        <f t="shared" si="4"/>
        <v>L</v>
      </c>
    </row>
    <row r="53" spans="1:9" x14ac:dyDescent="0.25">
      <c r="A53" t="s">
        <v>102</v>
      </c>
      <c r="B53" t="s">
        <v>201</v>
      </c>
      <c r="C53" t="s">
        <v>63</v>
      </c>
      <c r="E53" s="1" t="str">
        <f t="shared" si="1"/>
        <v>Away</v>
      </c>
      <c r="F53" s="3">
        <f t="shared" si="2"/>
        <v>12</v>
      </c>
      <c r="G53" s="3">
        <f t="shared" si="3"/>
        <v>7</v>
      </c>
      <c r="H53" s="3">
        <f t="shared" si="0"/>
        <v>19</v>
      </c>
      <c r="I53" s="3" t="str">
        <f t="shared" si="4"/>
        <v>W</v>
      </c>
    </row>
    <row r="54" spans="1:9" x14ac:dyDescent="0.25">
      <c r="A54" t="s">
        <v>105</v>
      </c>
      <c r="B54" t="s">
        <v>198</v>
      </c>
      <c r="C54" t="s">
        <v>226</v>
      </c>
      <c r="E54" s="1" t="str">
        <f t="shared" si="1"/>
        <v>Away</v>
      </c>
      <c r="F54" s="3">
        <f t="shared" si="2"/>
        <v>3</v>
      </c>
      <c r="G54" s="3">
        <f t="shared" si="3"/>
        <v>2</v>
      </c>
      <c r="H54" s="3">
        <f t="shared" si="0"/>
        <v>5</v>
      </c>
      <c r="I54" s="3" t="str">
        <f t="shared" si="4"/>
        <v>W</v>
      </c>
    </row>
    <row r="55" spans="1:9" x14ac:dyDescent="0.25">
      <c r="A55" t="s">
        <v>107</v>
      </c>
      <c r="B55" t="s">
        <v>198</v>
      </c>
      <c r="C55" t="s">
        <v>121</v>
      </c>
      <c r="E55" s="1" t="str">
        <f t="shared" si="1"/>
        <v>Away</v>
      </c>
      <c r="F55" s="3">
        <f t="shared" si="2"/>
        <v>2</v>
      </c>
      <c r="G55" s="3">
        <f t="shared" si="3"/>
        <v>11</v>
      </c>
      <c r="H55" s="3">
        <f t="shared" si="0"/>
        <v>13</v>
      </c>
      <c r="I55" s="3" t="str">
        <f t="shared" si="4"/>
        <v>L</v>
      </c>
    </row>
    <row r="56" spans="1:9" x14ac:dyDescent="0.25">
      <c r="A56" t="s">
        <v>108</v>
      </c>
      <c r="B56" t="s">
        <v>258</v>
      </c>
      <c r="C56" t="s">
        <v>38</v>
      </c>
      <c r="E56" s="1" t="str">
        <f t="shared" si="1"/>
        <v>Home</v>
      </c>
      <c r="F56" s="3">
        <f t="shared" si="2"/>
        <v>3</v>
      </c>
      <c r="G56" s="3">
        <f t="shared" si="3"/>
        <v>5</v>
      </c>
      <c r="H56" s="3">
        <f t="shared" si="0"/>
        <v>8</v>
      </c>
      <c r="I56" s="3" t="str">
        <f t="shared" si="4"/>
        <v>L</v>
      </c>
    </row>
    <row r="57" spans="1:9" x14ac:dyDescent="0.25">
      <c r="A57" t="s">
        <v>110</v>
      </c>
      <c r="B57" t="s">
        <v>258</v>
      </c>
      <c r="C57" t="s">
        <v>128</v>
      </c>
      <c r="E57" s="1" t="str">
        <f t="shared" si="1"/>
        <v>Home</v>
      </c>
      <c r="F57" s="3">
        <f t="shared" si="2"/>
        <v>6</v>
      </c>
      <c r="G57" s="3">
        <f t="shared" si="3"/>
        <v>5</v>
      </c>
      <c r="H57" s="3">
        <f t="shared" si="0"/>
        <v>11</v>
      </c>
      <c r="I57" s="3" t="str">
        <f t="shared" si="4"/>
        <v>W</v>
      </c>
    </row>
    <row r="58" spans="1:9" x14ac:dyDescent="0.25">
      <c r="A58" t="s">
        <v>114</v>
      </c>
      <c r="B58" t="s">
        <v>241</v>
      </c>
      <c r="C58" t="s">
        <v>65</v>
      </c>
      <c r="E58" s="1" t="str">
        <f t="shared" si="1"/>
        <v>Home</v>
      </c>
      <c r="F58" s="3">
        <f t="shared" si="2"/>
        <v>1</v>
      </c>
      <c r="G58" s="3">
        <f t="shared" si="3"/>
        <v>4</v>
      </c>
      <c r="H58" s="3">
        <f t="shared" si="0"/>
        <v>5</v>
      </c>
      <c r="I58" s="3" t="str">
        <f t="shared" si="4"/>
        <v>L</v>
      </c>
    </row>
    <row r="59" spans="1:9" x14ac:dyDescent="0.25">
      <c r="A59" t="s">
        <v>117</v>
      </c>
      <c r="B59" t="s">
        <v>241</v>
      </c>
      <c r="C59" t="s">
        <v>295</v>
      </c>
      <c r="E59" s="1" t="str">
        <f t="shared" si="1"/>
        <v>Home</v>
      </c>
      <c r="F59" s="3">
        <f t="shared" si="2"/>
        <v>1</v>
      </c>
      <c r="G59" s="3">
        <f t="shared" si="3"/>
        <v>0</v>
      </c>
      <c r="H59" s="3">
        <f t="shared" si="0"/>
        <v>1</v>
      </c>
      <c r="I59" s="3" t="str">
        <f t="shared" si="4"/>
        <v>W</v>
      </c>
    </row>
    <row r="60" spans="1:9" x14ac:dyDescent="0.25">
      <c r="A60" t="s">
        <v>119</v>
      </c>
      <c r="B60" t="s">
        <v>192</v>
      </c>
      <c r="C60" t="s">
        <v>36</v>
      </c>
      <c r="E60" s="1" t="str">
        <f t="shared" si="1"/>
        <v>Away</v>
      </c>
      <c r="F60" s="3">
        <f t="shared" si="2"/>
        <v>1</v>
      </c>
      <c r="G60" s="3">
        <f t="shared" si="3"/>
        <v>5</v>
      </c>
      <c r="H60" s="3">
        <f t="shared" si="0"/>
        <v>6</v>
      </c>
      <c r="I60" s="3" t="str">
        <f t="shared" si="4"/>
        <v>L</v>
      </c>
    </row>
    <row r="61" spans="1:9" x14ac:dyDescent="0.25">
      <c r="A61" t="s">
        <v>122</v>
      </c>
      <c r="B61" t="s">
        <v>192</v>
      </c>
      <c r="C61" t="s">
        <v>277</v>
      </c>
      <c r="E61" s="1" t="str">
        <f t="shared" si="1"/>
        <v>Away</v>
      </c>
      <c r="F61" s="3">
        <f t="shared" si="2"/>
        <v>5</v>
      </c>
      <c r="G61" s="3">
        <f t="shared" si="3"/>
        <v>8</v>
      </c>
      <c r="H61" s="3">
        <f t="shared" si="0"/>
        <v>13</v>
      </c>
      <c r="I61" s="3" t="str">
        <f t="shared" si="4"/>
        <v>L</v>
      </c>
    </row>
    <row r="62" spans="1:9" x14ac:dyDescent="0.25">
      <c r="A62" t="s">
        <v>218</v>
      </c>
      <c r="B62" t="s">
        <v>211</v>
      </c>
      <c r="C62" t="s">
        <v>280</v>
      </c>
      <c r="E62" s="1" t="str">
        <f t="shared" si="1"/>
        <v>Away</v>
      </c>
      <c r="F62" s="3">
        <f t="shared" si="2"/>
        <v>8</v>
      </c>
      <c r="G62" s="3">
        <f t="shared" si="3"/>
        <v>3</v>
      </c>
      <c r="H62" s="3">
        <f t="shared" si="0"/>
        <v>11</v>
      </c>
      <c r="I62" s="3" t="str">
        <f t="shared" si="4"/>
        <v>W</v>
      </c>
    </row>
    <row r="63" spans="1:9" x14ac:dyDescent="0.25">
      <c r="A63" t="s">
        <v>123</v>
      </c>
      <c r="B63" t="s">
        <v>211</v>
      </c>
      <c r="C63" t="s">
        <v>85</v>
      </c>
      <c r="E63" s="1" t="str">
        <f t="shared" si="1"/>
        <v>Away</v>
      </c>
      <c r="F63" s="3">
        <f t="shared" si="2"/>
        <v>5</v>
      </c>
      <c r="G63" s="3">
        <f t="shared" si="3"/>
        <v>3</v>
      </c>
      <c r="H63" s="3">
        <f t="shared" si="0"/>
        <v>8</v>
      </c>
      <c r="I63" s="3" t="str">
        <f t="shared" si="4"/>
        <v>W</v>
      </c>
    </row>
    <row r="64" spans="1:9" x14ac:dyDescent="0.25">
      <c r="A64" t="s">
        <v>126</v>
      </c>
      <c r="B64" t="s">
        <v>203</v>
      </c>
      <c r="C64" t="s">
        <v>270</v>
      </c>
      <c r="E64" s="1" t="str">
        <f t="shared" si="1"/>
        <v>Away</v>
      </c>
      <c r="F64" s="3">
        <f t="shared" si="2"/>
        <v>4</v>
      </c>
      <c r="G64" s="3">
        <f t="shared" si="3"/>
        <v>3</v>
      </c>
      <c r="H64" s="3">
        <f t="shared" si="0"/>
        <v>7</v>
      </c>
      <c r="I64" s="3" t="str">
        <f t="shared" si="4"/>
        <v>W</v>
      </c>
    </row>
    <row r="65" spans="1:10" x14ac:dyDescent="0.25">
      <c r="A65" t="s">
        <v>126</v>
      </c>
      <c r="B65" t="s">
        <v>278</v>
      </c>
      <c r="C65" t="s">
        <v>335</v>
      </c>
      <c r="E65" s="1" t="str">
        <f t="shared" si="1"/>
        <v>Home</v>
      </c>
      <c r="F65" s="3">
        <f t="shared" si="2"/>
        <v>6</v>
      </c>
      <c r="G65" s="3">
        <f t="shared" si="3"/>
        <v>4</v>
      </c>
      <c r="H65" s="3">
        <f t="shared" si="0"/>
        <v>10</v>
      </c>
      <c r="I65" s="3" t="str">
        <f t="shared" si="4"/>
        <v>W</v>
      </c>
    </row>
    <row r="66" spans="1:10" x14ac:dyDescent="0.25">
      <c r="A66" t="s">
        <v>127</v>
      </c>
      <c r="B66" t="s">
        <v>278</v>
      </c>
      <c r="C66" t="s">
        <v>200</v>
      </c>
      <c r="E66" s="1" t="str">
        <f t="shared" si="1"/>
        <v>Home</v>
      </c>
      <c r="F66" s="3">
        <f t="shared" si="2"/>
        <v>8</v>
      </c>
      <c r="G66" s="3">
        <f t="shared" si="3"/>
        <v>0</v>
      </c>
      <c r="H66" s="3">
        <f t="shared" si="0"/>
        <v>8</v>
      </c>
      <c r="I66" s="3" t="str">
        <f t="shared" si="4"/>
        <v>W</v>
      </c>
    </row>
    <row r="67" spans="1:10" x14ac:dyDescent="0.25">
      <c r="A67" t="s">
        <v>129</v>
      </c>
      <c r="B67" t="s">
        <v>225</v>
      </c>
      <c r="C67" t="s">
        <v>260</v>
      </c>
      <c r="E67" s="1" t="str">
        <f t="shared" si="1"/>
        <v>Home</v>
      </c>
      <c r="F67" s="3">
        <f t="shared" si="2"/>
        <v>5</v>
      </c>
      <c r="G67" s="3">
        <f t="shared" si="3"/>
        <v>12</v>
      </c>
      <c r="H67" s="3">
        <f t="shared" ref="H67:H70" si="6">F67+G67</f>
        <v>17</v>
      </c>
      <c r="I67" s="3" t="str">
        <f t="shared" si="4"/>
        <v>L</v>
      </c>
    </row>
    <row r="68" spans="1:10" x14ac:dyDescent="0.25">
      <c r="A68" t="s">
        <v>131</v>
      </c>
      <c r="B68" t="s">
        <v>225</v>
      </c>
      <c r="C68" t="s">
        <v>397</v>
      </c>
      <c r="E68" s="1" t="str">
        <f t="shared" ref="E68:E70" si="7">IF(LEFT(B68,1)="@","Away","Home")</f>
        <v>Home</v>
      </c>
      <c r="F68" s="3">
        <f t="shared" ref="F68:F70" si="8">_xlfn.NUMBERVALUE(MID(LEFT(C68,FIND("-",C68)-1),FIND(" ",C68)+1,LEN(C68)))</f>
        <v>8</v>
      </c>
      <c r="G68" s="3">
        <f t="shared" ref="G68:G70" si="9">_xlfn.NUMBERVALUE(RIGHT(C68,LEN(C68)-FIND("-",C68)))</f>
        <v>14</v>
      </c>
      <c r="H68" s="3">
        <f t="shared" si="6"/>
        <v>22</v>
      </c>
      <c r="I68" s="3" t="str">
        <f t="shared" ref="I68:I71" si="10">LEFT(C68,1)</f>
        <v>L</v>
      </c>
    </row>
    <row r="69" spans="1:10" x14ac:dyDescent="0.25">
      <c r="A69" t="s">
        <v>133</v>
      </c>
      <c r="B69" t="s">
        <v>263</v>
      </c>
      <c r="C69" t="s">
        <v>335</v>
      </c>
      <c r="E69" s="1" t="str">
        <f t="shared" si="7"/>
        <v>Home</v>
      </c>
      <c r="F69" s="3">
        <f t="shared" si="8"/>
        <v>6</v>
      </c>
      <c r="G69" s="3">
        <f t="shared" si="9"/>
        <v>4</v>
      </c>
      <c r="H69" s="3">
        <f t="shared" si="6"/>
        <v>10</v>
      </c>
      <c r="I69" s="3" t="str">
        <f t="shared" si="10"/>
        <v>W</v>
      </c>
    </row>
    <row r="70" spans="1:10" x14ac:dyDescent="0.25">
      <c r="A70" t="s">
        <v>134</v>
      </c>
      <c r="B70" t="s">
        <v>263</v>
      </c>
      <c r="C70" t="s">
        <v>374</v>
      </c>
      <c r="E70" s="1" t="str">
        <f t="shared" si="7"/>
        <v>Home</v>
      </c>
      <c r="F70" s="3">
        <f t="shared" si="8"/>
        <v>6</v>
      </c>
      <c r="G70" s="3">
        <f t="shared" si="9"/>
        <v>9</v>
      </c>
      <c r="H70" s="3">
        <f t="shared" si="6"/>
        <v>15</v>
      </c>
      <c r="I70" s="3" t="str">
        <f t="shared" si="10"/>
        <v>L</v>
      </c>
    </row>
    <row r="71" spans="1:10" x14ac:dyDescent="0.25">
      <c r="E71" s="1"/>
      <c r="F71" s="3"/>
      <c r="G71" s="3"/>
      <c r="H71" s="3"/>
      <c r="I71" s="3" t="str">
        <f t="shared" si="10"/>
        <v/>
      </c>
    </row>
    <row r="72" spans="1:10" x14ac:dyDescent="0.25">
      <c r="A72" s="23" t="s">
        <v>1</v>
      </c>
      <c r="B72" s="23" t="s">
        <v>2</v>
      </c>
      <c r="C72" s="23" t="s">
        <v>469</v>
      </c>
      <c r="D72" s="23" t="s">
        <v>135</v>
      </c>
      <c r="E72" s="45" t="s">
        <v>136</v>
      </c>
      <c r="F72" s="46" t="s">
        <v>137</v>
      </c>
      <c r="G72" s="46" t="s">
        <v>138</v>
      </c>
      <c r="H72" s="47" t="s">
        <v>3</v>
      </c>
      <c r="I72" s="13" t="s">
        <v>494</v>
      </c>
      <c r="J72" s="14" t="s">
        <v>495</v>
      </c>
    </row>
    <row r="73" spans="1:10" x14ac:dyDescent="0.25">
      <c r="A73" s="30" t="s">
        <v>448</v>
      </c>
      <c r="B73" s="30" t="s">
        <v>225</v>
      </c>
      <c r="C73" s="30" t="s">
        <v>303</v>
      </c>
      <c r="D73" s="30" t="str">
        <f>IF(LEFT(MAN!$B73,1)="@","Away","Home")</f>
        <v>Home</v>
      </c>
      <c r="E73" s="48">
        <f>_xlfn.NUMBERVALUE(MID(LEFT(MAN!$C73,FIND("-",MAN!$C73)-1),FIND(" ",MAN!$C73)+1,LEN(MAN!$C73)))</f>
        <v>8</v>
      </c>
      <c r="F73" s="49">
        <f>_xlfn.NUMBERVALUE(RIGHT(MAN!$C73,LEN(MAN!$C73)-FIND("-",MAN!$C73)))</f>
        <v>2</v>
      </c>
      <c r="G73" s="49">
        <f t="shared" ref="G73:G94" si="11">E73+F73</f>
        <v>10</v>
      </c>
      <c r="H73" s="50" t="str">
        <f>LEFT(MAN!$C73,1)</f>
        <v>W</v>
      </c>
      <c r="I73" s="34" t="str">
        <f>VLOOKUP(IF(Table25[[#This Row],[At]]="Home",Table25[[#This Row],[Opponent]],RIGHT(Table25[[#This Row],[Opponent]],LEN(Table25[[#This Row],[Opponent]])-1)),CHOOSE({1,2},[1]StandingsRAW!$J$1:$J$22,[1]StandingsRAW!$L$1:$L$22),2,FALSE)</f>
        <v>DUL</v>
      </c>
      <c r="J73" s="35">
        <f>VLOOKUP(Table25[[#This Row],[OPP]],Raw!$L$2:$S$23,7,FALSE)-Raw!$U$2</f>
        <v>-0.37645438147905891</v>
      </c>
    </row>
    <row r="74" spans="1:10" x14ac:dyDescent="0.25">
      <c r="A74" s="30" t="s">
        <v>449</v>
      </c>
      <c r="B74" s="30" t="s">
        <v>225</v>
      </c>
      <c r="C74" s="30" t="s">
        <v>304</v>
      </c>
      <c r="D74" s="30" t="str">
        <f>IF(LEFT(MAN!$B74,1)="@","Away","Home")</f>
        <v>Home</v>
      </c>
      <c r="E74" s="48">
        <f>_xlfn.NUMBERVALUE(MID(LEFT(MAN!$C74,FIND("-",MAN!$C74)-1),FIND(" ",MAN!$C74)+1,LEN(MAN!$C74)))</f>
        <v>2</v>
      </c>
      <c r="F74" s="49">
        <f>_xlfn.NUMBERVALUE(RIGHT(MAN!$C74,LEN(MAN!$C74)-FIND("-",MAN!$C74)))</f>
        <v>0</v>
      </c>
      <c r="G74" s="49">
        <f t="shared" si="11"/>
        <v>2</v>
      </c>
      <c r="H74" s="50" t="str">
        <f>LEFT(MAN!$C74,1)</f>
        <v>W</v>
      </c>
      <c r="I74" s="34" t="str">
        <f>VLOOKUP(IF(Table25[[#This Row],[At]]="Home",Table25[[#This Row],[Opponent]],RIGHT(Table25[[#This Row],[Opponent]],LEN(Table25[[#This Row],[Opponent]])-1)),CHOOSE({1,2},[1]StandingsRAW!$J$1:$J$22,[1]StandingsRAW!$L$1:$L$22),2,FALSE)</f>
        <v>DUL</v>
      </c>
      <c r="J74" s="35">
        <f>VLOOKUP(Table25[[#This Row],[OPP]],Raw!$L$2:$S$23,7,FALSE)-Raw!$U$2</f>
        <v>-0.37645438147905891</v>
      </c>
    </row>
    <row r="75" spans="1:10" x14ac:dyDescent="0.25">
      <c r="A75" s="30" t="s">
        <v>450</v>
      </c>
      <c r="B75" s="30" t="s">
        <v>258</v>
      </c>
      <c r="C75" s="30" t="s">
        <v>11</v>
      </c>
      <c r="D75" s="30" t="str">
        <f>IF(LEFT(MAN!$B75,1)="@","Away","Home")</f>
        <v>Home</v>
      </c>
      <c r="E75" s="48">
        <f>_xlfn.NUMBERVALUE(MID(LEFT(MAN!$C75,FIND("-",MAN!$C75)-1),FIND(" ",MAN!$C75)+1,LEN(MAN!$C75)))</f>
        <v>3</v>
      </c>
      <c r="F75" s="49">
        <f>_xlfn.NUMBERVALUE(RIGHT(MAN!$C75,LEN(MAN!$C75)-FIND("-",MAN!$C75)))</f>
        <v>12</v>
      </c>
      <c r="G75" s="49">
        <f t="shared" si="11"/>
        <v>15</v>
      </c>
      <c r="H75" s="50" t="str">
        <f>LEFT(MAN!$C75,1)</f>
        <v>L</v>
      </c>
      <c r="I75" s="34" t="str">
        <f>VLOOKUP(IF(Table25[[#This Row],[At]]="Home",Table25[[#This Row],[Opponent]],RIGHT(Table25[[#This Row],[Opponent]],LEN(Table25[[#This Row],[Opponent]])-1)),CHOOSE({1,2},[1]StandingsRAW!$J$1:$J$22,[1]StandingsRAW!$L$1:$L$22),2,FALSE)</f>
        <v>WAT</v>
      </c>
      <c r="J75" s="35">
        <f>VLOOKUP(Table25[[#This Row],[OPP]],Raw!$L$2:$S$23,7,FALSE)-Raw!$U$2</f>
        <v>-3.3415553472384971</v>
      </c>
    </row>
    <row r="76" spans="1:10" x14ac:dyDescent="0.25">
      <c r="A76" s="30" t="s">
        <v>451</v>
      </c>
      <c r="B76" s="30" t="s">
        <v>258</v>
      </c>
      <c r="C76" s="30" t="s">
        <v>257</v>
      </c>
      <c r="D76" s="30" t="str">
        <f>IF(LEFT(MAN!$B76,1)="@","Away","Home")</f>
        <v>Home</v>
      </c>
      <c r="E76" s="48">
        <f>_xlfn.NUMBERVALUE(MID(LEFT(MAN!$C76,FIND("-",MAN!$C76)-1),FIND(" ",MAN!$C76)+1,LEN(MAN!$C76)))</f>
        <v>13</v>
      </c>
      <c r="F76" s="49">
        <f>_xlfn.NUMBERVALUE(RIGHT(MAN!$C76,LEN(MAN!$C76)-FIND("-",MAN!$C76)))</f>
        <v>4</v>
      </c>
      <c r="G76" s="49">
        <f t="shared" si="11"/>
        <v>17</v>
      </c>
      <c r="H76" s="50" t="str">
        <f>LEFT(MAN!$C76,1)</f>
        <v>W</v>
      </c>
      <c r="I76" s="34" t="str">
        <f>VLOOKUP(IF(Table25[[#This Row],[At]]="Home",Table25[[#This Row],[Opponent]],RIGHT(Table25[[#This Row],[Opponent]],LEN(Table25[[#This Row],[Opponent]])-1)),CHOOSE({1,2},[1]StandingsRAW!$J$1:$J$22,[1]StandingsRAW!$L$1:$L$22),2,FALSE)</f>
        <v>WAT</v>
      </c>
      <c r="J76" s="35">
        <f>VLOOKUP(Table25[[#This Row],[OPP]],Raw!$L$2:$S$23,7,FALSE)-Raw!$U$2</f>
        <v>-3.3415553472384971</v>
      </c>
    </row>
    <row r="77" spans="1:10" x14ac:dyDescent="0.25">
      <c r="A77" s="30" t="s">
        <v>453</v>
      </c>
      <c r="B77" s="30" t="s">
        <v>190</v>
      </c>
      <c r="C77" s="30" t="s">
        <v>483</v>
      </c>
      <c r="D77" s="30" t="str">
        <f>IF(LEFT(MAN!$B77,1)="@","Away","Home")</f>
        <v>Away</v>
      </c>
      <c r="E77" s="48">
        <f>_xlfn.NUMBERVALUE(MID(LEFT(MAN!$C77,FIND("-",MAN!$C77)-1),FIND(" ",MAN!$C77)+1,LEN(MAN!$C77)))</f>
        <v>20</v>
      </c>
      <c r="F77" s="49">
        <f>_xlfn.NUMBERVALUE(RIGHT(MAN!$C77,LEN(MAN!$C77)-FIND("-",MAN!$C77)))</f>
        <v>5</v>
      </c>
      <c r="G77" s="49">
        <f t="shared" si="11"/>
        <v>25</v>
      </c>
      <c r="H77" s="50" t="str">
        <f>LEFT(MAN!$C77,1)</f>
        <v>W</v>
      </c>
      <c r="I77" s="34" t="str">
        <f>VLOOKUP(IF(Table25[[#This Row],[At]]="Home",Table25[[#This Row],[Opponent]],RIGHT(Table25[[#This Row],[Opponent]],LEN(Table25[[#This Row],[Opponent]])-1)),CHOOSE({1,2},[1]StandingsRAW!$J$1:$J$22,[1]StandingsRAW!$L$1:$L$22),2,FALSE)</f>
        <v>LAC</v>
      </c>
      <c r="J77" s="35">
        <f>VLOOKUP(Table25[[#This Row],[OPP]],Raw!$L$2:$S$23,7,FALSE)-Raw!$U$2</f>
        <v>-0.25332005312084993</v>
      </c>
    </row>
    <row r="78" spans="1:10" x14ac:dyDescent="0.25">
      <c r="A78" s="30" t="s">
        <v>454</v>
      </c>
      <c r="B78" s="30" t="s">
        <v>190</v>
      </c>
      <c r="C78" s="30" t="s">
        <v>290</v>
      </c>
      <c r="D78" s="30" t="str">
        <f>IF(LEFT(MAN!$B78,1)="@","Away","Home")</f>
        <v>Away</v>
      </c>
      <c r="E78" s="48">
        <f>_xlfn.NUMBERVALUE(MID(LEFT(MAN!$C78,FIND("-",MAN!$C78)-1),FIND(" ",MAN!$C78)+1,LEN(MAN!$C78)))</f>
        <v>5</v>
      </c>
      <c r="F78" s="49">
        <f>_xlfn.NUMBERVALUE(RIGHT(MAN!$C78,LEN(MAN!$C78)-FIND("-",MAN!$C78)))</f>
        <v>0</v>
      </c>
      <c r="G78" s="49">
        <f t="shared" si="11"/>
        <v>5</v>
      </c>
      <c r="H78" s="50" t="str">
        <f>LEFT(MAN!$C78,1)</f>
        <v>W</v>
      </c>
      <c r="I78" s="34" t="str">
        <f>VLOOKUP(IF(Table25[[#This Row],[At]]="Home",Table25[[#This Row],[Opponent]],RIGHT(Table25[[#This Row],[Opponent]],LEN(Table25[[#This Row],[Opponent]])-1)),CHOOSE({1,2},[1]StandingsRAW!$J$1:$J$22,[1]StandingsRAW!$L$1:$L$22),2,FALSE)</f>
        <v>LAC</v>
      </c>
      <c r="J78" s="35">
        <f>VLOOKUP(Table25[[#This Row],[OPP]],Raw!$L$2:$S$23,7,FALSE)-Raw!$U$2</f>
        <v>-0.25332005312084993</v>
      </c>
    </row>
    <row r="79" spans="1:10" x14ac:dyDescent="0.25">
      <c r="A79" s="30" t="s">
        <v>455</v>
      </c>
      <c r="B79" s="30" t="s">
        <v>201</v>
      </c>
      <c r="C79" s="30" t="s">
        <v>199</v>
      </c>
      <c r="D79" s="30" t="str">
        <f>IF(LEFT(MAN!$B79,1)="@","Away","Home")</f>
        <v>Away</v>
      </c>
      <c r="E79" s="48">
        <f>_xlfn.NUMBERVALUE(MID(LEFT(MAN!$C79,FIND("-",MAN!$C79)-1),FIND(" ",MAN!$C79)+1,LEN(MAN!$C79)))</f>
        <v>3</v>
      </c>
      <c r="F79" s="49">
        <f>_xlfn.NUMBERVALUE(RIGHT(MAN!$C79,LEN(MAN!$C79)-FIND("-",MAN!$C79)))</f>
        <v>7</v>
      </c>
      <c r="G79" s="49">
        <f t="shared" si="11"/>
        <v>10</v>
      </c>
      <c r="H79" s="50" t="str">
        <f>LEFT(MAN!$C79,1)</f>
        <v>L</v>
      </c>
      <c r="I79" s="34" t="str">
        <f>VLOOKUP(IF(Table25[[#This Row],[At]]="Home",Table25[[#This Row],[Opponent]],RIGHT(Table25[[#This Row],[Opponent]],LEN(Table25[[#This Row],[Opponent]])-1)),CHOOSE({1,2},[1]StandingsRAW!$J$1:$J$22,[1]StandingsRAW!$L$1:$L$22),2,FALSE)</f>
        <v>STC</v>
      </c>
      <c r="J79" s="35">
        <f>VLOOKUP(Table25[[#This Row],[OPP]],Raw!$L$2:$S$23,7,FALSE)-Raw!$U$2</f>
        <v>2.5702093586438561</v>
      </c>
    </row>
    <row r="80" spans="1:10" x14ac:dyDescent="0.25">
      <c r="A80" s="30" t="s">
        <v>456</v>
      </c>
      <c r="B80" s="30" t="s">
        <v>245</v>
      </c>
      <c r="C80" s="30" t="s">
        <v>42</v>
      </c>
      <c r="D80" s="30" t="str">
        <f>IF(LEFT(MAN!$B80,1)="@","Away","Home")</f>
        <v>Home</v>
      </c>
      <c r="E80" s="48">
        <f>_xlfn.NUMBERVALUE(MID(LEFT(MAN!$C80,FIND("-",MAN!$C80)-1),FIND(" ",MAN!$C80)+1,LEN(MAN!$C80)))</f>
        <v>0</v>
      </c>
      <c r="F80" s="49">
        <f>_xlfn.NUMBERVALUE(RIGHT(MAN!$C80,LEN(MAN!$C80)-FIND("-",MAN!$C80)))</f>
        <v>3</v>
      </c>
      <c r="G80" s="49">
        <f t="shared" si="11"/>
        <v>3</v>
      </c>
      <c r="H80" s="50" t="str">
        <f>LEFT(MAN!$C80,1)</f>
        <v>L</v>
      </c>
      <c r="I80" s="34" t="str">
        <f>VLOOKUP(IF(Table25[[#This Row],[At]]="Home",Table25[[#This Row],[Opponent]],RIGHT(Table25[[#This Row],[Opponent]],LEN(Table25[[#This Row],[Opponent]])-1)),CHOOSE({1,2},[1]StandingsRAW!$J$1:$J$22,[1]StandingsRAW!$L$1:$L$22),2,FALSE)</f>
        <v>STC</v>
      </c>
      <c r="J80" s="35">
        <f>VLOOKUP(Table25[[#This Row],[OPP]],Raw!$L$2:$S$23,7,FALSE)-Raw!$U$2</f>
        <v>2.5702093586438561</v>
      </c>
    </row>
    <row r="81" spans="1:10" x14ac:dyDescent="0.25">
      <c r="A81" s="30" t="s">
        <v>470</v>
      </c>
      <c r="B81" s="30" t="s">
        <v>263</v>
      </c>
      <c r="C81" s="30" t="s">
        <v>244</v>
      </c>
      <c r="D81" s="30" t="str">
        <f>IF(LEFT(MAN!$B81,1)="@","Away","Home")</f>
        <v>Home</v>
      </c>
      <c r="E81" s="48">
        <f>_xlfn.NUMBERVALUE(MID(LEFT(MAN!$C81,FIND("-",MAN!$C81)-1),FIND(" ",MAN!$C81)+1,LEN(MAN!$C81)))</f>
        <v>6</v>
      </c>
      <c r="F81" s="49">
        <f>_xlfn.NUMBERVALUE(RIGHT(MAN!$C81,LEN(MAN!$C81)-FIND("-",MAN!$C81)))</f>
        <v>3</v>
      </c>
      <c r="G81" s="49">
        <f t="shared" si="11"/>
        <v>9</v>
      </c>
      <c r="H81" s="50" t="str">
        <f>LEFT(MAN!$C81,1)</f>
        <v>W</v>
      </c>
      <c r="I81" s="34" t="str">
        <f>VLOOKUP(IF(Table25[[#This Row],[At]]="Home",Table25[[#This Row],[Opponent]],RIGHT(Table25[[#This Row],[Opponent]],LEN(Table25[[#This Row],[Opponent]])-1)),CHOOSE({1,2},[1]StandingsRAW!$J$1:$J$22,[1]StandingsRAW!$L$1:$L$22),2,FALSE)</f>
        <v>ROC</v>
      </c>
      <c r="J81" s="35">
        <f>VLOOKUP(Table25[[#This Row],[OPP]],Raw!$L$2:$S$23,7,FALSE)-Raw!$U$2</f>
        <v>-0.20920240606202639</v>
      </c>
    </row>
    <row r="82" spans="1:10" x14ac:dyDescent="0.25">
      <c r="A82" s="30" t="s">
        <v>457</v>
      </c>
      <c r="B82" s="30" t="s">
        <v>210</v>
      </c>
      <c r="C82" s="30" t="s">
        <v>292</v>
      </c>
      <c r="D82" s="30" t="str">
        <f>IF(LEFT(MAN!$B82,1)="@","Away","Home")</f>
        <v>Away</v>
      </c>
      <c r="E82" s="48">
        <f>_xlfn.NUMBERVALUE(MID(LEFT(MAN!$C82,FIND("-",MAN!$C82)-1),FIND(" ",MAN!$C82)+1,LEN(MAN!$C82)))</f>
        <v>7</v>
      </c>
      <c r="F82" s="49">
        <f>_xlfn.NUMBERVALUE(RIGHT(MAN!$C82,LEN(MAN!$C82)-FIND("-",MAN!$C82)))</f>
        <v>8</v>
      </c>
      <c r="G82" s="49">
        <f t="shared" si="11"/>
        <v>15</v>
      </c>
      <c r="H82" s="50" t="str">
        <f>LEFT(MAN!$C82,1)</f>
        <v>L</v>
      </c>
      <c r="I82" s="34" t="str">
        <f>VLOOKUP(IF(Table25[[#This Row],[At]]="Home",Table25[[#This Row],[Opponent]],RIGHT(Table25[[#This Row],[Opponent]],LEN(Table25[[#This Row],[Opponent]])-1)),CHOOSE({1,2},[1]StandingsRAW!$J$1:$J$22,[1]StandingsRAW!$L$1:$L$22),2,FALSE)</f>
        <v>ROC</v>
      </c>
      <c r="J82" s="35">
        <f>VLOOKUP(Table25[[#This Row],[OPP]],Raw!$L$2:$S$23,7,FALSE)-Raw!$U$2</f>
        <v>-0.20920240606202639</v>
      </c>
    </row>
    <row r="83" spans="1:10" x14ac:dyDescent="0.25">
      <c r="A83" s="30" t="s">
        <v>458</v>
      </c>
      <c r="B83" s="30" t="s">
        <v>235</v>
      </c>
      <c r="C83" s="30" t="s">
        <v>295</v>
      </c>
      <c r="D83" s="30" t="str">
        <f>IF(LEFT(MAN!$B83,1)="@","Away","Home")</f>
        <v>Home</v>
      </c>
      <c r="E83" s="48">
        <f>_xlfn.NUMBERVALUE(MID(LEFT(MAN!$C83,FIND("-",MAN!$C83)-1),FIND(" ",MAN!$C83)+1,LEN(MAN!$C83)))</f>
        <v>1</v>
      </c>
      <c r="F83" s="49">
        <f>_xlfn.NUMBERVALUE(RIGHT(MAN!$C83,LEN(MAN!$C83)-FIND("-",MAN!$C83)))</f>
        <v>0</v>
      </c>
      <c r="G83" s="49">
        <f t="shared" si="11"/>
        <v>1</v>
      </c>
      <c r="H83" s="50" t="str">
        <f>LEFT(MAN!$C83,1)</f>
        <v>W</v>
      </c>
      <c r="I83" s="34" t="str">
        <f>VLOOKUP(IF(Table25[[#This Row],[At]]="Home",Table25[[#This Row],[Opponent]],RIGHT(Table25[[#This Row],[Opponent]],LEN(Table25[[#This Row],[Opponent]])-1)),CHOOSE({1,2},[1]StandingsRAW!$J$1:$J$22,[1]StandingsRAW!$L$1:$L$22),2,FALSE)</f>
        <v>EC</v>
      </c>
      <c r="J83" s="35">
        <f>VLOOKUP(Table25[[#This Row],[OPP]],Raw!$L$2:$S$23,7,FALSE)-Raw!$U$2</f>
        <v>1.1143270057026795</v>
      </c>
    </row>
    <row r="84" spans="1:10" x14ac:dyDescent="0.25">
      <c r="A84" s="30" t="s">
        <v>459</v>
      </c>
      <c r="B84" s="30" t="s">
        <v>235</v>
      </c>
      <c r="C84" s="30" t="s">
        <v>217</v>
      </c>
      <c r="D84" s="30" t="str">
        <f>IF(LEFT(MAN!$B84,1)="@","Away","Home")</f>
        <v>Home</v>
      </c>
      <c r="E84" s="48">
        <f>_xlfn.NUMBERVALUE(MID(LEFT(MAN!$C84,FIND("-",MAN!$C84)-1),FIND(" ",MAN!$C84)+1,LEN(MAN!$C84)))</f>
        <v>3</v>
      </c>
      <c r="F84" s="49">
        <f>_xlfn.NUMBERVALUE(RIGHT(MAN!$C84,LEN(MAN!$C84)-FIND("-",MAN!$C84)))</f>
        <v>0</v>
      </c>
      <c r="G84" s="49">
        <f t="shared" si="11"/>
        <v>3</v>
      </c>
      <c r="H84" s="50" t="str">
        <f>LEFT(MAN!$C84,1)</f>
        <v>W</v>
      </c>
      <c r="I84" s="34" t="str">
        <f>VLOOKUP(IF(Table25[[#This Row],[At]]="Home",Table25[[#This Row],[Opponent]],RIGHT(Table25[[#This Row],[Opponent]],LEN(Table25[[#This Row],[Opponent]])-1)),CHOOSE({1,2},[1]StandingsRAW!$J$1:$J$22,[1]StandingsRAW!$L$1:$L$22),2,FALSE)</f>
        <v>EC</v>
      </c>
      <c r="J84" s="35">
        <f>VLOOKUP(Table25[[#This Row],[OPP]],Raw!$L$2:$S$23,7,FALSE)-Raw!$U$2</f>
        <v>1.1143270057026795</v>
      </c>
    </row>
    <row r="85" spans="1:10" x14ac:dyDescent="0.25">
      <c r="A85" s="30" t="s">
        <v>460</v>
      </c>
      <c r="B85" s="30" t="s">
        <v>194</v>
      </c>
      <c r="C85" s="30" t="s">
        <v>94</v>
      </c>
      <c r="D85" s="30" t="str">
        <f>IF(LEFT(MAN!$B85,1)="@","Away","Home")</f>
        <v>Away</v>
      </c>
      <c r="E85" s="48">
        <f>_xlfn.NUMBERVALUE(MID(LEFT(MAN!$C85,FIND("-",MAN!$C85)-1),FIND(" ",MAN!$C85)+1,LEN(MAN!$C85)))</f>
        <v>4</v>
      </c>
      <c r="F85" s="49">
        <f>_xlfn.NUMBERVALUE(RIGHT(MAN!$C85,LEN(MAN!$C85)-FIND("-",MAN!$C85)))</f>
        <v>8</v>
      </c>
      <c r="G85" s="49">
        <f t="shared" si="11"/>
        <v>12</v>
      </c>
      <c r="H85" s="50" t="str">
        <f>LEFT(MAN!$C85,1)</f>
        <v>L</v>
      </c>
      <c r="I85" s="34" t="str">
        <f>VLOOKUP(IF(Table25[[#This Row],[At]]="Home",Table25[[#This Row],[Opponent]],RIGHT(Table25[[#This Row],[Opponent]],LEN(Table25[[#This Row],[Opponent]])-1)),CHOOSE({1,2},[1]StandingsRAW!$J$1:$J$22,[1]StandingsRAW!$L$1:$L$22),2,FALSE)</f>
        <v>EC</v>
      </c>
      <c r="J85" s="35">
        <f>VLOOKUP(Table25[[#This Row],[OPP]],Raw!$L$2:$S$23,7,FALSE)-Raw!$U$2</f>
        <v>1.1143270057026795</v>
      </c>
    </row>
    <row r="86" spans="1:10" x14ac:dyDescent="0.25">
      <c r="A86" s="30" t="s">
        <v>471</v>
      </c>
      <c r="B86" s="30" t="s">
        <v>194</v>
      </c>
      <c r="C86" s="30" t="s">
        <v>50</v>
      </c>
      <c r="D86" s="30" t="str">
        <f>IF(LEFT(MAN!$B86,1)="@","Away","Home")</f>
        <v>Away</v>
      </c>
      <c r="E86" s="48">
        <f>_xlfn.NUMBERVALUE(MID(LEFT(MAN!$C86,FIND("-",MAN!$C86)-1),FIND(" ",MAN!$C86)+1,LEN(MAN!$C86)))</f>
        <v>3</v>
      </c>
      <c r="F86" s="49">
        <f>_xlfn.NUMBERVALUE(RIGHT(MAN!$C86,LEN(MAN!$C86)-FIND("-",MAN!$C86)))</f>
        <v>4</v>
      </c>
      <c r="G86" s="49">
        <f t="shared" si="11"/>
        <v>7</v>
      </c>
      <c r="H86" s="50" t="str">
        <f>LEFT(MAN!$C86,1)</f>
        <v>L</v>
      </c>
      <c r="I86" s="34" t="str">
        <f>VLOOKUP(IF(Table25[[#This Row],[At]]="Home",Table25[[#This Row],[Opponent]],RIGHT(Table25[[#This Row],[Opponent]],LEN(Table25[[#This Row],[Opponent]])-1)),CHOOSE({1,2},[1]StandingsRAW!$J$1:$J$22,[1]StandingsRAW!$L$1:$L$22),2,FALSE)</f>
        <v>EC</v>
      </c>
      <c r="J86" s="35">
        <f>VLOOKUP(Table25[[#This Row],[OPP]],Raw!$L$2:$S$23,7,FALSE)-Raw!$U$2</f>
        <v>1.1143270057026795</v>
      </c>
    </row>
    <row r="87" spans="1:10" x14ac:dyDescent="0.25">
      <c r="A87" s="30" t="s">
        <v>461</v>
      </c>
      <c r="B87" s="30" t="s">
        <v>198</v>
      </c>
      <c r="C87" s="30" t="s">
        <v>48</v>
      </c>
      <c r="D87" s="30" t="str">
        <f>IF(LEFT(MAN!$B87,1)="@","Away","Home")</f>
        <v>Away</v>
      </c>
      <c r="E87" s="48">
        <f>_xlfn.NUMBERVALUE(MID(LEFT(MAN!$C87,FIND("-",MAN!$C87)-1),FIND(" ",MAN!$C87)+1,LEN(MAN!$C87)))</f>
        <v>4</v>
      </c>
      <c r="F87" s="49">
        <f>_xlfn.NUMBERVALUE(RIGHT(MAN!$C87,LEN(MAN!$C87)-FIND("-",MAN!$C87)))</f>
        <v>5</v>
      </c>
      <c r="G87" s="49">
        <f t="shared" si="11"/>
        <v>9</v>
      </c>
      <c r="H87" s="50" t="str">
        <f>LEFT(MAN!$C87,1)</f>
        <v>L</v>
      </c>
      <c r="I87" s="34" t="str">
        <f>VLOOKUP(IF(Table25[[#This Row],[At]]="Home",Table25[[#This Row],[Opponent]],RIGHT(Table25[[#This Row],[Opponent]],LEN(Table25[[#This Row],[Opponent]])-1)),CHOOSE({1,2},[1]StandingsRAW!$J$1:$J$22,[1]StandingsRAW!$L$1:$L$22),2,FALSE)</f>
        <v>DUL</v>
      </c>
      <c r="J87" s="35">
        <f>VLOOKUP(Table25[[#This Row],[OPP]],Raw!$L$2:$S$23,7,FALSE)-Raw!$U$2</f>
        <v>-0.37645438147905891</v>
      </c>
    </row>
    <row r="88" spans="1:10" x14ac:dyDescent="0.25">
      <c r="A88" s="30" t="s">
        <v>462</v>
      </c>
      <c r="B88" s="30" t="s">
        <v>198</v>
      </c>
      <c r="C88" s="30" t="s">
        <v>33</v>
      </c>
      <c r="D88" s="30" t="str">
        <f>IF(LEFT(MAN!$B88,1)="@","Away","Home")</f>
        <v>Away</v>
      </c>
      <c r="E88" s="48">
        <f>_xlfn.NUMBERVALUE(MID(LEFT(MAN!$C88,FIND("-",MAN!$C88)-1),FIND(" ",MAN!$C88)+1,LEN(MAN!$C88)))</f>
        <v>7</v>
      </c>
      <c r="F88" s="49">
        <f>_xlfn.NUMBERVALUE(RIGHT(MAN!$C88,LEN(MAN!$C88)-FIND("-",MAN!$C88)))</f>
        <v>4</v>
      </c>
      <c r="G88" s="49">
        <f t="shared" si="11"/>
        <v>11</v>
      </c>
      <c r="H88" s="50" t="str">
        <f>LEFT(MAN!$C88,1)</f>
        <v>W</v>
      </c>
      <c r="I88" s="34" t="str">
        <f>VLOOKUP(IF(Table25[[#This Row],[At]]="Home",Table25[[#This Row],[Opponent]],RIGHT(Table25[[#This Row],[Opponent]],LEN(Table25[[#This Row],[Opponent]])-1)),CHOOSE({1,2},[1]StandingsRAW!$J$1:$J$22,[1]StandingsRAW!$L$1:$L$22),2,FALSE)</f>
        <v>DUL</v>
      </c>
      <c r="J88" s="35">
        <f>VLOOKUP(Table25[[#This Row],[OPP]],Raw!$L$2:$S$23,7,FALSE)-Raw!$U$2</f>
        <v>-0.37645438147905891</v>
      </c>
    </row>
    <row r="89" spans="1:10" x14ac:dyDescent="0.25">
      <c r="A89" s="30" t="s">
        <v>463</v>
      </c>
      <c r="B89" s="30" t="s">
        <v>222</v>
      </c>
      <c r="C89" s="30" t="s">
        <v>24</v>
      </c>
      <c r="D89" s="30" t="str">
        <f>IF(LEFT(MAN!$B89,1)="@","Away","Home")</f>
        <v>Home</v>
      </c>
      <c r="E89" s="48">
        <f>_xlfn.NUMBERVALUE(MID(LEFT(MAN!$C89,FIND("-",MAN!$C89)-1),FIND(" ",MAN!$C89)+1,LEN(MAN!$C89)))</f>
        <v>10</v>
      </c>
      <c r="F89" s="49">
        <f>_xlfn.NUMBERVALUE(RIGHT(MAN!$C89,LEN(MAN!$C89)-FIND("-",MAN!$C89)))</f>
        <v>5</v>
      </c>
      <c r="G89" s="49">
        <f t="shared" si="11"/>
        <v>15</v>
      </c>
      <c r="H89" s="50" t="str">
        <f>LEFT(MAN!$C89,1)</f>
        <v>W</v>
      </c>
      <c r="I89" s="34" t="str">
        <f>VLOOKUP(IF(Table25[[#This Row],[At]]="Home",Table25[[#This Row],[Opponent]],RIGHT(Table25[[#This Row],[Opponent]],LEN(Table25[[#This Row],[Opponent]])-1)),CHOOSE({1,2},[1]StandingsRAW!$J$1:$J$22,[1]StandingsRAW!$L$1:$L$22),2,FALSE)</f>
        <v>WIL</v>
      </c>
      <c r="J89" s="35">
        <f>VLOOKUP(Table25[[#This Row],[OPP]],Raw!$L$2:$S$23,7,FALSE)-Raw!$U$2</f>
        <v>3.0407975939379734</v>
      </c>
    </row>
    <row r="90" spans="1:10" x14ac:dyDescent="0.25">
      <c r="A90" s="30" t="s">
        <v>463</v>
      </c>
      <c r="B90" s="30" t="s">
        <v>222</v>
      </c>
      <c r="C90" s="30" t="s">
        <v>277</v>
      </c>
      <c r="D90" s="30" t="str">
        <f>IF(LEFT(MAN!$B90,1)="@","Away","Home")</f>
        <v>Home</v>
      </c>
      <c r="E90" s="48">
        <f>_xlfn.NUMBERVALUE(MID(LEFT(MAN!$C90,FIND("-",MAN!$C90)-1),FIND(" ",MAN!$C90)+1,LEN(MAN!$C90)))</f>
        <v>5</v>
      </c>
      <c r="F90" s="49">
        <f>_xlfn.NUMBERVALUE(RIGHT(MAN!$C90,LEN(MAN!$C90)-FIND("-",MAN!$C90)))</f>
        <v>8</v>
      </c>
      <c r="G90" s="49">
        <f t="shared" si="11"/>
        <v>13</v>
      </c>
      <c r="H90" s="50" t="str">
        <f>LEFT(MAN!$C90,1)</f>
        <v>L</v>
      </c>
      <c r="I90" s="34" t="str">
        <f>VLOOKUP(IF(Table25[[#This Row],[At]]="Home",Table25[[#This Row],[Opponent]],RIGHT(Table25[[#This Row],[Opponent]],LEN(Table25[[#This Row],[Opponent]])-1)),CHOOSE({1,2},[1]StandingsRAW!$J$1:$J$22,[1]StandingsRAW!$L$1:$L$22),2,FALSE)</f>
        <v>WIL</v>
      </c>
      <c r="J90" s="35">
        <f>VLOOKUP(Table25[[#This Row],[OPP]],Raw!$L$2:$S$23,7,FALSE)-Raw!$U$2</f>
        <v>3.0407975939379734</v>
      </c>
    </row>
    <row r="91" spans="1:10" x14ac:dyDescent="0.25">
      <c r="A91" s="30" t="s">
        <v>464</v>
      </c>
      <c r="B91" s="30" t="s">
        <v>245</v>
      </c>
      <c r="C91" s="30" t="s">
        <v>338</v>
      </c>
      <c r="D91" s="30" t="str">
        <f>IF(LEFT(MAN!$B91,1)="@","Away","Home")</f>
        <v>Home</v>
      </c>
      <c r="E91" s="48">
        <f>_xlfn.NUMBERVALUE(MID(LEFT(MAN!$C91,FIND("-",MAN!$C91)-1),FIND(" ",MAN!$C91)+1,LEN(MAN!$C91)))</f>
        <v>0</v>
      </c>
      <c r="F91" s="49">
        <f>_xlfn.NUMBERVALUE(RIGHT(MAN!$C91,LEN(MAN!$C91)-FIND("-",MAN!$C91)))</f>
        <v>11</v>
      </c>
      <c r="G91" s="49">
        <f t="shared" si="11"/>
        <v>11</v>
      </c>
      <c r="H91" s="50" t="str">
        <f>LEFT(MAN!$C91,1)</f>
        <v>L</v>
      </c>
      <c r="I91" s="34" t="str">
        <f>VLOOKUP(IF(Table25[[#This Row],[At]]="Home",Table25[[#This Row],[Opponent]],RIGHT(Table25[[#This Row],[Opponent]],LEN(Table25[[#This Row],[Opponent]])-1)),CHOOSE({1,2},[1]StandingsRAW!$J$1:$J$22,[1]StandingsRAW!$L$1:$L$22),2,FALSE)</f>
        <v>STC</v>
      </c>
      <c r="J91" s="35">
        <f>VLOOKUP(Table25[[#This Row],[OPP]],Raw!$L$2:$S$23,7,FALSE)-Raw!$U$2</f>
        <v>2.5702093586438561</v>
      </c>
    </row>
    <row r="92" spans="1:10" x14ac:dyDescent="0.25">
      <c r="A92" s="30" t="s">
        <v>465</v>
      </c>
      <c r="B92" s="30" t="s">
        <v>201</v>
      </c>
      <c r="C92" s="30" t="s">
        <v>104</v>
      </c>
      <c r="D92" s="30" t="str">
        <f>IF(LEFT(MAN!$B92,1)="@","Away","Home")</f>
        <v>Away</v>
      </c>
      <c r="E92" s="48">
        <f>_xlfn.NUMBERVALUE(MID(LEFT(MAN!$C92,FIND("-",MAN!$C92)-1),FIND(" ",MAN!$C92)+1,LEN(MAN!$C92)))</f>
        <v>0</v>
      </c>
      <c r="F92" s="49">
        <f>_xlfn.NUMBERVALUE(RIGHT(MAN!$C92,LEN(MAN!$C92)-FIND("-",MAN!$C92)))</f>
        <v>9</v>
      </c>
      <c r="G92" s="49">
        <f t="shared" si="11"/>
        <v>9</v>
      </c>
      <c r="H92" s="50" t="str">
        <f>LEFT(MAN!$C92,1)</f>
        <v>L</v>
      </c>
      <c r="I92" s="34" t="str">
        <f>VLOOKUP(IF(Table25[[#This Row],[At]]="Home",Table25[[#This Row],[Opponent]],RIGHT(Table25[[#This Row],[Opponent]],LEN(Table25[[#This Row],[Opponent]])-1)),CHOOSE({1,2},[1]StandingsRAW!$J$1:$J$22,[1]StandingsRAW!$L$1:$L$22),2,FALSE)</f>
        <v>STC</v>
      </c>
      <c r="J92" s="35">
        <f>VLOOKUP(Table25[[#This Row],[OPP]],Raw!$L$2:$S$23,7,FALSE)-Raw!$U$2</f>
        <v>2.5702093586438561</v>
      </c>
    </row>
    <row r="93" spans="1:10" x14ac:dyDescent="0.25">
      <c r="A93" s="30" t="s">
        <v>466</v>
      </c>
      <c r="B93" s="30" t="s">
        <v>278</v>
      </c>
      <c r="C93" s="30" t="s">
        <v>38</v>
      </c>
      <c r="D93" s="30" t="str">
        <f>IF(LEFT(MAN!$B93,1)="@","Away","Home")</f>
        <v>Home</v>
      </c>
      <c r="E93" s="48">
        <f>_xlfn.NUMBERVALUE(MID(LEFT(MAN!$C93,FIND("-",MAN!$C93)-1),FIND(" ",MAN!$C93)+1,LEN(MAN!$C93)))</f>
        <v>3</v>
      </c>
      <c r="F93" s="49">
        <f>_xlfn.NUMBERVALUE(RIGHT(MAN!$C93,LEN(MAN!$C93)-FIND("-",MAN!$C93)))</f>
        <v>5</v>
      </c>
      <c r="G93" s="49">
        <f t="shared" si="11"/>
        <v>8</v>
      </c>
      <c r="H93" s="50" t="str">
        <f>LEFT(MAN!$C93,1)</f>
        <v>L</v>
      </c>
      <c r="I93" s="34" t="str">
        <f>VLOOKUP(IF(Table25[[#This Row],[At]]="Home",Table25[[#This Row],[Opponent]],RIGHT(Table25[[#This Row],[Opponent]],LEN(Table25[[#This Row],[Opponent]])-1)),CHOOSE({1,2},[1]StandingsRAW!$J$1:$J$22,[1]StandingsRAW!$L$1:$L$22),2,FALSE)</f>
        <v>BIS</v>
      </c>
      <c r="J93" s="35">
        <f>VLOOKUP(Table25[[#This Row],[OPP]],Raw!$L$2:$S$23,7,FALSE)-Raw!$U$2</f>
        <v>-1.915084759003203</v>
      </c>
    </row>
    <row r="94" spans="1:10" x14ac:dyDescent="0.25">
      <c r="A94" s="24" t="s">
        <v>467</v>
      </c>
      <c r="B94" s="24" t="s">
        <v>278</v>
      </c>
      <c r="C94" s="24" t="s">
        <v>326</v>
      </c>
      <c r="D94" s="24" t="str">
        <f>IF(LEFT(MAN!$B94,1)="@","Away","Home")</f>
        <v>Home</v>
      </c>
      <c r="E94" s="51">
        <f>_xlfn.NUMBERVALUE(MID(LEFT(MAN!$C94,FIND("-",MAN!$C94)-1),FIND(" ",MAN!$C94)+1,LEN(MAN!$C94)))</f>
        <v>10</v>
      </c>
      <c r="F94" s="52">
        <f>_xlfn.NUMBERVALUE(RIGHT(MAN!$C94,LEN(MAN!$C94)-FIND("-",MAN!$C94)))</f>
        <v>9</v>
      </c>
      <c r="G94" s="52">
        <f t="shared" si="11"/>
        <v>19</v>
      </c>
      <c r="H94" s="53" t="str">
        <f>LEFT(MAN!$C94,1)</f>
        <v>W</v>
      </c>
      <c r="I94" s="34" t="str">
        <f>VLOOKUP(IF(Table25[[#This Row],[At]]="Home",Table25[[#This Row],[Opponent]],RIGHT(Table25[[#This Row],[Opponent]],LEN(Table25[[#This Row],[Opponent]])-1)),CHOOSE({1,2},[1]StandingsRAW!$J$1:$J$22,[1]StandingsRAW!$L$1:$L$22),2,FALSE)</f>
        <v>BIS</v>
      </c>
      <c r="J94" s="35">
        <f>VLOOKUP(Table25[[#This Row],[OPP]],Raw!$L$2:$S$23,7,FALSE)-Raw!$U$2</f>
        <v>-1.915084759003203</v>
      </c>
    </row>
    <row r="95" spans="1:10" x14ac:dyDescent="0.25">
      <c r="A95" s="30" t="s">
        <v>468</v>
      </c>
      <c r="B95" s="30" t="s">
        <v>211</v>
      </c>
      <c r="C95" s="30" t="s">
        <v>272</v>
      </c>
      <c r="D95" s="30" t="str">
        <f>IF(LEFT(MAN!$B95,1)="@","Away","Home")</f>
        <v>Away</v>
      </c>
      <c r="E95" s="48">
        <f>_xlfn.NUMBERVALUE(MID(LEFT(MAN!$C95,FIND("-",MAN!$C95)-1),FIND(" ",MAN!$C95)+1,LEN(MAN!$C95)))</f>
        <v>0</v>
      </c>
      <c r="F95" s="49">
        <f>_xlfn.NUMBERVALUE(RIGHT(MAN!$C95,LEN(MAN!$C95)-FIND("-",MAN!$C95)))</f>
        <v>12</v>
      </c>
      <c r="G95" s="49">
        <f t="shared" ref="G95:G97" si="12">E95+F95</f>
        <v>12</v>
      </c>
      <c r="H95" s="50" t="str">
        <f>LEFT(MAN!$C95,1)</f>
        <v>L</v>
      </c>
      <c r="I95" s="17" t="str">
        <f>VLOOKUP(IF(Table25[[#This Row],[At]]="Home",Table25[[#This Row],[Opponent]],RIGHT(Table25[[#This Row],[Opponent]],LEN(Table25[[#This Row],[Opponent]])-1)),CHOOSE({1,2},[1]StandingsRAW!$J$1:$J$22,[1]StandingsRAW!$L$1:$L$22),2,FALSE)</f>
        <v>WIL</v>
      </c>
      <c r="J95" s="33">
        <f>VLOOKUP(Table25[[#This Row],[OPP]],Raw!$L$2:$S$23,7,FALSE)-Raw!$U$2</f>
        <v>3.0407975939379734</v>
      </c>
    </row>
    <row r="96" spans="1:10" x14ac:dyDescent="0.25">
      <c r="A96" t="s">
        <v>498</v>
      </c>
      <c r="B96" t="s">
        <v>222</v>
      </c>
      <c r="C96" t="s">
        <v>329</v>
      </c>
      <c r="D96" t="str">
        <f>IF(LEFT(MAN!$B96,1)="@","Away","Home")</f>
        <v>Home</v>
      </c>
      <c r="E96" s="1">
        <f>_xlfn.NUMBERVALUE(MID(LEFT(MAN!$C96,FIND("-",MAN!$C96)-1),FIND(" ",MAN!$C96)+1,LEN(MAN!$C96)))</f>
        <v>5</v>
      </c>
      <c r="F96" s="3">
        <f>_xlfn.NUMBERVALUE(RIGHT(MAN!$C96,LEN(MAN!$C96)-FIND("-",MAN!$C96)))</f>
        <v>2</v>
      </c>
      <c r="G96" s="3">
        <f t="shared" si="12"/>
        <v>7</v>
      </c>
      <c r="H96" s="85" t="str">
        <f>LEFT(MAN!$C96,1)</f>
        <v>W</v>
      </c>
      <c r="I96" s="17" t="str">
        <f>VLOOKUP(IF(Table25[[#This Row],[At]]="Home",Table25[[#This Row],[Opponent]],RIGHT(Table25[[#This Row],[Opponent]],LEN(Table25[[#This Row],[Opponent]])-1)),CHOOSE({1,2},[1]StandingsRAW!$J$1:$J$22,[1]StandingsRAW!$L$1:$L$22),2,FALSE)</f>
        <v>WIL</v>
      </c>
      <c r="J96" s="33">
        <f>VLOOKUP(Table25[[#This Row],[OPP]],Raw!$L$2:$S$23,7,FALSE)-Raw!$U$2</f>
        <v>3.0407975939379734</v>
      </c>
    </row>
    <row r="97" spans="1:10" x14ac:dyDescent="0.25">
      <c r="A97" t="s">
        <v>499</v>
      </c>
      <c r="B97" t="s">
        <v>231</v>
      </c>
      <c r="C97" t="s">
        <v>232</v>
      </c>
      <c r="D97" t="str">
        <f>IF(LEFT(MAN!$B97,1)="@","Away","Home")</f>
        <v>Home</v>
      </c>
      <c r="E97" s="1">
        <f>_xlfn.NUMBERVALUE(MID(LEFT(MAN!$C97,FIND("-",MAN!$C97)-1),FIND(" ",MAN!$C97)+1,LEN(MAN!$C97)))</f>
        <v>8</v>
      </c>
      <c r="F97" s="3">
        <f>_xlfn.NUMBERVALUE(RIGHT(MAN!$C97,LEN(MAN!$C97)-FIND("-",MAN!$C97)))</f>
        <v>6</v>
      </c>
      <c r="G97" s="3">
        <f t="shared" si="12"/>
        <v>14</v>
      </c>
      <c r="H97" s="85" t="str">
        <f>LEFT(MAN!$C97,1)</f>
        <v>W</v>
      </c>
      <c r="I97" s="17" t="str">
        <f>VLOOKUP(IF(Table25[[#This Row],[At]]="Home",Table25[[#This Row],[Opponent]],RIGHT(Table25[[#This Row],[Opponent]],LEN(Table25[[#This Row],[Opponent]])-1)),CHOOSE({1,2},[1]StandingsRAW!$J$1:$J$22,[1]StandingsRAW!$L$1:$L$22),2,FALSE)</f>
        <v>LAC</v>
      </c>
      <c r="J97" s="33">
        <f>VLOOKUP(Table25[[#This Row],[OPP]],Raw!$L$2:$S$23,7,FALSE)-Raw!$U$2</f>
        <v>-0.25332005312084993</v>
      </c>
    </row>
    <row r="98" spans="1:10" x14ac:dyDescent="0.25">
      <c r="A98" s="30" t="s">
        <v>500</v>
      </c>
      <c r="B98" s="30" t="s">
        <v>231</v>
      </c>
      <c r="C98" s="30" t="s">
        <v>276</v>
      </c>
      <c r="D98" s="30" t="str">
        <f>IF(LEFT(MAN!$B98,1)="@","Away","Home")</f>
        <v>Home</v>
      </c>
      <c r="E98" s="48">
        <f>_xlfn.NUMBERVALUE(MID(LEFT(MAN!$C98,FIND("-",MAN!$C98)-1),FIND(" ",MAN!$C98)+1,LEN(MAN!$C98)))</f>
        <v>2</v>
      </c>
      <c r="F98" s="49">
        <f>_xlfn.NUMBERVALUE(RIGHT(MAN!$C98,LEN(MAN!$C98)-FIND("-",MAN!$C98)))</f>
        <v>4</v>
      </c>
      <c r="G98" s="49">
        <f t="shared" ref="G98:G100" si="13">E98+F98</f>
        <v>6</v>
      </c>
      <c r="H98" s="50" t="str">
        <f>LEFT(MAN!$C98,1)</f>
        <v>L</v>
      </c>
      <c r="I98" s="17" t="str">
        <f>VLOOKUP(IF(Table25[[#This Row],[At]]="Home",Table25[[#This Row],[Opponent]],RIGHT(Table25[[#This Row],[Opponent]],LEN(Table25[[#This Row],[Opponent]])-1)),CHOOSE({1,2},[1]StandingsRAW!$J$1:$J$22,[1]StandingsRAW!$L$1:$L$22),2,FALSE)</f>
        <v>LAC</v>
      </c>
      <c r="J98" s="33">
        <f>VLOOKUP(Table25[[#This Row],[OPP]],Raw!$L$2:$S$23,7,FALSE)-Raw!$U$2</f>
        <v>-0.25332005312084993</v>
      </c>
    </row>
    <row r="99" spans="1:10" x14ac:dyDescent="0.25">
      <c r="A99" t="s">
        <v>501</v>
      </c>
      <c r="B99" t="s">
        <v>245</v>
      </c>
      <c r="C99" t="s">
        <v>116</v>
      </c>
      <c r="D99" t="str">
        <f>IF(LEFT(MAN!$B99,1)="@","Away","Home")</f>
        <v>Home</v>
      </c>
      <c r="E99" s="1">
        <f>_xlfn.NUMBERVALUE(MID(LEFT(MAN!$C99,FIND("-",MAN!$C99)-1),FIND(" ",MAN!$C99)+1,LEN(MAN!$C99)))</f>
        <v>9</v>
      </c>
      <c r="F99" s="3">
        <f>_xlfn.NUMBERVALUE(RIGHT(MAN!$C99,LEN(MAN!$C99)-FIND("-",MAN!$C99)))</f>
        <v>3</v>
      </c>
      <c r="G99" s="3">
        <f t="shared" si="13"/>
        <v>12</v>
      </c>
      <c r="H99" s="85" t="str">
        <f>LEFT(MAN!$C99,1)</f>
        <v>W</v>
      </c>
      <c r="I99" s="17" t="str">
        <f>VLOOKUP(IF(Table25[[#This Row],[At]]="Home",Table25[[#This Row],[Opponent]],RIGHT(Table25[[#This Row],[Opponent]],LEN(Table25[[#This Row],[Opponent]])-1)),CHOOSE({1,2},[1]StandingsRAW!$J$1:$J$22,[1]StandingsRAW!$L$1:$L$22),2,FALSE)</f>
        <v>STC</v>
      </c>
      <c r="J99" s="33">
        <f>VLOOKUP(Table25[[#This Row],[OPP]],Raw!$L$2:$S$23,7,FALSE)-Raw!$U$2</f>
        <v>2.5702093586438561</v>
      </c>
    </row>
    <row r="100" spans="1:10" x14ac:dyDescent="0.25">
      <c r="A100" t="s">
        <v>502</v>
      </c>
      <c r="B100" t="s">
        <v>201</v>
      </c>
      <c r="C100" t="s">
        <v>260</v>
      </c>
      <c r="D100" t="str">
        <f>IF(LEFT(MAN!$B100,1)="@","Away","Home")</f>
        <v>Away</v>
      </c>
      <c r="E100" s="1">
        <f>_xlfn.NUMBERVALUE(MID(LEFT(MAN!$C100,FIND("-",MAN!$C100)-1),FIND(" ",MAN!$C100)+1,LEN(MAN!$C100)))</f>
        <v>5</v>
      </c>
      <c r="F100" s="3">
        <f>_xlfn.NUMBERVALUE(RIGHT(MAN!$C100,LEN(MAN!$C100)-FIND("-",MAN!$C100)))</f>
        <v>12</v>
      </c>
      <c r="G100" s="3">
        <f t="shared" si="13"/>
        <v>17</v>
      </c>
      <c r="H100" s="85" t="str">
        <f>LEFT(MAN!$C100,1)</f>
        <v>L</v>
      </c>
      <c r="I100" s="17" t="str">
        <f>VLOOKUP(IF(Table25[[#This Row],[At]]="Home",Table25[[#This Row],[Opponent]],RIGHT(Table25[[#This Row],[Opponent]],LEN(Table25[[#This Row],[Opponent]])-1)),CHOOSE({1,2},[1]StandingsRAW!$J$1:$J$22,[1]StandingsRAW!$L$1:$L$22),2,FALSE)</f>
        <v>STC</v>
      </c>
      <c r="J100" s="33">
        <f>VLOOKUP(Table25[[#This Row],[OPP]],Raw!$L$2:$S$23,7,FALSE)-Raw!$U$2</f>
        <v>2.5702093586438561</v>
      </c>
    </row>
    <row r="101" spans="1:10" x14ac:dyDescent="0.25">
      <c r="A101" s="30" t="s">
        <v>505</v>
      </c>
      <c r="B101" s="30" t="s">
        <v>192</v>
      </c>
      <c r="C101" s="30" t="s">
        <v>391</v>
      </c>
      <c r="D101" s="30" t="str">
        <f>IF(LEFT(MAN!$B101,1)="@","Away","Home")</f>
        <v>Away</v>
      </c>
      <c r="E101" s="48">
        <f>_xlfn.NUMBERVALUE(MID(LEFT(MAN!$C101,FIND("-",MAN!$C101)-1),FIND(" ",MAN!$C101)+1,LEN(MAN!$C101)))</f>
        <v>11</v>
      </c>
      <c r="F101" s="49">
        <f>_xlfn.NUMBERVALUE(RIGHT(MAN!$C101,LEN(MAN!$C101)-FIND("-",MAN!$C101)))</f>
        <v>5</v>
      </c>
      <c r="G101" s="49">
        <f t="shared" ref="G101:G103" si="14">E101+F101</f>
        <v>16</v>
      </c>
      <c r="H101" s="50" t="str">
        <f>LEFT(MAN!$C101,1)</f>
        <v>W</v>
      </c>
      <c r="I101" s="17" t="str">
        <f>VLOOKUP(IF(Table25[[#This Row],[At]]="Home",Table25[[#This Row],[Opponent]],RIGHT(Table25[[#This Row],[Opponent]],LEN(Table25[[#This Row],[Opponent]])-1)),CHOOSE({1,2},[1]StandingsRAW!$J$1:$J$22,[1]StandingsRAW!$L$1:$L$22),2,FALSE)</f>
        <v>WAT</v>
      </c>
      <c r="J101" s="33">
        <f>VLOOKUP(Table25[[#This Row],[OPP]],Raw!$L$2:$S$23,7,FALSE)-Raw!$U$2</f>
        <v>-3.3415553472384971</v>
      </c>
    </row>
    <row r="102" spans="1:10" x14ac:dyDescent="0.25">
      <c r="A102" t="s">
        <v>508</v>
      </c>
      <c r="B102" t="s">
        <v>192</v>
      </c>
      <c r="C102" t="s">
        <v>26</v>
      </c>
      <c r="D102" t="str">
        <f>IF(LEFT(MAN!$B102,1)="@","Away","Home")</f>
        <v>Away</v>
      </c>
      <c r="E102" s="1">
        <f>_xlfn.NUMBERVALUE(MID(LEFT(MAN!$C102,FIND("-",MAN!$C102)-1),FIND(" ",MAN!$C102)+1,LEN(MAN!$C102)))</f>
        <v>10</v>
      </c>
      <c r="F102" s="3">
        <f>_xlfn.NUMBERVALUE(RIGHT(MAN!$C102,LEN(MAN!$C102)-FIND("-",MAN!$C102)))</f>
        <v>6</v>
      </c>
      <c r="G102" s="3">
        <f t="shared" si="14"/>
        <v>16</v>
      </c>
      <c r="H102" s="85" t="str">
        <f>LEFT(MAN!$C102,1)</f>
        <v>W</v>
      </c>
      <c r="I102" s="17" t="str">
        <f>VLOOKUP(IF(Table25[[#This Row],[At]]="Home",Table25[[#This Row],[Opponent]],RIGHT(Table25[[#This Row],[Opponent]],LEN(Table25[[#This Row],[Opponent]])-1)),CHOOSE({1,2},[1]StandingsRAW!$J$1:$J$22,[1]StandingsRAW!$L$1:$L$22),2,FALSE)</f>
        <v>WAT</v>
      </c>
      <c r="J102" s="33">
        <f>VLOOKUP(Table25[[#This Row],[OPP]],Raw!$L$2:$S$23,7,FALSE)-Raw!$U$2</f>
        <v>-3.3415553472384971</v>
      </c>
    </row>
    <row r="103" spans="1:10" x14ac:dyDescent="0.25">
      <c r="A103" t="s">
        <v>509</v>
      </c>
      <c r="B103" t="s">
        <v>258</v>
      </c>
      <c r="C103" t="s">
        <v>335</v>
      </c>
      <c r="D103" t="str">
        <f>IF(LEFT(MAN!$B103,1)="@","Away","Home")</f>
        <v>Home</v>
      </c>
      <c r="E103" s="1">
        <f>_xlfn.NUMBERVALUE(MID(LEFT(MAN!$C103,FIND("-",MAN!$C103)-1),FIND(" ",MAN!$C103)+1,LEN(MAN!$C103)))</f>
        <v>6</v>
      </c>
      <c r="F103" s="3">
        <f>_xlfn.NUMBERVALUE(RIGHT(MAN!$C103,LEN(MAN!$C103)-FIND("-",MAN!$C103)))</f>
        <v>4</v>
      </c>
      <c r="G103" s="3">
        <f t="shared" si="14"/>
        <v>10</v>
      </c>
      <c r="H103" s="85" t="str">
        <f>LEFT(MAN!$C103,1)</f>
        <v>W</v>
      </c>
      <c r="I103" s="17" t="str">
        <f>VLOOKUP(IF(Table25[[#This Row],[At]]="Home",Table25[[#This Row],[Opponent]],RIGHT(Table25[[#This Row],[Opponent]],LEN(Table25[[#This Row],[Opponent]])-1)),CHOOSE({1,2},[1]StandingsRAW!$J$1:$J$22,[1]StandingsRAW!$L$1:$L$22),2,FALSE)</f>
        <v>WAT</v>
      </c>
      <c r="J103" s="33">
        <f>VLOOKUP(Table25[[#This Row],[OPP]],Raw!$L$2:$S$23,7,FALSE)-Raw!$U$2</f>
        <v>-3.3415553472384971</v>
      </c>
    </row>
    <row r="104" spans="1:10" x14ac:dyDescent="0.25">
      <c r="A104" s="30" t="s">
        <v>510</v>
      </c>
      <c r="B104" s="30" t="s">
        <v>258</v>
      </c>
      <c r="C104" s="30" t="s">
        <v>327</v>
      </c>
      <c r="D104" s="30" t="str">
        <f>IF(LEFT(MAN!$B104,1)="@","Away","Home")</f>
        <v>Home</v>
      </c>
      <c r="E104" s="48">
        <f>_xlfn.NUMBERVALUE(MID(LEFT(MAN!$C104,FIND("-",MAN!$C104)-1),FIND(" ",MAN!$C104)+1,LEN(MAN!$C104)))</f>
        <v>9</v>
      </c>
      <c r="F104" s="49">
        <f>_xlfn.NUMBERVALUE(RIGHT(MAN!$C104,LEN(MAN!$C104)-FIND("-",MAN!$C104)))</f>
        <v>7</v>
      </c>
      <c r="G104" s="49">
        <f>E104+F104</f>
        <v>16</v>
      </c>
      <c r="H104" s="50" t="str">
        <f>LEFT(MAN!$C104,1)</f>
        <v>W</v>
      </c>
      <c r="I104" s="17" t="str">
        <f>VLOOKUP(IF(Table25[[#This Row],[At]]="Home",Table25[[#This Row],[Opponent]],RIGHT(Table25[[#This Row],[Opponent]],LEN(Table25[[#This Row],[Opponent]])-1)),CHOOSE({1,2},[1]StandingsRAW!$J$1:$J$22,[1]StandingsRAW!$L$1:$L$22),2,FALSE)</f>
        <v>WAT</v>
      </c>
      <c r="J104" s="33">
        <f>VLOOKUP(Table25[[#This Row],[OPP]],Raw!$L$2:$S$23,7,FALSE)-Raw!$U$2</f>
        <v>-3.3415553472384971</v>
      </c>
    </row>
    <row r="105" spans="1:10" x14ac:dyDescent="0.25">
      <c r="A105" s="30" t="s">
        <v>515</v>
      </c>
      <c r="B105" s="30" t="s">
        <v>210</v>
      </c>
      <c r="C105" s="30" t="s">
        <v>416</v>
      </c>
      <c r="D105" s="30" t="str">
        <f>IF(LEFT(MAN!$B105,1)="@","Away","Home")</f>
        <v>Away</v>
      </c>
      <c r="E105" s="48">
        <f>_xlfn.NUMBERVALUE(MID(LEFT(MAN!$C105,FIND("-",MAN!$C105)-1),FIND(" ",MAN!$C105)+1,LEN(MAN!$C105)))</f>
        <v>12</v>
      </c>
      <c r="F105" s="49">
        <f>_xlfn.NUMBERVALUE(RIGHT(MAN!$C105,LEN(MAN!$C105)-FIND("-",MAN!$C105)))</f>
        <v>10</v>
      </c>
      <c r="G105" s="49">
        <f t="shared" ref="G105:G107" si="15">E105+F105</f>
        <v>22</v>
      </c>
      <c r="H105" s="50" t="str">
        <f>LEFT(MAN!$C105,1)</f>
        <v>W</v>
      </c>
      <c r="I105" s="17" t="str">
        <f>VLOOKUP(IF(Table25[[#This Row],[At]]="Home",Table25[[#This Row],[Opponent]],RIGHT(Table25[[#This Row],[Opponent]],LEN(Table25[[#This Row],[Opponent]])-1)),CHOOSE({1,2},[1]StandingsRAW!$J$1:$J$22,[1]StandingsRAW!$L$1:$L$22),2,FALSE)</f>
        <v>ROC</v>
      </c>
      <c r="J105" s="33">
        <f>VLOOKUP(Table25[[#This Row],[OPP]],Raw!$L$2:$S$23,7,FALSE)-Raw!$U$2</f>
        <v>-0.20920240606202639</v>
      </c>
    </row>
    <row r="106" spans="1:10" x14ac:dyDescent="0.25">
      <c r="A106" t="s">
        <v>518</v>
      </c>
      <c r="B106" t="s">
        <v>210</v>
      </c>
      <c r="C106" t="s">
        <v>31</v>
      </c>
      <c r="D106" t="str">
        <f>IF(LEFT(MAN!$B106,1)="@","Away","Home")</f>
        <v>Away</v>
      </c>
      <c r="E106" s="1">
        <f>_xlfn.NUMBERVALUE(MID(LEFT(MAN!$C106,FIND("-",MAN!$C106)-1),FIND(" ",MAN!$C106)+1,LEN(MAN!$C106)))</f>
        <v>5</v>
      </c>
      <c r="F106" s="3">
        <f>_xlfn.NUMBERVALUE(RIGHT(MAN!$C106,LEN(MAN!$C106)-FIND("-",MAN!$C106)))</f>
        <v>9</v>
      </c>
      <c r="G106" s="3">
        <f t="shared" si="15"/>
        <v>14</v>
      </c>
      <c r="H106" s="85" t="str">
        <f>LEFT(MAN!$C106,1)</f>
        <v>L</v>
      </c>
      <c r="I106" s="17" t="str">
        <f>VLOOKUP(IF(Table25[[#This Row],[At]]="Home",Table25[[#This Row],[Opponent]],RIGHT(Table25[[#This Row],[Opponent]],LEN(Table25[[#This Row],[Opponent]])-1)),CHOOSE({1,2},[1]StandingsRAW!$J$1:$J$22,[1]StandingsRAW!$L$1:$L$22),2,FALSE)</f>
        <v>ROC</v>
      </c>
      <c r="J106" s="33">
        <f>VLOOKUP(Table25[[#This Row],[OPP]],Raw!$L$2:$S$23,7,FALSE)-Raw!$U$2</f>
        <v>-0.20920240606202639</v>
      </c>
    </row>
    <row r="107" spans="1:10" x14ac:dyDescent="0.25">
      <c r="A107" t="s">
        <v>521</v>
      </c>
      <c r="B107" t="s">
        <v>194</v>
      </c>
      <c r="C107" t="s">
        <v>50</v>
      </c>
      <c r="D107" t="str">
        <f>IF(LEFT(MAN!$B107,1)="@","Away","Home")</f>
        <v>Away</v>
      </c>
      <c r="E107" s="1">
        <f>_xlfn.NUMBERVALUE(MID(LEFT(MAN!$C107,FIND("-",MAN!$C107)-1),FIND(" ",MAN!$C107)+1,LEN(MAN!$C107)))</f>
        <v>3</v>
      </c>
      <c r="F107" s="3">
        <f>_xlfn.NUMBERVALUE(RIGHT(MAN!$C107,LEN(MAN!$C107)-FIND("-",MAN!$C107)))</f>
        <v>4</v>
      </c>
      <c r="G107" s="3">
        <f t="shared" si="15"/>
        <v>7</v>
      </c>
      <c r="H107" s="85" t="str">
        <f>LEFT(MAN!$C107,1)</f>
        <v>L</v>
      </c>
      <c r="I107" s="17" t="str">
        <f>VLOOKUP(IF(Table25[[#This Row],[At]]="Home",Table25[[#This Row],[Opponent]],RIGHT(Table25[[#This Row],[Opponent]],LEN(Table25[[#This Row],[Opponent]])-1)),CHOOSE({1,2},[1]StandingsRAW!$J$1:$J$22,[1]StandingsRAW!$L$1:$L$22),2,FALSE)</f>
        <v>EC</v>
      </c>
      <c r="J107" s="33">
        <f>VLOOKUP(Table25[[#This Row],[OPP]],Raw!$L$2:$S$23,7,FALSE)-Raw!$U$2</f>
        <v>1.1143270057026795</v>
      </c>
    </row>
    <row r="108" spans="1:10" x14ac:dyDescent="0.25">
      <c r="A108" s="30" t="s">
        <v>524</v>
      </c>
      <c r="B108" s="30" t="s">
        <v>194</v>
      </c>
      <c r="C108" s="30" t="s">
        <v>205</v>
      </c>
      <c r="D108" s="30" t="str">
        <f>IF(LEFT(MAN!$B108,1)="@","Away","Home")</f>
        <v>Away</v>
      </c>
      <c r="E108" s="48">
        <f>_xlfn.NUMBERVALUE(MID(LEFT(MAN!$C108,FIND("-",MAN!$C108)-1),FIND(" ",MAN!$C108)+1,LEN(MAN!$C108)))</f>
        <v>5</v>
      </c>
      <c r="F108" s="49">
        <f>_xlfn.NUMBERVALUE(RIGHT(MAN!$C108,LEN(MAN!$C108)-FIND("-",MAN!$C108)))</f>
        <v>6</v>
      </c>
      <c r="G108" s="49">
        <f t="shared" ref="G108:G114" si="16">E108+F108</f>
        <v>11</v>
      </c>
      <c r="H108" s="50" t="str">
        <f>LEFT(MAN!$C108,1)</f>
        <v>L</v>
      </c>
      <c r="I108" s="17" t="str">
        <f>VLOOKUP(IF(Table25[[#This Row],[At]]="Home",Table25[[#This Row],[Opponent]],RIGHT(Table25[[#This Row],[Opponent]],LEN(Table25[[#This Row],[Opponent]])-1)),CHOOSE({1,2},[1]StandingsRAW!$J$1:$J$22,[1]StandingsRAW!$L$1:$L$22),2,FALSE)</f>
        <v>EC</v>
      </c>
      <c r="J108" s="33">
        <f>VLOOKUP(Table25[[#This Row],[OPP]],Raw!$L$2:$S$23,7,FALSE)-Raw!$U$2</f>
        <v>1.1143270057026795</v>
      </c>
    </row>
    <row r="109" spans="1:10" x14ac:dyDescent="0.25">
      <c r="A109" t="s">
        <v>525</v>
      </c>
      <c r="B109" t="s">
        <v>241</v>
      </c>
      <c r="C109" t="s">
        <v>270</v>
      </c>
      <c r="D109" t="str">
        <f>IF(LEFT(MAN!$B109,1)="@","Away","Home")</f>
        <v>Home</v>
      </c>
      <c r="E109" s="1">
        <f>_xlfn.NUMBERVALUE(MID(LEFT(MAN!$C109,FIND("-",MAN!$C109)-1),FIND(" ",MAN!$C109)+1,LEN(MAN!$C109)))</f>
        <v>4</v>
      </c>
      <c r="F109" s="3">
        <f>_xlfn.NUMBERVALUE(RIGHT(MAN!$C109,LEN(MAN!$C109)-FIND("-",MAN!$C109)))</f>
        <v>3</v>
      </c>
      <c r="G109" s="3">
        <f t="shared" si="16"/>
        <v>7</v>
      </c>
      <c r="H109" s="85" t="str">
        <f>LEFT(MAN!$C109,1)</f>
        <v>W</v>
      </c>
      <c r="I109" s="17" t="str">
        <f>VLOOKUP(IF(Table25[[#This Row],[At]]="Home",Table25[[#This Row],[Opponent]],RIGHT(Table25[[#This Row],[Opponent]],LEN(Table25[[#This Row],[Opponent]])-1)),CHOOSE({1,2},[1]StandingsRAW!$J$1:$J$22,[1]StandingsRAW!$L$1:$L$22),2,FALSE)</f>
        <v>MIN</v>
      </c>
      <c r="J109" s="33">
        <f>VLOOKUP(Table25[[#This Row],[OPP]],Raw!$L$2:$S$23,7,FALSE)-Raw!$U$2</f>
        <v>-2.6422089420097388</v>
      </c>
    </row>
    <row r="110" spans="1:10" x14ac:dyDescent="0.25">
      <c r="A110" t="s">
        <v>526</v>
      </c>
      <c r="B110" t="s">
        <v>241</v>
      </c>
      <c r="C110" t="s">
        <v>229</v>
      </c>
      <c r="D110" t="str">
        <f>IF(LEFT(MAN!$B110,1)="@","Away","Home")</f>
        <v>Home</v>
      </c>
      <c r="E110" s="1">
        <f>_xlfn.NUMBERVALUE(MID(LEFT(MAN!$C110,FIND("-",MAN!$C110)-1),FIND(" ",MAN!$C110)+1,LEN(MAN!$C110)))</f>
        <v>7</v>
      </c>
      <c r="F110" s="3">
        <f>_xlfn.NUMBERVALUE(RIGHT(MAN!$C110,LEN(MAN!$C110)-FIND("-",MAN!$C110)))</f>
        <v>1</v>
      </c>
      <c r="G110" s="3">
        <f t="shared" si="16"/>
        <v>8</v>
      </c>
      <c r="H110" s="85" t="str">
        <f>LEFT(MAN!$C110,1)</f>
        <v>W</v>
      </c>
      <c r="I110" s="17" t="str">
        <f>VLOOKUP(IF(Table25[[#This Row],[At]]="Home",Table25[[#This Row],[Opponent]],RIGHT(Table25[[#This Row],[Opponent]],LEN(Table25[[#This Row],[Opponent]])-1)),CHOOSE({1,2},[1]StandingsRAW!$J$1:$J$22,[1]StandingsRAW!$L$1:$L$22),2,FALSE)</f>
        <v>MIN</v>
      </c>
      <c r="J110" s="33">
        <f>VLOOKUP(Table25[[#This Row],[OPP]],Raw!$L$2:$S$23,7,FALSE)-Raw!$U$2</f>
        <v>-2.6422089420097388</v>
      </c>
    </row>
    <row r="111" spans="1:10" x14ac:dyDescent="0.25">
      <c r="A111" t="s">
        <v>527</v>
      </c>
      <c r="B111" t="s">
        <v>222</v>
      </c>
      <c r="C111" t="s">
        <v>281</v>
      </c>
      <c r="D111" t="str">
        <f>IF(LEFT(MAN!$B111,1)="@","Away","Home")</f>
        <v>Home</v>
      </c>
      <c r="E111" s="1">
        <f>_xlfn.NUMBERVALUE(MID(LEFT(MAN!$C111,FIND("-",MAN!$C111)-1),FIND(" ",MAN!$C111)+1,LEN(MAN!$C111)))</f>
        <v>1</v>
      </c>
      <c r="F111" s="3">
        <f>_xlfn.NUMBERVALUE(RIGHT(MAN!$C111,LEN(MAN!$C111)-FIND("-",MAN!$C111)))</f>
        <v>8</v>
      </c>
      <c r="G111" s="3">
        <f t="shared" si="16"/>
        <v>9</v>
      </c>
      <c r="H111" s="85" t="str">
        <f>LEFT(MAN!$C111,1)</f>
        <v>L</v>
      </c>
      <c r="I111" s="17" t="str">
        <f>VLOOKUP(IF(Table25[[#This Row],[At]]="Home",Table25[[#This Row],[Opponent]],RIGHT(Table25[[#This Row],[Opponent]],LEN(Table25[[#This Row],[Opponent]])-1)),CHOOSE({1,2},[1]StandingsRAW!$J$1:$J$22,[1]StandingsRAW!$L$1:$L$22),2,FALSE)</f>
        <v>WIL</v>
      </c>
      <c r="J111" s="33">
        <f>VLOOKUP(Table25[[#This Row],[OPP]],Raw!$L$2:$S$23,7,FALSE)-Raw!$U$2</f>
        <v>3.0407975939379734</v>
      </c>
    </row>
    <row r="112" spans="1:10" x14ac:dyDescent="0.25">
      <c r="A112" t="s">
        <v>528</v>
      </c>
      <c r="B112" t="s">
        <v>211</v>
      </c>
      <c r="C112" t="s">
        <v>234</v>
      </c>
      <c r="D112" t="str">
        <f>IF(LEFT(MAN!$B112,1)="@","Away","Home")</f>
        <v>Away</v>
      </c>
      <c r="E112" s="1">
        <f>_xlfn.NUMBERVALUE(MID(LEFT(MAN!$C112,FIND("-",MAN!$C112)-1),FIND(" ",MAN!$C112)+1,LEN(MAN!$C112)))</f>
        <v>2</v>
      </c>
      <c r="F112" s="3">
        <f>_xlfn.NUMBERVALUE(RIGHT(MAN!$C112,LEN(MAN!$C112)-FIND("-",MAN!$C112)))</f>
        <v>5</v>
      </c>
      <c r="G112" s="3">
        <f t="shared" si="16"/>
        <v>7</v>
      </c>
      <c r="H112" s="85" t="str">
        <f>LEFT(MAN!$C112,1)</f>
        <v>L</v>
      </c>
      <c r="I112" s="17" t="str">
        <f>VLOOKUP(IF(Table25[[#This Row],[At]]="Home",Table25[[#This Row],[Opponent]],RIGHT(Table25[[#This Row],[Opponent]],LEN(Table25[[#This Row],[Opponent]])-1)),CHOOSE({1,2},[1]StandingsRAW!$J$1:$J$22,[1]StandingsRAW!$L$1:$L$22),2,FALSE)</f>
        <v>WIL</v>
      </c>
      <c r="J112" s="33">
        <f>VLOOKUP(Table25[[#This Row],[OPP]],Raw!$L$2:$S$23,7,FALSE)-Raw!$U$2</f>
        <v>3.0407975939379734</v>
      </c>
    </row>
    <row r="113" spans="1:10" x14ac:dyDescent="0.25">
      <c r="A113" t="s">
        <v>529</v>
      </c>
      <c r="B113" t="s">
        <v>203</v>
      </c>
      <c r="C113" t="s">
        <v>42</v>
      </c>
      <c r="D113" t="str">
        <f>IF(LEFT(MAN!$B113,1)="@","Away","Home")</f>
        <v>Away</v>
      </c>
      <c r="E113" s="1">
        <f>_xlfn.NUMBERVALUE(MID(LEFT(MAN!$C113,FIND("-",MAN!$C113)-1),FIND(" ",MAN!$C113)+1,LEN(MAN!$C113)))</f>
        <v>0</v>
      </c>
      <c r="F113" s="3">
        <f>_xlfn.NUMBERVALUE(RIGHT(MAN!$C113,LEN(MAN!$C113)-FIND("-",MAN!$C113)))</f>
        <v>3</v>
      </c>
      <c r="G113" s="3">
        <f t="shared" si="16"/>
        <v>3</v>
      </c>
      <c r="H113" s="85" t="str">
        <f>LEFT(MAN!$C113,1)</f>
        <v>L</v>
      </c>
      <c r="I113" s="17" t="str">
        <f>VLOOKUP(IF(Table25[[#This Row],[At]]="Home",Table25[[#This Row],[Opponent]],RIGHT(Table25[[#This Row],[Opponent]],LEN(Table25[[#This Row],[Opponent]])-1)),CHOOSE({1,2},[1]StandingsRAW!$J$1:$J$22,[1]StandingsRAW!$L$1:$L$22),2,FALSE)</f>
        <v>BIS</v>
      </c>
      <c r="J113" s="33">
        <f>VLOOKUP(Table25[[#This Row],[OPP]],Raw!$L$2:$S$23,7,FALSE)-Raw!$U$2</f>
        <v>-1.915084759003203</v>
      </c>
    </row>
    <row r="114" spans="1:10" x14ac:dyDescent="0.25">
      <c r="A114" t="s">
        <v>530</v>
      </c>
      <c r="B114" t="s">
        <v>203</v>
      </c>
      <c r="C114" t="s">
        <v>389</v>
      </c>
      <c r="D114" t="str">
        <f>IF(LEFT(MAN!$B114,1)="@","Away","Home")</f>
        <v>Away</v>
      </c>
      <c r="E114" s="1">
        <f>_xlfn.NUMBERVALUE(MID(LEFT(MAN!$C114,FIND("-",MAN!$C114)-1),FIND(" ",MAN!$C114)+1,LEN(MAN!$C114)))</f>
        <v>11</v>
      </c>
      <c r="F114" s="3">
        <f>_xlfn.NUMBERVALUE(RIGHT(MAN!$C114,LEN(MAN!$C114)-FIND("-",MAN!$C114)))</f>
        <v>0</v>
      </c>
      <c r="G114" s="3">
        <f t="shared" si="16"/>
        <v>11</v>
      </c>
      <c r="H114" s="85" t="str">
        <f>LEFT(MAN!$C114,1)</f>
        <v>W</v>
      </c>
      <c r="I114" s="17" t="str">
        <f>VLOOKUP(IF(Table25[[#This Row],[At]]="Home",Table25[[#This Row],[Opponent]],RIGHT(Table25[[#This Row],[Opponent]],LEN(Table25[[#This Row],[Opponent]])-1)),CHOOSE({1,2},[1]StandingsRAW!$J$1:$J$22,[1]StandingsRAW!$L$1:$L$22),2,FALSE)</f>
        <v>BIS</v>
      </c>
      <c r="J114" s="33">
        <f>VLOOKUP(Table25[[#This Row],[OPP]],Raw!$L$2:$S$23,7,FALSE)-Raw!$U$2</f>
        <v>-1.915084759003203</v>
      </c>
    </row>
    <row r="115" spans="1:10" x14ac:dyDescent="0.25">
      <c r="A115" s="30" t="s">
        <v>541</v>
      </c>
      <c r="B115" s="30" t="s">
        <v>198</v>
      </c>
      <c r="C115" s="30" t="s">
        <v>419</v>
      </c>
      <c r="D115" s="30" t="str">
        <f>IF(LEFT(MAN!$B115,1)="@","Away","Home")</f>
        <v>Away</v>
      </c>
      <c r="E115" s="48">
        <f>_xlfn.NUMBERVALUE(MID(LEFT(MAN!$C115,FIND("-",MAN!$C115)-1),FIND(" ",MAN!$C115)+1,LEN(MAN!$C115)))</f>
        <v>4</v>
      </c>
      <c r="F115" s="49">
        <f>_xlfn.NUMBERVALUE(RIGHT(MAN!$C115,LEN(MAN!$C115)-FIND("-",MAN!$C115)))</f>
        <v>14</v>
      </c>
      <c r="G115" s="49">
        <f>E115+F115</f>
        <v>18</v>
      </c>
      <c r="H115" s="50" t="str">
        <f>LEFT(MAN!$C115,1)</f>
        <v>L</v>
      </c>
      <c r="I115" s="17" t="str">
        <f>VLOOKUP(IF(Table25[[#This Row],[At]]="Home",Table25[[#This Row],[Opponent]],RIGHT(Table25[[#This Row],[Opponent]],LEN(Table25[[#This Row],[Opponent]])-1)),CHOOSE({1,2},[1]StandingsRAW!$J$1:$J$22,[1]StandingsRAW!$L$1:$L$22),2,FALSE)</f>
        <v>DUL</v>
      </c>
      <c r="J115" s="33">
        <f>VLOOKUP(Table25[[#This Row],[OPP]],Raw!$L$2:$S$23,7,FALSE)-Raw!$U$2</f>
        <v>-0.37645438147905891</v>
      </c>
    </row>
    <row r="116" spans="1:10" x14ac:dyDescent="0.25">
      <c r="A116" s="30" t="s">
        <v>542</v>
      </c>
      <c r="B116" s="30" t="s">
        <v>198</v>
      </c>
      <c r="C116" s="30" t="s">
        <v>28</v>
      </c>
      <c r="D116" s="30" t="str">
        <f>IF(LEFT(MAN!$B116,1)="@","Away","Home")</f>
        <v>Away</v>
      </c>
      <c r="E116" s="48">
        <f>_xlfn.NUMBERVALUE(MID(LEFT(MAN!$C116,FIND("-",MAN!$C116)-1),FIND(" ",MAN!$C116)+1,LEN(MAN!$C116)))</f>
        <v>4</v>
      </c>
      <c r="F116" s="49">
        <f>_xlfn.NUMBERVALUE(RIGHT(MAN!$C116,LEN(MAN!$C116)-FIND("-",MAN!$C116)))</f>
        <v>2</v>
      </c>
      <c r="G116" s="49">
        <f>E116+F116</f>
        <v>6</v>
      </c>
      <c r="H116" s="50" t="str">
        <f>LEFT(MAN!$C116,1)</f>
        <v>W</v>
      </c>
      <c r="I116" s="17" t="str">
        <f>VLOOKUP(IF(Table25[[#This Row],[At]]="Home",Table25[[#This Row],[Opponent]],RIGHT(Table25[[#This Row],[Opponent]],LEN(Table25[[#This Row],[Opponent]])-1)),CHOOSE({1,2},[1]StandingsRAW!$J$1:$J$22,[1]StandingsRAW!$L$1:$L$22),2,FALSE)</f>
        <v>DUL</v>
      </c>
      <c r="J116" s="33">
        <f>VLOOKUP(Table25[[#This Row],[OPP]],Raw!$L$2:$S$23,7,FALSE)-Raw!$U$2</f>
        <v>-0.37645438147905891</v>
      </c>
    </row>
    <row r="117" spans="1:10" x14ac:dyDescent="0.25">
      <c r="A117" s="30" t="s">
        <v>543</v>
      </c>
      <c r="B117" s="30" t="s">
        <v>225</v>
      </c>
      <c r="C117" s="30" t="s">
        <v>21</v>
      </c>
      <c r="D117" s="30" t="str">
        <f>IF(LEFT(MAN!$B117,1)="@","Away","Home")</f>
        <v>Home</v>
      </c>
      <c r="E117" s="48">
        <f>_xlfn.NUMBERVALUE(MID(LEFT(MAN!$C117,FIND("-",MAN!$C117)-1),FIND(" ",MAN!$C117)+1,LEN(MAN!$C117)))</f>
        <v>6</v>
      </c>
      <c r="F117" s="49">
        <f>_xlfn.NUMBERVALUE(RIGHT(MAN!$C117,LEN(MAN!$C117)-FIND("-",MAN!$C117)))</f>
        <v>1</v>
      </c>
      <c r="G117" s="49">
        <f>E117+F117</f>
        <v>7</v>
      </c>
      <c r="H117" s="50" t="str">
        <f>LEFT(MAN!$C117,1)</f>
        <v>W</v>
      </c>
      <c r="I117" s="17" t="str">
        <f>VLOOKUP(IF(Table25[[#This Row],[At]]="Home",Table25[[#This Row],[Opponent]],RIGHT(Table25[[#This Row],[Opponent]],LEN(Table25[[#This Row],[Opponent]])-1)),CHOOSE({1,2},[1]StandingsRAW!$J$1:$J$22,[1]StandingsRAW!$L$1:$L$22),2,FALSE)</f>
        <v>DUL</v>
      </c>
      <c r="J117" s="33">
        <f>VLOOKUP(Table25[[#This Row],[OPP]],Raw!$L$2:$S$23,7,FALSE)-Raw!$U$2</f>
        <v>-0.37645438147905891</v>
      </c>
    </row>
    <row r="118" spans="1:10" x14ac:dyDescent="0.25">
      <c r="A118" s="30" t="s">
        <v>546</v>
      </c>
      <c r="B118" s="30" t="s">
        <v>225</v>
      </c>
      <c r="C118" s="30" t="s">
        <v>101</v>
      </c>
      <c r="D118" s="30" t="str">
        <f>IF(LEFT(MAN!$B118,1)="@","Away","Home")</f>
        <v>Home</v>
      </c>
      <c r="E118" s="48">
        <f>_xlfn.NUMBERVALUE(MID(LEFT(MAN!$C118,FIND("-",MAN!$C118)-1),FIND(" ",MAN!$C118)+1,LEN(MAN!$C118)))</f>
        <v>0</v>
      </c>
      <c r="F118" s="49">
        <f>_xlfn.NUMBERVALUE(RIGHT(MAN!$C118,LEN(MAN!$C118)-FIND("-",MAN!$C118)))</f>
        <v>7</v>
      </c>
      <c r="G118" s="49">
        <f>E118+F118</f>
        <v>7</v>
      </c>
      <c r="H118" s="50" t="str">
        <f>LEFT(MAN!$C118,1)</f>
        <v>L</v>
      </c>
      <c r="I118" s="17" t="str">
        <f>VLOOKUP(IF(Table25[[#This Row],[At]]="Home",Table25[[#This Row],[Opponent]],RIGHT(Table25[[#This Row],[Opponent]],LEN(Table25[[#This Row],[Opponent]])-1)),CHOOSE({1,2},[1]StandingsRAW!$J$1:$J$22,[1]StandingsRAW!$L$1:$L$22),2,FALSE)</f>
        <v>DUL</v>
      </c>
      <c r="J118" s="33">
        <f>VLOOKUP(Table25[[#This Row],[OPP]],Raw!$L$2:$S$23,7,FALSE)-Raw!$U$2</f>
        <v>-0.37645438147905891</v>
      </c>
    </row>
    <row r="119" spans="1:10" x14ac:dyDescent="0.25">
      <c r="A119" s="30" t="s">
        <v>549</v>
      </c>
      <c r="B119" s="30" t="s">
        <v>241</v>
      </c>
      <c r="C119" s="30" t="s">
        <v>238</v>
      </c>
      <c r="D119" s="30" t="str">
        <f>IF(LEFT(MAN!$B119,1)="@","Away","Home")</f>
        <v>Home</v>
      </c>
      <c r="E119" s="48">
        <f>_xlfn.NUMBERVALUE(MID(LEFT(MAN!$C119,FIND("-",MAN!$C119)-1),FIND(" ",MAN!$C119)+1,LEN(MAN!$C119)))</f>
        <v>10</v>
      </c>
      <c r="F119" s="49">
        <f>_xlfn.NUMBERVALUE(RIGHT(MAN!$C119,LEN(MAN!$C119)-FIND("-",MAN!$C119)))</f>
        <v>2</v>
      </c>
      <c r="G119" s="49">
        <f t="shared" ref="G119:G122" si="17">E119+F119</f>
        <v>12</v>
      </c>
      <c r="H119" s="50" t="str">
        <f>LEFT(MAN!$C119,1)</f>
        <v>W</v>
      </c>
      <c r="I119" s="17" t="str">
        <f>VLOOKUP(IF(Table25[[#This Row],[At]]="Home",Table25[[#This Row],[Opponent]],RIGHT(Table25[[#This Row],[Opponent]],LEN(Table25[[#This Row],[Opponent]])-1)),CHOOSE({1,2},[1]StandingsRAW!$J$1:$J$22,[1]StandingsRAW!$L$1:$L$22),2,FALSE)</f>
        <v>MIN</v>
      </c>
      <c r="J119" s="33">
        <f>VLOOKUP(Table25[[#This Row],[OPP]],Raw!$L$2:$S$23,7,FALSE)-Raw!$U$2</f>
        <v>-2.6422089420097388</v>
      </c>
    </row>
    <row r="120" spans="1:10" x14ac:dyDescent="0.25">
      <c r="A120" t="s">
        <v>550</v>
      </c>
      <c r="B120" t="s">
        <v>241</v>
      </c>
      <c r="C120" t="s">
        <v>290</v>
      </c>
      <c r="D120" t="str">
        <f>IF(LEFT(MAN!$B120,1)="@","Away","Home")</f>
        <v>Home</v>
      </c>
      <c r="E120" s="1">
        <f>_xlfn.NUMBERVALUE(MID(LEFT(MAN!$C120,FIND("-",MAN!$C120)-1),FIND(" ",MAN!$C120)+1,LEN(MAN!$C120)))</f>
        <v>5</v>
      </c>
      <c r="F120" s="3">
        <f>_xlfn.NUMBERVALUE(RIGHT(MAN!$C120,LEN(MAN!$C120)-FIND("-",MAN!$C120)))</f>
        <v>0</v>
      </c>
      <c r="G120" s="3">
        <f t="shared" si="17"/>
        <v>5</v>
      </c>
      <c r="H120" s="85" t="str">
        <f>LEFT(MAN!$C120,1)</f>
        <v>W</v>
      </c>
      <c r="I120" s="17" t="str">
        <f>VLOOKUP(IF(Table25[[#This Row],[At]]="Home",Table25[[#This Row],[Opponent]],RIGHT(Table25[[#This Row],[Opponent]],LEN(Table25[[#This Row],[Opponent]])-1)),CHOOSE({1,2},[1]StandingsRAW!$J$1:$J$22,[1]StandingsRAW!$L$1:$L$22),2,FALSE)</f>
        <v>MIN</v>
      </c>
      <c r="J120" s="33">
        <f>VLOOKUP(Table25[[#This Row],[OPP]],Raw!$L$2:$S$23,7,FALSE)-Raw!$U$2</f>
        <v>-2.6422089420097388</v>
      </c>
    </row>
    <row r="121" spans="1:10" x14ac:dyDescent="0.25">
      <c r="A121" t="s">
        <v>551</v>
      </c>
      <c r="B121" t="s">
        <v>278</v>
      </c>
      <c r="C121" t="s">
        <v>85</v>
      </c>
      <c r="D121" t="str">
        <f>IF(LEFT(MAN!$B121,1)="@","Away","Home")</f>
        <v>Home</v>
      </c>
      <c r="E121" s="1">
        <f>_xlfn.NUMBERVALUE(MID(LEFT(MAN!$C121,FIND("-",MAN!$C121)-1),FIND(" ",MAN!$C121)+1,LEN(MAN!$C121)))</f>
        <v>5</v>
      </c>
      <c r="F121" s="3">
        <f>_xlfn.NUMBERVALUE(RIGHT(MAN!$C121,LEN(MAN!$C121)-FIND("-",MAN!$C121)))</f>
        <v>3</v>
      </c>
      <c r="G121" s="3">
        <f t="shared" si="17"/>
        <v>8</v>
      </c>
      <c r="H121" s="85" t="str">
        <f>LEFT(MAN!$C121,1)</f>
        <v>W</v>
      </c>
      <c r="I121" s="17" t="str">
        <f>VLOOKUP(IF(Table25[[#This Row],[At]]="Home",Table25[[#This Row],[Opponent]],RIGHT(Table25[[#This Row],[Opponent]],LEN(Table25[[#This Row],[Opponent]])-1)),CHOOSE({1,2},[1]StandingsRAW!$J$1:$J$22,[1]StandingsRAW!$L$1:$L$22),2,FALSE)</f>
        <v>BIS</v>
      </c>
      <c r="J121" s="33">
        <f>VLOOKUP(Table25[[#This Row],[OPP]],Raw!$L$2:$S$23,7,FALSE)-Raw!$U$2</f>
        <v>-1.915084759003203</v>
      </c>
    </row>
    <row r="122" spans="1:10" x14ac:dyDescent="0.25">
      <c r="A122" t="s">
        <v>552</v>
      </c>
      <c r="B122" t="s">
        <v>278</v>
      </c>
      <c r="C122" t="s">
        <v>94</v>
      </c>
      <c r="D122" t="str">
        <f>IF(LEFT(MAN!$B122,1)="@","Away","Home")</f>
        <v>Home</v>
      </c>
      <c r="E122" s="1">
        <f>_xlfn.NUMBERVALUE(MID(LEFT(MAN!$C122,FIND("-",MAN!$C122)-1),FIND(" ",MAN!$C122)+1,LEN(MAN!$C122)))</f>
        <v>4</v>
      </c>
      <c r="F122" s="3">
        <f>_xlfn.NUMBERVALUE(RIGHT(MAN!$C122,LEN(MAN!$C122)-FIND("-",MAN!$C122)))</f>
        <v>8</v>
      </c>
      <c r="G122" s="3">
        <f t="shared" si="17"/>
        <v>12</v>
      </c>
      <c r="H122" s="85" t="str">
        <f>LEFT(MAN!$C122,1)</f>
        <v>L</v>
      </c>
      <c r="I122" s="17" t="str">
        <f>VLOOKUP(IF(Table25[[#This Row],[At]]="Home",Table25[[#This Row],[Opponent]],RIGHT(Table25[[#This Row],[Opponent]],LEN(Table25[[#This Row],[Opponent]])-1)),CHOOSE({1,2},[1]StandingsRAW!$J$1:$J$22,[1]StandingsRAW!$L$1:$L$22),2,FALSE)</f>
        <v>BIS</v>
      </c>
      <c r="J122" s="33">
        <f>VLOOKUP(Table25[[#This Row],[OPP]],Raw!$L$2:$S$23,7,FALSE)-Raw!$U$2</f>
        <v>-1.915084759003203</v>
      </c>
    </row>
    <row r="123" spans="1:10" x14ac:dyDescent="0.25">
      <c r="A123" s="30" t="s">
        <v>555</v>
      </c>
      <c r="B123" s="30" t="s">
        <v>231</v>
      </c>
      <c r="C123" s="30" t="s">
        <v>267</v>
      </c>
      <c r="D123" s="30" t="str">
        <f>IF(LEFT(MAN!$B123,1)="@","Away","Home")</f>
        <v>Home</v>
      </c>
      <c r="E123" s="48">
        <f>_xlfn.NUMBERVALUE(MID(LEFT(MAN!$C123,FIND("-",MAN!$C123)-1),FIND(" ",MAN!$C123)+1,LEN(MAN!$C123)))</f>
        <v>8</v>
      </c>
      <c r="F123" s="49">
        <f>_xlfn.NUMBERVALUE(RIGHT(MAN!$C123,LEN(MAN!$C123)-FIND("-",MAN!$C123)))</f>
        <v>7</v>
      </c>
      <c r="G123" s="49">
        <f>E123+F123</f>
        <v>15</v>
      </c>
      <c r="H123" s="50" t="str">
        <f>LEFT(MAN!$C123,1)</f>
        <v>W</v>
      </c>
      <c r="I123" s="17" t="str">
        <f>VLOOKUP(IF(Table25[[#This Row],[At]]="Home",Table25[[#This Row],[Opponent]],RIGHT(Table25[[#This Row],[Opponent]],LEN(Table25[[#This Row],[Opponent]])-1)),CHOOSE({1,2},[1]StandingsRAW!$J$1:$J$22,[1]StandingsRAW!$L$1:$L$22),2,FALSE)</f>
        <v>LAC</v>
      </c>
      <c r="J123" s="33">
        <f>VLOOKUP(Table25[[#This Row],[OPP]],Raw!$L$2:$S$23,7,FALSE)-Raw!$U$2</f>
        <v>-0.25332005312084993</v>
      </c>
    </row>
    <row r="124" spans="1:10" x14ac:dyDescent="0.25">
      <c r="A124" s="30" t="s">
        <v>557</v>
      </c>
      <c r="B124" s="30" t="s">
        <v>231</v>
      </c>
      <c r="C124" s="30" t="s">
        <v>132</v>
      </c>
      <c r="D124" s="30" t="str">
        <f>IF(LEFT(MAN!$B124,1)="@","Away","Home")</f>
        <v>Home</v>
      </c>
      <c r="E124" s="48">
        <f>_xlfn.NUMBERVALUE(MID(LEFT(MAN!$C124,FIND("-",MAN!$C124)-1),FIND(" ",MAN!$C124)+1,LEN(MAN!$C124)))</f>
        <v>3</v>
      </c>
      <c r="F124" s="49">
        <f>_xlfn.NUMBERVALUE(RIGHT(MAN!$C124,LEN(MAN!$C124)-FIND("-",MAN!$C124)))</f>
        <v>6</v>
      </c>
      <c r="G124" s="49">
        <f>E124+F124</f>
        <v>9</v>
      </c>
      <c r="H124" s="50" t="str">
        <f>LEFT(MAN!$C124,1)</f>
        <v>L</v>
      </c>
      <c r="I124" s="17" t="str">
        <f>VLOOKUP(IF(Table25[[#This Row],[At]]="Home",Table25[[#This Row],[Opponent]],RIGHT(Table25[[#This Row],[Opponent]],LEN(Table25[[#This Row],[Opponent]])-1)),CHOOSE({1,2},[1]StandingsRAW!$J$1:$J$22,[1]StandingsRAW!$L$1:$L$22),2,FALSE)</f>
        <v>LAC</v>
      </c>
      <c r="J124" s="33">
        <f>VLOOKUP(Table25[[#This Row],[OPP]],Raw!$L$2:$S$23,7,FALSE)-Raw!$U$2</f>
        <v>-0.25332005312084993</v>
      </c>
    </row>
    <row r="125" spans="1:10" x14ac:dyDescent="0.25">
      <c r="A125" s="30" t="s">
        <v>563</v>
      </c>
      <c r="B125" s="30" t="s">
        <v>210</v>
      </c>
      <c r="C125" s="30" t="s">
        <v>400</v>
      </c>
      <c r="D125" s="30" t="str">
        <f>IF(LEFT(MAN!$B125,1)="@","Away","Home")</f>
        <v>Away</v>
      </c>
      <c r="E125" s="48">
        <f>_xlfn.NUMBERVALUE(MID(LEFT(MAN!$C125,FIND("-",MAN!$C125)-1),FIND(" ",MAN!$C125)+1,LEN(MAN!$C125)))</f>
        <v>19</v>
      </c>
      <c r="F125" s="49">
        <f>_xlfn.NUMBERVALUE(RIGHT(MAN!$C125,LEN(MAN!$C125)-FIND("-",MAN!$C125)))</f>
        <v>3</v>
      </c>
      <c r="G125" s="49">
        <f>E125+F125</f>
        <v>22</v>
      </c>
      <c r="H125" s="50" t="str">
        <f>LEFT(MAN!$C125,1)</f>
        <v>W</v>
      </c>
      <c r="I125" s="17" t="str">
        <f>VLOOKUP(IF(Table25[[#This Row],[At]]="Home",Table25[[#This Row],[Opponent]],RIGHT(Table25[[#This Row],[Opponent]],LEN(Table25[[#This Row],[Opponent]])-1)),CHOOSE({1,2},[1]StandingsRAW!$J$1:$J$22,[1]StandingsRAW!$L$1:$L$22),2,FALSE)</f>
        <v>ROC</v>
      </c>
      <c r="J125" s="33">
        <f>VLOOKUP(Table25[[#This Row],[OPP]],Raw!$L$2:$S$23,7,FALSE)-Raw!$U$2</f>
        <v>-0.20920240606202639</v>
      </c>
    </row>
    <row r="126" spans="1:10" x14ac:dyDescent="0.25">
      <c r="A126" s="30" t="s">
        <v>564</v>
      </c>
      <c r="B126" s="30" t="s">
        <v>263</v>
      </c>
      <c r="C126" s="30" t="s">
        <v>299</v>
      </c>
      <c r="D126" s="30" t="str">
        <f>IF(LEFT(MAN!$B126,1)="@","Away","Home")</f>
        <v>Home</v>
      </c>
      <c r="E126" s="48">
        <f>_xlfn.NUMBERVALUE(MID(LEFT(MAN!$C126,FIND("-",MAN!$C126)-1),FIND(" ",MAN!$C126)+1,LEN(MAN!$C126)))</f>
        <v>11</v>
      </c>
      <c r="F126" s="49">
        <f>_xlfn.NUMBERVALUE(RIGHT(MAN!$C126,LEN(MAN!$C126)-FIND("-",MAN!$C126)))</f>
        <v>3</v>
      </c>
      <c r="G126" s="49">
        <f t="shared" ref="G126:G129" si="18">E126+F126</f>
        <v>14</v>
      </c>
      <c r="H126" s="50" t="str">
        <f>LEFT(MAN!$C126,1)</f>
        <v>W</v>
      </c>
      <c r="I126" s="17" t="str">
        <f>VLOOKUP(IF(Table25[[#This Row],[At]]="Home",Table25[[#This Row],[Opponent]],RIGHT(Table25[[#This Row],[Opponent]],LEN(Table25[[#This Row],[Opponent]])-1)),CHOOSE({1,2},[1]StandingsRAW!$J$1:$J$22,[1]StandingsRAW!$L$1:$L$22),2,FALSE)</f>
        <v>ROC</v>
      </c>
      <c r="J126" s="33">
        <f>VLOOKUP(Table25[[#This Row],[OPP]],Raw!$L$2:$S$23,7,FALSE)-Raw!$U$2</f>
        <v>-0.20920240606202639</v>
      </c>
    </row>
    <row r="127" spans="1:10" x14ac:dyDescent="0.25">
      <c r="A127" t="s">
        <v>565</v>
      </c>
      <c r="B127" t="s">
        <v>192</v>
      </c>
      <c r="C127" t="s">
        <v>573</v>
      </c>
      <c r="D127" t="str">
        <f>IF(LEFT(MAN!$B127,1)="@","Away","Home")</f>
        <v>Away</v>
      </c>
      <c r="E127" s="1">
        <f>_xlfn.NUMBERVALUE(MID(LEFT(MAN!$C127,FIND("-",MAN!$C127)-1),FIND(" ",MAN!$C127)+1,LEN(MAN!$C127)))</f>
        <v>19</v>
      </c>
      <c r="F127" s="3">
        <f>_xlfn.NUMBERVALUE(RIGHT(MAN!$C127,LEN(MAN!$C127)-FIND("-",MAN!$C127)))</f>
        <v>14</v>
      </c>
      <c r="G127" s="3">
        <f t="shared" si="18"/>
        <v>33</v>
      </c>
      <c r="H127" s="85" t="str">
        <f>LEFT(MAN!$C127,1)</f>
        <v>W</v>
      </c>
      <c r="I127" s="17" t="str">
        <f>VLOOKUP(IF(Table25[[#This Row],[At]]="Home",Table25[[#This Row],[Opponent]],RIGHT(Table25[[#This Row],[Opponent]],LEN(Table25[[#This Row],[Opponent]])-1)),CHOOSE({1,2},[1]StandingsRAW!$J$1:$J$22,[1]StandingsRAW!$L$1:$L$22),2,FALSE)</f>
        <v>WAT</v>
      </c>
      <c r="J127" s="33">
        <f>VLOOKUP(Table25[[#This Row],[OPP]],Raw!$L$2:$S$23,7,FALSE)-Raw!$U$2</f>
        <v>-3.3415553472384971</v>
      </c>
    </row>
    <row r="128" spans="1:10" x14ac:dyDescent="0.25">
      <c r="A128" t="s">
        <v>566</v>
      </c>
      <c r="B128" t="s">
        <v>192</v>
      </c>
      <c r="C128" t="s">
        <v>256</v>
      </c>
      <c r="D128" t="str">
        <f>IF(LEFT(MAN!$B128,1)="@","Away","Home")</f>
        <v>Away</v>
      </c>
      <c r="E128" s="1">
        <f>_xlfn.NUMBERVALUE(MID(LEFT(MAN!$C128,FIND("-",MAN!$C128)-1),FIND(" ",MAN!$C128)+1,LEN(MAN!$C128)))</f>
        <v>11</v>
      </c>
      <c r="F128" s="3">
        <f>_xlfn.NUMBERVALUE(RIGHT(MAN!$C128,LEN(MAN!$C128)-FIND("-",MAN!$C128)))</f>
        <v>6</v>
      </c>
      <c r="G128" s="3">
        <f t="shared" si="18"/>
        <v>17</v>
      </c>
      <c r="H128" s="85" t="str">
        <f>LEFT(MAN!$C128,1)</f>
        <v>W</v>
      </c>
      <c r="I128" s="17" t="str">
        <f>VLOOKUP(IF(Table25[[#This Row],[At]]="Home",Table25[[#This Row],[Opponent]],RIGHT(Table25[[#This Row],[Opponent]],LEN(Table25[[#This Row],[Opponent]])-1)),CHOOSE({1,2},[1]StandingsRAW!$J$1:$J$22,[1]StandingsRAW!$L$1:$L$22),2,FALSE)</f>
        <v>WAT</v>
      </c>
      <c r="J128" s="33">
        <f>VLOOKUP(Table25[[#This Row],[OPP]],Raw!$L$2:$S$23,7,FALSE)-Raw!$U$2</f>
        <v>-3.3415553472384971</v>
      </c>
    </row>
    <row r="129" spans="1:10" x14ac:dyDescent="0.25">
      <c r="A129" t="s">
        <v>568</v>
      </c>
      <c r="B129" t="s">
        <v>245</v>
      </c>
      <c r="C129" t="s">
        <v>320</v>
      </c>
      <c r="D129" t="str">
        <f>IF(LEFT(MAN!$B129,1)="@","Away","Home")</f>
        <v>Home</v>
      </c>
      <c r="E129" s="1">
        <f>_xlfn.NUMBERVALUE(MID(LEFT(MAN!$C129,FIND("-",MAN!$C129)-1),FIND(" ",MAN!$C129)+1,LEN(MAN!$C129)))</f>
        <v>5</v>
      </c>
      <c r="F129" s="3">
        <f>_xlfn.NUMBERVALUE(RIGHT(MAN!$C129,LEN(MAN!$C129)-FIND("-",MAN!$C129)))</f>
        <v>1</v>
      </c>
      <c r="G129" s="3">
        <f t="shared" si="18"/>
        <v>6</v>
      </c>
      <c r="H129" s="85" t="str">
        <f>LEFT(MAN!$C129,1)</f>
        <v>W</v>
      </c>
      <c r="I129" s="17" t="str">
        <f>VLOOKUP(IF(Table25[[#This Row],[At]]="Home",Table25[[#This Row],[Opponent]],RIGHT(Table25[[#This Row],[Opponent]],LEN(Table25[[#This Row],[Opponent]])-1)),CHOOSE({1,2},[1]StandingsRAW!$J$1:$J$22,[1]StandingsRAW!$L$1:$L$22),2,FALSE)</f>
        <v>STC</v>
      </c>
      <c r="J129" s="33">
        <f>VLOOKUP(Table25[[#This Row],[OPP]],Raw!$L$2:$S$23,7,FALSE)-Raw!$U$2</f>
        <v>2.5702093586438561</v>
      </c>
    </row>
    <row r="130" spans="1:10" x14ac:dyDescent="0.25">
      <c r="A130" s="30" t="s">
        <v>589</v>
      </c>
      <c r="B130" s="30" t="s">
        <v>201</v>
      </c>
      <c r="C130" s="30" t="s">
        <v>351</v>
      </c>
      <c r="D130" s="30" t="str">
        <f>IF(LEFT(MAN!$B130,1)="@","Away","Home")</f>
        <v>Away</v>
      </c>
      <c r="E130" s="48">
        <f>_xlfn.NUMBERVALUE(MID(LEFT(MAN!$C130,FIND("-",MAN!$C130)-1),FIND(" ",MAN!$C130)+1,LEN(MAN!$C130)))</f>
        <v>2</v>
      </c>
      <c r="F130" s="49">
        <f>_xlfn.NUMBERVALUE(RIGHT(MAN!$C130,LEN(MAN!$C130)-FIND("-",MAN!$C130)))</f>
        <v>1</v>
      </c>
      <c r="G130" s="49">
        <f>E130+F130</f>
        <v>3</v>
      </c>
      <c r="H130" s="50" t="str">
        <f>LEFT(MAN!$C130,1)</f>
        <v>W</v>
      </c>
      <c r="I130" s="17" t="str">
        <f>VLOOKUP(IF(Table25[[#This Row],[At]]="Home",Table25[[#This Row],[Opponent]],RIGHT(Table25[[#This Row],[Opponent]],LEN(Table25[[#This Row],[Opponent]])-1)),CHOOSE({1,2},[1]StandingsRAW!$J$1:$J$22,[1]StandingsRAW!$L$1:$L$22),2,FALSE)</f>
        <v>STC</v>
      </c>
      <c r="J130" s="33">
        <f>VLOOKUP(Table25[[#This Row],[OPP]],Raw!$L$2:$S$23,7,FALSE)-Raw!$U$2</f>
        <v>2.5702093586438561</v>
      </c>
    </row>
    <row r="131" spans="1:10" x14ac:dyDescent="0.25">
      <c r="A131" s="30" t="s">
        <v>592</v>
      </c>
      <c r="B131" s="30" t="s">
        <v>211</v>
      </c>
      <c r="C131" s="30" t="s">
        <v>593</v>
      </c>
      <c r="D131" s="30" t="str">
        <f>IF(LEFT(MAN!$B131,1)="@","Away","Home")</f>
        <v>Away</v>
      </c>
      <c r="E131" s="48">
        <f>_xlfn.NUMBERVALUE(MID(LEFT(MAN!$C131,FIND("-",MAN!$C131)-1),FIND(" ",MAN!$C131)+1,LEN(MAN!$C131)))</f>
        <v>14</v>
      </c>
      <c r="F131" s="49">
        <f>_xlfn.NUMBERVALUE(RIGHT(MAN!$C131,LEN(MAN!$C131)-FIND("-",MAN!$C131)))</f>
        <v>21</v>
      </c>
      <c r="G131" s="49">
        <f>E131+F131</f>
        <v>35</v>
      </c>
      <c r="H131" s="50" t="str">
        <f>LEFT(MAN!$C131,1)</f>
        <v>L</v>
      </c>
      <c r="I131" s="17" t="str">
        <f>VLOOKUP(IF(Table25[[#This Row],[At]]="Home",Table25[[#This Row],[Opponent]],RIGHT(Table25[[#This Row],[Opponent]],LEN(Table25[[#This Row],[Opponent]])-1)),CHOOSE({1,2},[1]StandingsRAW!$J$1:$J$22,[1]StandingsRAW!$L$1:$L$22),2,FALSE)</f>
        <v>WIL</v>
      </c>
      <c r="J131" s="33">
        <f>VLOOKUP(Table25[[#This Row],[OPP]],Raw!$L$2:$S$23,7,FALSE)-Raw!$U$2</f>
        <v>3.0407975939379734</v>
      </c>
    </row>
    <row r="132" spans="1:10" x14ac:dyDescent="0.25">
      <c r="A132" s="30" t="s">
        <v>595</v>
      </c>
      <c r="B132" s="30" t="s">
        <v>211</v>
      </c>
      <c r="C132" s="30" t="s">
        <v>411</v>
      </c>
      <c r="D132" s="30" t="str">
        <f>IF(LEFT(MAN!$B132,1)="@","Away","Home")</f>
        <v>Away</v>
      </c>
      <c r="E132" s="48">
        <f>_xlfn.NUMBERVALUE(MID(LEFT(MAN!$C132,FIND("-",MAN!$C132)-1),FIND(" ",MAN!$C132)+1,LEN(MAN!$C132)))</f>
        <v>6</v>
      </c>
      <c r="F132" s="49">
        <f>_xlfn.NUMBERVALUE(RIGHT(MAN!$C132,LEN(MAN!$C132)-FIND("-",MAN!$C132)))</f>
        <v>16</v>
      </c>
      <c r="G132" s="49">
        <f>E132+F132</f>
        <v>22</v>
      </c>
      <c r="H132" s="50" t="str">
        <f>LEFT(MAN!$C132,1)</f>
        <v>L</v>
      </c>
      <c r="I132" s="17" t="str">
        <f>VLOOKUP(IF(Table25[[#This Row],[At]]="Home",Table25[[#This Row],[Opponent]],RIGHT(Table25[[#This Row],[Opponent]],LEN(Table25[[#This Row],[Opponent]])-1)),CHOOSE({1,2},[1]StandingsRAW!$J$1:$J$22,[1]StandingsRAW!$L$1:$L$22),2,FALSE)</f>
        <v>WIL</v>
      </c>
      <c r="J132" s="33">
        <f>VLOOKUP(Table25[[#This Row],[OPP]],Raw!$L$2:$S$23,7,FALSE)-Raw!$U$2</f>
        <v>3.0407975939379734</v>
      </c>
    </row>
    <row r="133" spans="1:10" x14ac:dyDescent="0.25">
      <c r="A133" s="30" t="s">
        <v>598</v>
      </c>
      <c r="B133" s="30" t="s">
        <v>203</v>
      </c>
      <c r="C133" s="30" t="s">
        <v>336</v>
      </c>
      <c r="D133" s="30" t="str">
        <f>IF(LEFT(MAN!$B133,1)="@","Away","Home")</f>
        <v>Away</v>
      </c>
      <c r="E133" s="48">
        <f>_xlfn.NUMBERVALUE(MID(LEFT(MAN!$C133,FIND("-",MAN!$C133)-1),FIND(" ",MAN!$C133)+1,LEN(MAN!$C133)))</f>
        <v>8</v>
      </c>
      <c r="F133" s="49">
        <f>_xlfn.NUMBERVALUE(RIGHT(MAN!$C133,LEN(MAN!$C133)-FIND("-",MAN!$C133)))</f>
        <v>4</v>
      </c>
      <c r="G133" s="49">
        <f>E133+F133</f>
        <v>12</v>
      </c>
      <c r="H133" s="50" t="str">
        <f>LEFT(MAN!$C133,1)</f>
        <v>W</v>
      </c>
      <c r="I133" s="17" t="str">
        <f>VLOOKUP(IF(Table25[[#This Row],[At]]="Home",Table25[[#This Row],[Opponent]],RIGHT(Table25[[#This Row],[Opponent]],LEN(Table25[[#This Row],[Opponent]])-1)),CHOOSE({1,2},[1]StandingsRAW!$J$1:$J$22,[1]StandingsRAW!$L$1:$L$22),2,FALSE)</f>
        <v>BIS</v>
      </c>
      <c r="J133" s="33">
        <f>VLOOKUP(Table25[[#This Row],[OPP]],Raw!$L$2:$S$23,7,FALSE)-Raw!$U$2</f>
        <v>-1.915084759003203</v>
      </c>
    </row>
    <row r="134" spans="1:10" x14ac:dyDescent="0.25">
      <c r="A134" s="30" t="s">
        <v>599</v>
      </c>
      <c r="B134" s="30" t="s">
        <v>203</v>
      </c>
      <c r="C134" s="30" t="s">
        <v>287</v>
      </c>
      <c r="D134" s="30" t="str">
        <f>IF(LEFT(MAN!$B134,1)="@","Away","Home")</f>
        <v>Away</v>
      </c>
      <c r="E134" s="48">
        <f>_xlfn.NUMBERVALUE(MID(LEFT(MAN!$C134,FIND("-",MAN!$C134)-1),FIND(" ",MAN!$C134)+1,LEN(MAN!$C134)))</f>
        <v>11</v>
      </c>
      <c r="F134" s="49">
        <f>_xlfn.NUMBERVALUE(RIGHT(MAN!$C134,LEN(MAN!$C134)-FIND("-",MAN!$C134)))</f>
        <v>2</v>
      </c>
      <c r="G134" s="49">
        <f>E134+F134</f>
        <v>13</v>
      </c>
      <c r="H134" s="50" t="str">
        <f>LEFT(MAN!$C134,1)</f>
        <v>W</v>
      </c>
      <c r="I134" s="17" t="str">
        <f>VLOOKUP(IF(Table25[[#This Row],[At]]="Home",Table25[[#This Row],[Opponent]],RIGHT(Table25[[#This Row],[Opponent]],LEN(Table25[[#This Row],[Opponent]])-1)),CHOOSE({1,2},[1]StandingsRAW!$J$1:$J$22,[1]StandingsRAW!$L$1:$L$22),2,FALSE)</f>
        <v>BIS</v>
      </c>
      <c r="J134" s="33">
        <f>VLOOKUP(Table25[[#This Row],[OPP]],Raw!$L$2:$S$23,7,FALSE)-Raw!$U$2</f>
        <v>-1.915084759003203</v>
      </c>
    </row>
    <row r="135" spans="1:10" x14ac:dyDescent="0.25">
      <c r="A135" s="30" t="s">
        <v>600</v>
      </c>
      <c r="B135" s="30" t="s">
        <v>263</v>
      </c>
      <c r="C135" s="30" t="s">
        <v>335</v>
      </c>
      <c r="D135" s="30" t="str">
        <f>IF(LEFT(MAN!$B135,1)="@","Away","Home")</f>
        <v>Home</v>
      </c>
      <c r="E135" s="48">
        <f>_xlfn.NUMBERVALUE(MID(LEFT(MAN!$C135,FIND("-",MAN!$C135)-1),FIND(" ",MAN!$C135)+1,LEN(MAN!$C135)))</f>
        <v>6</v>
      </c>
      <c r="F135" s="49">
        <f>_xlfn.NUMBERVALUE(RIGHT(MAN!$C135,LEN(MAN!$C135)-FIND("-",MAN!$C135)))</f>
        <v>4</v>
      </c>
      <c r="G135" s="49">
        <f t="shared" ref="G135:G138" si="19">E135+F135</f>
        <v>10</v>
      </c>
      <c r="H135" s="50" t="str">
        <f>LEFT(MAN!$C135,1)</f>
        <v>W</v>
      </c>
      <c r="I135" s="17" t="str">
        <f>VLOOKUP(IF(Table25[[#This Row],[At]]="Home",Table25[[#This Row],[Opponent]],RIGHT(Table25[[#This Row],[Opponent]],LEN(Table25[[#This Row],[Opponent]])-1)),CHOOSE({1,2},[1]StandingsRAW!$J$1:$J$22,[1]StandingsRAW!$L$1:$L$22),2,FALSE)</f>
        <v>ROC</v>
      </c>
      <c r="J135" s="33">
        <f>VLOOKUP(Table25[[#This Row],[OPP]],Raw!$L$2:$S$23,7,FALSE)-Raw!$U$2</f>
        <v>-0.20920240606202639</v>
      </c>
    </row>
    <row r="136" spans="1:10" x14ac:dyDescent="0.25">
      <c r="A136" t="s">
        <v>601</v>
      </c>
      <c r="B136" t="s">
        <v>263</v>
      </c>
      <c r="C136" t="s">
        <v>336</v>
      </c>
      <c r="D136" t="str">
        <f>IF(LEFT(MAN!$B136,1)="@","Away","Home")</f>
        <v>Home</v>
      </c>
      <c r="E136" s="1">
        <f>_xlfn.NUMBERVALUE(MID(LEFT(MAN!$C136,FIND("-",MAN!$C136)-1),FIND(" ",MAN!$C136)+1,LEN(MAN!$C136)))</f>
        <v>8</v>
      </c>
      <c r="F136" s="3">
        <f>_xlfn.NUMBERVALUE(RIGHT(MAN!$C136,LEN(MAN!$C136)-FIND("-",MAN!$C136)))</f>
        <v>4</v>
      </c>
      <c r="G136" s="3">
        <f t="shared" si="19"/>
        <v>12</v>
      </c>
      <c r="H136" s="85" t="str">
        <f>LEFT(MAN!$C136,1)</f>
        <v>W</v>
      </c>
      <c r="I136" s="17" t="str">
        <f>VLOOKUP(IF(Table25[[#This Row],[At]]="Home",Table25[[#This Row],[Opponent]],RIGHT(Table25[[#This Row],[Opponent]],LEN(Table25[[#This Row],[Opponent]])-1)),CHOOSE({1,2},[1]StandingsRAW!$J$1:$J$22,[1]StandingsRAW!$L$1:$L$22),2,FALSE)</f>
        <v>ROC</v>
      </c>
      <c r="J136" s="33">
        <f>VLOOKUP(Table25[[#This Row],[OPP]],Raw!$L$2:$S$23,7,FALSE)-Raw!$U$2</f>
        <v>-0.20920240606202639</v>
      </c>
    </row>
    <row r="137" spans="1:10" x14ac:dyDescent="0.25">
      <c r="A137" t="s">
        <v>602</v>
      </c>
      <c r="B137" t="s">
        <v>235</v>
      </c>
      <c r="C137" t="s">
        <v>113</v>
      </c>
      <c r="D137" t="str">
        <f>IF(LEFT(MAN!$B137,1)="@","Away","Home")</f>
        <v>Home</v>
      </c>
      <c r="E137" s="1">
        <f>_xlfn.NUMBERVALUE(MID(LEFT(MAN!$C137,FIND("-",MAN!$C137)-1),FIND(" ",MAN!$C137)+1,LEN(MAN!$C137)))</f>
        <v>7</v>
      </c>
      <c r="F137" s="3">
        <f>_xlfn.NUMBERVALUE(RIGHT(MAN!$C137,LEN(MAN!$C137)-FIND("-",MAN!$C137)))</f>
        <v>9</v>
      </c>
      <c r="G137" s="3">
        <f t="shared" si="19"/>
        <v>16</v>
      </c>
      <c r="H137" s="85" t="str">
        <f>LEFT(MAN!$C137,1)</f>
        <v>L</v>
      </c>
      <c r="I137" s="17" t="str">
        <f>VLOOKUP(IF(Table25[[#This Row],[At]]="Home",Table25[[#This Row],[Opponent]],RIGHT(Table25[[#This Row],[Opponent]],LEN(Table25[[#This Row],[Opponent]])-1)),CHOOSE({1,2},[1]StandingsRAW!$J$1:$J$22,[1]StandingsRAW!$L$1:$L$22),2,FALSE)</f>
        <v>EC</v>
      </c>
      <c r="J137" s="33">
        <f>VLOOKUP(Table25[[#This Row],[OPP]],Raw!$L$2:$S$23,7,FALSE)-Raw!$U$2</f>
        <v>1.1143270057026795</v>
      </c>
    </row>
    <row r="138" spans="1:10" x14ac:dyDescent="0.25">
      <c r="A138" t="s">
        <v>603</v>
      </c>
      <c r="B138" t="s">
        <v>235</v>
      </c>
      <c r="C138" t="s">
        <v>254</v>
      </c>
      <c r="D138" t="str">
        <f>IF(LEFT(MAN!$B138,1)="@","Away","Home")</f>
        <v>Home</v>
      </c>
      <c r="E138" s="1">
        <f>_xlfn.NUMBERVALUE(MID(LEFT(MAN!$C138,FIND("-",MAN!$C138)-1),FIND(" ",MAN!$C138)+1,LEN(MAN!$C138)))</f>
        <v>5</v>
      </c>
      <c r="F138" s="3">
        <f>_xlfn.NUMBERVALUE(RIGHT(MAN!$C138,LEN(MAN!$C138)-FIND("-",MAN!$C138)))</f>
        <v>4</v>
      </c>
      <c r="G138" s="3">
        <f t="shared" si="19"/>
        <v>9</v>
      </c>
      <c r="H138" s="85" t="str">
        <f>LEFT(MAN!$C138,1)</f>
        <v>W</v>
      </c>
      <c r="I138" s="17" t="str">
        <f>VLOOKUP(IF(Table25[[#This Row],[At]]="Home",Table25[[#This Row],[Opponent]],RIGHT(Table25[[#This Row],[Opponent]],LEN(Table25[[#This Row],[Opponent]])-1)),CHOOSE({1,2},[1]StandingsRAW!$J$1:$J$22,[1]StandingsRAW!$L$1:$L$22),2,FALSE)</f>
        <v>EC</v>
      </c>
      <c r="J138" s="33">
        <f>VLOOKUP(Table25[[#This Row],[OPP]],Raw!$L$2:$S$23,7,FALSE)-Raw!$U$2</f>
        <v>1.1143270057026795</v>
      </c>
    </row>
    <row r="139" spans="1:10" x14ac:dyDescent="0.25">
      <c r="A139" s="93" t="s">
        <v>608</v>
      </c>
      <c r="B139" s="93" t="s">
        <v>190</v>
      </c>
      <c r="C139" s="93" t="s">
        <v>48</v>
      </c>
      <c r="D139" s="93" t="str">
        <f>IF(LEFT(MAN!$B139,1)="@","Away","Home")</f>
        <v>Away</v>
      </c>
      <c r="E139" s="102">
        <f>_xlfn.NUMBERVALUE(MID(LEFT(MAN!$C139,FIND("-",MAN!$C139)-1),FIND(" ",MAN!$C139)+1,LEN(MAN!$C139)))</f>
        <v>4</v>
      </c>
      <c r="F139" s="103">
        <f>_xlfn.NUMBERVALUE(RIGHT(MAN!$C139,LEN(MAN!$C139)-FIND("-",MAN!$C139)))</f>
        <v>5</v>
      </c>
      <c r="G139" s="103">
        <f t="shared" ref="G139:G140" si="20">E139+F139</f>
        <v>9</v>
      </c>
      <c r="H139" s="104" t="str">
        <f>LEFT(MAN!$C139,1)</f>
        <v>L</v>
      </c>
      <c r="I139" s="17" t="str">
        <f>VLOOKUP(IF(Table25[[#This Row],[At]]="Home",Table25[[#This Row],[Opponent]],RIGHT(Table25[[#This Row],[Opponent]],LEN(Table25[[#This Row],[Opponent]])-1)),CHOOSE({1,2},[1]StandingsRAW!$J$1:$J$22,[1]StandingsRAW!$L$1:$L$22),2,FALSE)</f>
        <v>LAC</v>
      </c>
      <c r="J139" s="33">
        <f>VLOOKUP(Table25[[#This Row],[OPP]],Raw!$L$2:$S$23,7,FALSE)-Raw!$U$2</f>
        <v>-0.25332005312084993</v>
      </c>
    </row>
    <row r="140" spans="1:10" x14ac:dyDescent="0.25">
      <c r="A140" s="95" t="s">
        <v>609</v>
      </c>
      <c r="B140" s="95" t="s">
        <v>190</v>
      </c>
      <c r="C140" s="95" t="s">
        <v>327</v>
      </c>
      <c r="D140" s="95" t="str">
        <f>IF(LEFT(MAN!$B140,1)="@","Away","Home")</f>
        <v>Away</v>
      </c>
      <c r="E140" s="97">
        <f>_xlfn.NUMBERVALUE(MID(LEFT(MAN!$C140,FIND("-",MAN!$C140)-1),FIND(" ",MAN!$C140)+1,LEN(MAN!$C140)))</f>
        <v>9</v>
      </c>
      <c r="F140" s="99">
        <f>_xlfn.NUMBERVALUE(RIGHT(MAN!$C140,LEN(MAN!$C140)-FIND("-",MAN!$C140)))</f>
        <v>7</v>
      </c>
      <c r="G140" s="99">
        <f t="shared" si="20"/>
        <v>16</v>
      </c>
      <c r="H140" s="105" t="str">
        <f>LEFT(MAN!$C140,1)</f>
        <v>W</v>
      </c>
      <c r="I140" s="17" t="str">
        <f>VLOOKUP(IF(Table25[[#This Row],[At]]="Home",Table25[[#This Row],[Opponent]],RIGHT(Table25[[#This Row],[Opponent]],LEN(Table25[[#This Row],[Opponent]])-1)),CHOOSE({1,2},[1]StandingsRAW!$J$1:$J$22,[1]StandingsRAW!$L$1:$L$22),2,FALSE)</f>
        <v>LAC</v>
      </c>
      <c r="J140" s="33">
        <f>VLOOKUP(Table25[[#This Row],[OPP]],Raw!$L$2:$S$23,7,FALSE)-Raw!$U$2</f>
        <v>-0.25332005312084993</v>
      </c>
    </row>
    <row r="141" spans="1:10" x14ac:dyDescent="0.25">
      <c r="E141" s="1"/>
      <c r="F141" s="3"/>
      <c r="G141" s="3"/>
      <c r="H141" s="3"/>
    </row>
    <row r="142" spans="1:10" x14ac:dyDescent="0.25">
      <c r="E142" s="1"/>
      <c r="F142" s="3"/>
      <c r="G142" s="3"/>
      <c r="H142" s="3"/>
    </row>
  </sheetData>
  <conditionalFormatting sqref="L17">
    <cfRule type="cellIs" dxfId="49" priority="4" operator="greaterThan">
      <formula>100</formula>
    </cfRule>
    <cfRule type="cellIs" dxfId="48" priority="5" operator="lessThan">
      <formula>100</formula>
    </cfRule>
  </conditionalFormatting>
  <conditionalFormatting sqref="L18">
    <cfRule type="cellIs" dxfId="47" priority="2" operator="greaterThan">
      <formula>100</formula>
    </cfRule>
    <cfRule type="cellIs" dxfId="46" priority="3" operator="lessThan">
      <formula>100</formula>
    </cfRule>
  </conditionalFormatting>
  <conditionalFormatting sqref="L17:L18">
    <cfRule type="cellIs" dxfId="45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7365-80E3-4824-88BA-63E7BA07CDEB}">
  <sheetPr codeName="Sheet16"/>
  <dimension ref="A1:P110"/>
  <sheetViews>
    <sheetView topLeftCell="A39" workbookViewId="0">
      <selection activeCell="A41" sqref="A41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189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9</v>
      </c>
      <c r="B3" t="s">
        <v>190</v>
      </c>
      <c r="C3" t="s">
        <v>48</v>
      </c>
      <c r="E3" s="1" t="str">
        <f>IF(LEFT(B3,1)="@","Away","Home")</f>
        <v>Away</v>
      </c>
      <c r="F3" s="3">
        <f>_xlfn.NUMBERVALUE(MID(LEFT(C3,FIND("-",C3)-1),FIND(" ",C3)+1,LEN(C3)))</f>
        <v>4</v>
      </c>
      <c r="G3" s="3">
        <f>_xlfn.NUMBERVALUE(RIGHT(C3,LEN(C3)-FIND("-",C3)))</f>
        <v>5</v>
      </c>
      <c r="H3" s="3">
        <f t="shared" ref="H3:H38" si="0">F3+G3</f>
        <v>9</v>
      </c>
      <c r="I3" s="3" t="str">
        <f>LEFT(C3,1)</f>
        <v>L</v>
      </c>
      <c r="K3" s="4" t="s">
        <v>139</v>
      </c>
      <c r="L3" s="5" t="e">
        <f>(SUMIF($E$3:$E$109,$K3,F$3:F$109) + SUMIF(Table15[At],$K3,Table15[Scored]))/(COUNTIF($E$3:$E$109,$K3) + COUNTIF(Table15[At],$K3))</f>
        <v>#DIV/0!</v>
      </c>
      <c r="M3" s="5" t="e">
        <f>(SUMIF($E$3:$E$109,$K3,G$3:G$109) + SUMIF(Table15[At],$K3,Table15[Allowed]))/(COUNTIF($E$3:$E$109,$K3) + COUNTIF(Table15[At],$K3))</f>
        <v>#DIV/0!</v>
      </c>
      <c r="N3" s="5" t="e">
        <f>L3+M3</f>
        <v>#DIV/0!</v>
      </c>
      <c r="O3" s="5" t="e">
        <f>(COUNTIFS($E$3:$E$98,$K3,$I$3:$I$98,O$2) + COUNTIFS(Table15[At],$K3,Table15[Result],O$2))/(COUNTIF($E$3:$E$98,$K3) + COUNTIF(Table15[At],$K3))</f>
        <v>#DIV/0!</v>
      </c>
      <c r="P3" s="5" t="e">
        <f>(COUNTIFS($E$3:$E$98,$K3,$I$3:$I$98,P$2) + COUNTIFS(Table15[At],$K3,Table15[Result],P$2))/(COUNTIF($E$3:$E$98,$K3) + COUNTIF(Table15[At],$K3))</f>
        <v>#DIV/0!</v>
      </c>
    </row>
    <row r="4" spans="1:16" x14ac:dyDescent="0.25">
      <c r="A4" t="s">
        <v>12</v>
      </c>
      <c r="B4" t="s">
        <v>190</v>
      </c>
      <c r="C4" t="s">
        <v>191</v>
      </c>
      <c r="E4" s="1" t="str">
        <f t="shared" ref="E4:E38" si="1">IF(LEFT(B4,1)="@","Away","Home")</f>
        <v>Away</v>
      </c>
      <c r="F4" s="3">
        <f t="shared" ref="F4:F38" si="2">_xlfn.NUMBERVALUE(MID(LEFT(C4,FIND("-",C4)-1),FIND(" ",C4)+1,LEN(C4)))</f>
        <v>12</v>
      </c>
      <c r="G4" s="3">
        <f t="shared" ref="G4:G38" si="3">_xlfn.NUMBERVALUE(RIGHT(C4,LEN(C4)-FIND("-",C4)))</f>
        <v>4</v>
      </c>
      <c r="H4" s="3">
        <f t="shared" si="0"/>
        <v>16</v>
      </c>
      <c r="I4" s="3" t="str">
        <f t="shared" ref="I4:I38" si="4">LEFT(C4,1)</f>
        <v>W</v>
      </c>
      <c r="K4" s="4" t="s">
        <v>140</v>
      </c>
      <c r="L4" s="5">
        <f>(SUMIF($E$3:$E$109,$K4,F$3:F$109) + SUMIF(Table15[At],$K4,Table15[Scored]))/(COUNTIF($E$3:$E$109,$K4) + COUNTIF(Table15[At],$K4))</f>
        <v>4.6111111111111107</v>
      </c>
      <c r="M4" s="5">
        <f>(SUMIF($E$3:$E$109,$K4,G$3:G$109) + SUMIF(Table15[At],$K4,Table15[Allowed]))/(COUNTIF($E$3:$E$109,$K4) + COUNTIF(Table15[At],$K4))</f>
        <v>6.8611111111111107</v>
      </c>
      <c r="N4" s="5">
        <f>L4+M4</f>
        <v>11.472222222222221</v>
      </c>
      <c r="O4" s="5">
        <f>(COUNTIFS($E$3:$E$98,$K4,$I$3:$I$98,O$2) + COUNTIFS(Table15[At],$K4,Table15[Result],O$2))/(COUNTIF($E$3:$E$98,$K4) + COUNTIF(Table15[At],$K4))</f>
        <v>0.2361111111111111</v>
      </c>
      <c r="P4" s="5">
        <f>(COUNTIFS($E$3:$E$98,$K4,$I$3:$I$98,P$2) + COUNTIFS(Table15[At],$K4,Table15[Result],P$2))/(COUNTIF($E$3:$E$98,$K4) + COUNTIF(Table15[At],$K4))</f>
        <v>0.76388888888888884</v>
      </c>
    </row>
    <row r="5" spans="1:16" x14ac:dyDescent="0.25">
      <c r="A5" t="s">
        <v>14</v>
      </c>
      <c r="B5" t="s">
        <v>192</v>
      </c>
      <c r="C5" t="s">
        <v>99</v>
      </c>
      <c r="E5" s="1" t="str">
        <f t="shared" si="1"/>
        <v>Away</v>
      </c>
      <c r="F5" s="3">
        <f t="shared" si="2"/>
        <v>4</v>
      </c>
      <c r="G5" s="3">
        <f t="shared" si="3"/>
        <v>12</v>
      </c>
      <c r="H5" s="3">
        <f t="shared" si="0"/>
        <v>16</v>
      </c>
      <c r="I5" s="3" t="str">
        <f t="shared" si="4"/>
        <v>L</v>
      </c>
    </row>
    <row r="6" spans="1:16" x14ac:dyDescent="0.25">
      <c r="A6" t="s">
        <v>16</v>
      </c>
      <c r="B6" t="s">
        <v>192</v>
      </c>
      <c r="C6" t="s">
        <v>77</v>
      </c>
      <c r="E6" s="1" t="str">
        <f t="shared" si="1"/>
        <v>Away</v>
      </c>
      <c r="F6" s="3">
        <f t="shared" si="2"/>
        <v>1</v>
      </c>
      <c r="G6" s="3">
        <f t="shared" si="3"/>
        <v>9</v>
      </c>
      <c r="H6" s="3">
        <f t="shared" si="0"/>
        <v>10</v>
      </c>
      <c r="I6" s="3" t="str">
        <f t="shared" si="4"/>
        <v>L</v>
      </c>
      <c r="K6" s="4" t="s">
        <v>144</v>
      </c>
      <c r="L6" s="5" t="e">
        <f>N3/N4</f>
        <v>#DIV/0!</v>
      </c>
      <c r="O6" s="4" t="s">
        <v>178</v>
      </c>
      <c r="P6" s="1" t="s">
        <v>180</v>
      </c>
    </row>
    <row r="7" spans="1:16" x14ac:dyDescent="0.25">
      <c r="A7" t="s">
        <v>19</v>
      </c>
      <c r="B7" t="s">
        <v>192</v>
      </c>
      <c r="C7" t="s">
        <v>56</v>
      </c>
      <c r="E7" s="1" t="str">
        <f t="shared" si="1"/>
        <v>Away</v>
      </c>
      <c r="F7" s="3">
        <f t="shared" si="2"/>
        <v>1</v>
      </c>
      <c r="G7" s="3">
        <f t="shared" si="3"/>
        <v>7</v>
      </c>
      <c r="H7" s="3">
        <f t="shared" si="0"/>
        <v>8</v>
      </c>
      <c r="I7" s="3" t="str">
        <f t="shared" si="4"/>
        <v>L</v>
      </c>
      <c r="K7" s="7" t="s">
        <v>143</v>
      </c>
      <c r="L7" s="5" t="e">
        <f>(18.5 - O3)/(18.5-P4)</f>
        <v>#DIV/0!</v>
      </c>
      <c r="O7" s="4" t="s">
        <v>147</v>
      </c>
      <c r="P7" s="1">
        <f>VLOOKUP($P$6,'Full League'!$L$4:$N$5,2,FALSE)</f>
        <v>10</v>
      </c>
    </row>
    <row r="8" spans="1:16" x14ac:dyDescent="0.25">
      <c r="A8" t="s">
        <v>193</v>
      </c>
      <c r="B8" t="s">
        <v>192</v>
      </c>
      <c r="C8" t="s">
        <v>90</v>
      </c>
      <c r="E8" s="1" t="str">
        <f t="shared" si="1"/>
        <v>Away</v>
      </c>
      <c r="F8" s="3">
        <f t="shared" si="2"/>
        <v>0</v>
      </c>
      <c r="G8" s="3">
        <f t="shared" si="3"/>
        <v>8</v>
      </c>
      <c r="H8" s="3">
        <f t="shared" si="0"/>
        <v>8</v>
      </c>
      <c r="I8" s="3" t="str">
        <f t="shared" si="4"/>
        <v>L</v>
      </c>
      <c r="K8" s="7" t="s">
        <v>146</v>
      </c>
      <c r="L8" s="5" t="e">
        <f>L6/L7</f>
        <v>#DIV/0!</v>
      </c>
      <c r="O8" s="4" t="s">
        <v>151</v>
      </c>
      <c r="P8" s="2">
        <f>VLOOKUP($P$6,'Full League'!$L$4:$N$5,3,FALSE)</f>
        <v>11.586233565351895</v>
      </c>
    </row>
    <row r="9" spans="1:16" x14ac:dyDescent="0.25">
      <c r="A9" t="s">
        <v>22</v>
      </c>
      <c r="B9" t="s">
        <v>194</v>
      </c>
      <c r="C9" t="s">
        <v>195</v>
      </c>
      <c r="E9" s="1" t="str">
        <f t="shared" si="1"/>
        <v>Away</v>
      </c>
      <c r="F9" s="3">
        <f t="shared" si="2"/>
        <v>8</v>
      </c>
      <c r="G9" s="3">
        <f t="shared" si="3"/>
        <v>1</v>
      </c>
      <c r="H9" s="3">
        <f t="shared" si="0"/>
        <v>9</v>
      </c>
      <c r="I9" s="3" t="str">
        <f t="shared" si="4"/>
        <v>W</v>
      </c>
      <c r="K9" s="7" t="s">
        <v>145</v>
      </c>
      <c r="L9" s="5" t="e">
        <f>(P7)/(P7-1+L8)</f>
        <v>#DIV/0!</v>
      </c>
      <c r="O9" s="4"/>
      <c r="P9" s="1"/>
    </row>
    <row r="10" spans="1:16" x14ac:dyDescent="0.25">
      <c r="A10" t="s">
        <v>196</v>
      </c>
      <c r="B10" t="s">
        <v>194</v>
      </c>
      <c r="C10" t="s">
        <v>197</v>
      </c>
      <c r="E10" s="1" t="str">
        <f t="shared" si="1"/>
        <v>Away</v>
      </c>
      <c r="F10" s="3">
        <f t="shared" si="2"/>
        <v>0</v>
      </c>
      <c r="G10" s="3">
        <f t="shared" si="3"/>
        <v>1</v>
      </c>
      <c r="H10" s="3">
        <f t="shared" si="0"/>
        <v>1</v>
      </c>
      <c r="I10" s="3" t="str">
        <f t="shared" si="4"/>
        <v>L</v>
      </c>
      <c r="K10" s="4" t="s">
        <v>149</v>
      </c>
      <c r="L10" s="5" t="e">
        <f>L8*L9</f>
        <v>#DIV/0!</v>
      </c>
      <c r="O10" s="4"/>
      <c r="P10" s="1"/>
    </row>
    <row r="11" spans="1:16" x14ac:dyDescent="0.25">
      <c r="A11" t="s">
        <v>34</v>
      </c>
      <c r="B11" t="s">
        <v>198</v>
      </c>
      <c r="C11" t="s">
        <v>199</v>
      </c>
      <c r="E11" s="1" t="str">
        <f t="shared" si="1"/>
        <v>Away</v>
      </c>
      <c r="F11" s="3">
        <f t="shared" si="2"/>
        <v>3</v>
      </c>
      <c r="G11" s="3">
        <f t="shared" si="3"/>
        <v>7</v>
      </c>
      <c r="H11" s="3">
        <f t="shared" si="0"/>
        <v>10</v>
      </c>
      <c r="I11" s="3" t="str">
        <f t="shared" si="4"/>
        <v>L</v>
      </c>
      <c r="K11" s="4" t="s">
        <v>148</v>
      </c>
      <c r="L11" s="5" t="e">
        <f>1 - ((L10-1)/(P7-1))</f>
        <v>#DIV/0!</v>
      </c>
      <c r="O11" s="4"/>
      <c r="P11" s="1"/>
    </row>
    <row r="12" spans="1:16" x14ac:dyDescent="0.25">
      <c r="A12" t="s">
        <v>37</v>
      </c>
      <c r="B12" t="s">
        <v>198</v>
      </c>
      <c r="C12" t="s">
        <v>200</v>
      </c>
      <c r="E12" s="1" t="str">
        <f t="shared" si="1"/>
        <v>Away</v>
      </c>
      <c r="F12" s="3">
        <f t="shared" si="2"/>
        <v>8</v>
      </c>
      <c r="G12" s="3">
        <f t="shared" si="3"/>
        <v>0</v>
      </c>
      <c r="H12" s="3">
        <f t="shared" si="0"/>
        <v>8</v>
      </c>
      <c r="I12" s="3" t="str">
        <f t="shared" si="4"/>
        <v>W</v>
      </c>
      <c r="K12" s="4" t="s">
        <v>150</v>
      </c>
      <c r="L12" s="5" t="e">
        <f>(($L4/$L11)+($L3/$L10)) * (1 + (L13-1)/($P7-1)) / $P8</f>
        <v>#DIV/0!</v>
      </c>
      <c r="M12" s="5" t="e">
        <f t="shared" ref="M12:O12" si="5">(($L4/$L11)+($L3/$L10)) * (1 + (M13-1)/($P7-1)) / $P8</f>
        <v>#DIV/0!</v>
      </c>
      <c r="N12" s="5" t="e">
        <f t="shared" si="5"/>
        <v>#DIV/0!</v>
      </c>
      <c r="O12" s="8" t="e">
        <f t="shared" si="5"/>
        <v>#DIV/0!</v>
      </c>
      <c r="P12" s="5"/>
    </row>
    <row r="13" spans="1:16" x14ac:dyDescent="0.25">
      <c r="A13" t="s">
        <v>43</v>
      </c>
      <c r="B13" t="s">
        <v>201</v>
      </c>
      <c r="C13" t="s">
        <v>202</v>
      </c>
      <c r="E13" s="1" t="str">
        <f t="shared" si="1"/>
        <v>Away</v>
      </c>
      <c r="F13" s="3">
        <f t="shared" si="2"/>
        <v>4</v>
      </c>
      <c r="G13" s="3">
        <f t="shared" si="3"/>
        <v>11</v>
      </c>
      <c r="H13" s="3">
        <f t="shared" si="0"/>
        <v>15</v>
      </c>
      <c r="I13" s="3" t="str">
        <f t="shared" si="4"/>
        <v>L</v>
      </c>
      <c r="K13" s="4" t="s">
        <v>182</v>
      </c>
      <c r="L13" s="5">
        <v>1</v>
      </c>
      <c r="M13" s="5" t="e">
        <f>(($M4/$L11)+($M3/$L10)) * (1 + (L12-1)/($P7-1)) / $P8</f>
        <v>#DIV/0!</v>
      </c>
      <c r="N13" s="5" t="e">
        <f>(($M4/$L11)+($M3/$L10)) * (1 + (M12-1)/($P7-1)) / $P8</f>
        <v>#DIV/0!</v>
      </c>
      <c r="O13" s="5" t="e">
        <f>(($M4/$L11)+($M3/$L10)) * (1 + (N12-1)/($P7-1)) / $P8</f>
        <v>#DIV/0!</v>
      </c>
      <c r="P13" s="8" t="e">
        <f>(($M4/$L11)+($M3/$L10)) * (1 + (O12-1)/($P7-1)) / $P8</f>
        <v>#DIV/0!</v>
      </c>
    </row>
    <row r="14" spans="1:16" x14ac:dyDescent="0.25">
      <c r="A14" t="s">
        <v>45</v>
      </c>
      <c r="B14" t="s">
        <v>201</v>
      </c>
      <c r="C14" t="s">
        <v>65</v>
      </c>
      <c r="E14" s="1" t="str">
        <f t="shared" si="1"/>
        <v>Away</v>
      </c>
      <c r="F14" s="3">
        <f t="shared" si="2"/>
        <v>1</v>
      </c>
      <c r="G14" s="3">
        <f t="shared" si="3"/>
        <v>4</v>
      </c>
      <c r="H14" s="3">
        <f t="shared" si="0"/>
        <v>5</v>
      </c>
      <c r="I14" s="3" t="str">
        <f t="shared" si="4"/>
        <v>L</v>
      </c>
      <c r="K14" s="4" t="s">
        <v>183</v>
      </c>
      <c r="L14" s="5" t="e">
        <f xml:space="preserve"> (L10+L11) / (2 * (1 + ((P13-1)/(P7-1))))</f>
        <v>#DIV/0!</v>
      </c>
      <c r="N14" s="5"/>
    </row>
    <row r="15" spans="1:16" x14ac:dyDescent="0.25">
      <c r="A15" t="s">
        <v>47</v>
      </c>
      <c r="B15" t="s">
        <v>203</v>
      </c>
      <c r="C15" t="s">
        <v>8</v>
      </c>
      <c r="E15" s="1" t="str">
        <f t="shared" si="1"/>
        <v>Away</v>
      </c>
      <c r="F15" s="3">
        <f t="shared" si="2"/>
        <v>1</v>
      </c>
      <c r="G15" s="3">
        <f t="shared" si="3"/>
        <v>13</v>
      </c>
      <c r="H15" s="3">
        <f t="shared" si="0"/>
        <v>14</v>
      </c>
      <c r="I15" s="3" t="str">
        <f t="shared" si="4"/>
        <v>L</v>
      </c>
      <c r="K15" s="4" t="s">
        <v>184</v>
      </c>
      <c r="L15" s="5" t="e">
        <f xml:space="preserve"> (L10+L11) / (2 * (1 + ((O12-1)/(P7-1))))</f>
        <v>#DIV/0!</v>
      </c>
    </row>
    <row r="16" spans="1:16" ht="15.75" thickBot="1" x14ac:dyDescent="0.3">
      <c r="A16" t="s">
        <v>49</v>
      </c>
      <c r="B16" t="s">
        <v>203</v>
      </c>
      <c r="C16" t="s">
        <v>204</v>
      </c>
      <c r="E16" s="1" t="str">
        <f t="shared" si="1"/>
        <v>Away</v>
      </c>
      <c r="F16" s="3">
        <f t="shared" si="2"/>
        <v>6</v>
      </c>
      <c r="G16" s="3">
        <f t="shared" si="3"/>
        <v>15</v>
      </c>
      <c r="H16" s="3">
        <f t="shared" si="0"/>
        <v>21</v>
      </c>
      <c r="I16" s="3" t="str">
        <f t="shared" si="4"/>
        <v>L</v>
      </c>
    </row>
    <row r="17" spans="1:14" x14ac:dyDescent="0.25">
      <c r="A17" t="s">
        <v>49</v>
      </c>
      <c r="B17" t="s">
        <v>203</v>
      </c>
      <c r="C17" t="s">
        <v>132</v>
      </c>
      <c r="E17" s="1" t="str">
        <f t="shared" si="1"/>
        <v>Away</v>
      </c>
      <c r="F17" s="3">
        <f t="shared" si="2"/>
        <v>3</v>
      </c>
      <c r="G17" s="3">
        <f t="shared" si="3"/>
        <v>6</v>
      </c>
      <c r="H17" s="3">
        <f t="shared" si="0"/>
        <v>9</v>
      </c>
      <c r="I17" s="3" t="str">
        <f t="shared" si="4"/>
        <v>L</v>
      </c>
      <c r="K17" s="9" t="s">
        <v>185</v>
      </c>
      <c r="L17" s="10" t="e">
        <f>NA()</f>
        <v>#N/A</v>
      </c>
    </row>
    <row r="18" spans="1:14" ht="15.75" thickBot="1" x14ac:dyDescent="0.3">
      <c r="A18" t="s">
        <v>51</v>
      </c>
      <c r="B18" t="s">
        <v>203</v>
      </c>
      <c r="C18" t="s">
        <v>205</v>
      </c>
      <c r="E18" s="1" t="str">
        <f t="shared" si="1"/>
        <v>Away</v>
      </c>
      <c r="F18" s="3">
        <f t="shared" si="2"/>
        <v>5</v>
      </c>
      <c r="G18" s="3">
        <f t="shared" si="3"/>
        <v>6</v>
      </c>
      <c r="H18" s="3">
        <f t="shared" si="0"/>
        <v>11</v>
      </c>
      <c r="I18" s="3" t="str">
        <f t="shared" si="4"/>
        <v>L</v>
      </c>
      <c r="K18" s="11" t="s">
        <v>186</v>
      </c>
      <c r="L18" s="12" t="e">
        <f>NA()</f>
        <v>#N/A</v>
      </c>
    </row>
    <row r="19" spans="1:14" x14ac:dyDescent="0.25">
      <c r="A19" t="s">
        <v>53</v>
      </c>
      <c r="B19" t="s">
        <v>206</v>
      </c>
      <c r="C19" t="s">
        <v>207</v>
      </c>
      <c r="E19" s="1" t="str">
        <f t="shared" si="1"/>
        <v>Away</v>
      </c>
      <c r="F19" s="3">
        <f t="shared" si="2"/>
        <v>3</v>
      </c>
      <c r="G19" s="3">
        <f t="shared" si="3"/>
        <v>8</v>
      </c>
      <c r="H19" s="3">
        <f t="shared" si="0"/>
        <v>11</v>
      </c>
      <c r="I19" s="3" t="str">
        <f t="shared" si="4"/>
        <v>L</v>
      </c>
    </row>
    <row r="20" spans="1:14" x14ac:dyDescent="0.25">
      <c r="A20" t="s">
        <v>208</v>
      </c>
      <c r="B20" t="s">
        <v>206</v>
      </c>
      <c r="C20" t="s">
        <v>38</v>
      </c>
      <c r="E20" s="1" t="str">
        <f t="shared" si="1"/>
        <v>Away</v>
      </c>
      <c r="F20" s="3">
        <f t="shared" si="2"/>
        <v>3</v>
      </c>
      <c r="G20" s="3">
        <f t="shared" si="3"/>
        <v>5</v>
      </c>
      <c r="H20" s="3">
        <f t="shared" si="0"/>
        <v>8</v>
      </c>
      <c r="I20" s="3" t="str">
        <f t="shared" si="4"/>
        <v>L</v>
      </c>
    </row>
    <row r="21" spans="1:14" x14ac:dyDescent="0.25">
      <c r="A21" t="s">
        <v>209</v>
      </c>
      <c r="B21" t="s">
        <v>210</v>
      </c>
      <c r="C21" t="s">
        <v>48</v>
      </c>
      <c r="E21" s="1" t="str">
        <f t="shared" si="1"/>
        <v>Away</v>
      </c>
      <c r="F21" s="3">
        <f t="shared" si="2"/>
        <v>4</v>
      </c>
      <c r="G21" s="3">
        <f t="shared" si="3"/>
        <v>5</v>
      </c>
      <c r="H21" s="3">
        <f t="shared" si="0"/>
        <v>9</v>
      </c>
      <c r="I21" s="3" t="str">
        <f t="shared" si="4"/>
        <v>L</v>
      </c>
    </row>
    <row r="22" spans="1:14" x14ac:dyDescent="0.25">
      <c r="A22" t="s">
        <v>209</v>
      </c>
      <c r="B22" t="s">
        <v>210</v>
      </c>
      <c r="C22" t="s">
        <v>121</v>
      </c>
      <c r="E22" s="1" t="str">
        <f t="shared" si="1"/>
        <v>Away</v>
      </c>
      <c r="F22" s="3">
        <f t="shared" si="2"/>
        <v>2</v>
      </c>
      <c r="G22" s="3">
        <f t="shared" si="3"/>
        <v>11</v>
      </c>
      <c r="H22" s="3">
        <f t="shared" si="0"/>
        <v>13</v>
      </c>
      <c r="I22" s="3" t="str">
        <f t="shared" si="4"/>
        <v>L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76</v>
      </c>
      <c r="B23" t="s">
        <v>211</v>
      </c>
      <c r="C23" t="s">
        <v>212</v>
      </c>
      <c r="E23" s="1" t="str">
        <f t="shared" si="1"/>
        <v>Away</v>
      </c>
      <c r="F23" s="3">
        <f t="shared" si="2"/>
        <v>6</v>
      </c>
      <c r="G23" s="3">
        <f t="shared" si="3"/>
        <v>10</v>
      </c>
      <c r="H23" s="3">
        <f t="shared" si="0"/>
        <v>16</v>
      </c>
      <c r="I23" s="3" t="str">
        <f t="shared" si="4"/>
        <v>L</v>
      </c>
      <c r="K23" s="1">
        <f>COUNTIFS(Table15[At], "Home",Table15[Result], "W")</f>
        <v>0</v>
      </c>
      <c r="L23" s="1">
        <f>COUNTIFS(Table15[At], "Home",Table15[Result], "L")</f>
        <v>0</v>
      </c>
      <c r="M23" s="1">
        <f>COUNTIFS(Table15[At], "Away",Table15[Result], "W")</f>
        <v>7</v>
      </c>
      <c r="N23" s="1">
        <f>COUNTIFS(Table15[At], "Away",Table15[Result], "L")</f>
        <v>29</v>
      </c>
    </row>
    <row r="24" spans="1:14" x14ac:dyDescent="0.25">
      <c r="A24" t="s">
        <v>78</v>
      </c>
      <c r="B24" t="s">
        <v>211</v>
      </c>
      <c r="C24" t="s">
        <v>213</v>
      </c>
      <c r="E24" s="1" t="str">
        <f t="shared" si="1"/>
        <v>Away</v>
      </c>
      <c r="F24" s="3">
        <f t="shared" si="2"/>
        <v>12</v>
      </c>
      <c r="G24" s="3">
        <f t="shared" si="3"/>
        <v>0</v>
      </c>
      <c r="H24" s="3">
        <f t="shared" si="0"/>
        <v>12</v>
      </c>
      <c r="I24" s="3" t="str">
        <f t="shared" si="4"/>
        <v>W</v>
      </c>
      <c r="K24" s="1"/>
      <c r="M24" s="1"/>
      <c r="N24" s="1"/>
    </row>
    <row r="25" spans="1:14" x14ac:dyDescent="0.25">
      <c r="A25" t="s">
        <v>88</v>
      </c>
      <c r="B25" t="s">
        <v>198</v>
      </c>
      <c r="C25" t="s">
        <v>48</v>
      </c>
      <c r="E25" s="1" t="str">
        <f t="shared" si="1"/>
        <v>Away</v>
      </c>
      <c r="F25" s="3">
        <f t="shared" si="2"/>
        <v>4</v>
      </c>
      <c r="G25" s="3">
        <f t="shared" si="3"/>
        <v>5</v>
      </c>
      <c r="H25" s="3">
        <f t="shared" si="0"/>
        <v>9</v>
      </c>
      <c r="I25" s="3" t="str">
        <f t="shared" si="4"/>
        <v>L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91</v>
      </c>
      <c r="B26" t="s">
        <v>198</v>
      </c>
      <c r="C26" t="s">
        <v>214</v>
      </c>
      <c r="E26" s="1" t="str">
        <f t="shared" si="1"/>
        <v>Away</v>
      </c>
      <c r="F26" s="3">
        <f t="shared" si="2"/>
        <v>7</v>
      </c>
      <c r="G26" s="3">
        <f t="shared" si="3"/>
        <v>10</v>
      </c>
      <c r="H26" s="3">
        <f t="shared" si="0"/>
        <v>17</v>
      </c>
      <c r="I26" s="3" t="str">
        <f t="shared" si="4"/>
        <v>L</v>
      </c>
      <c r="K26" s="1">
        <f>COUNTIFS(Table15[oR/G], "&gt;0",Table15[Result], "W")</f>
        <v>1</v>
      </c>
      <c r="L26" s="1">
        <f>COUNTIFS(Table15[oR/G], "&gt;0",Table15[Result], "l")</f>
        <v>15</v>
      </c>
      <c r="M26" s="1">
        <f>COUNTIFS(Table15[oR/G], "&lt;0",Table15[Result], "W")</f>
        <v>6</v>
      </c>
      <c r="N26" s="1">
        <f>COUNTIFS(Table15[oR/G], "&lt;0",Table15[Result], "l")</f>
        <v>14</v>
      </c>
    </row>
    <row r="27" spans="1:14" x14ac:dyDescent="0.25">
      <c r="A27" t="s">
        <v>97</v>
      </c>
      <c r="B27" t="s">
        <v>211</v>
      </c>
      <c r="C27" t="s">
        <v>44</v>
      </c>
      <c r="E27" s="1" t="str">
        <f t="shared" si="1"/>
        <v>Away</v>
      </c>
      <c r="F27" s="3">
        <f t="shared" si="2"/>
        <v>2</v>
      </c>
      <c r="G27" s="3">
        <f t="shared" si="3"/>
        <v>12</v>
      </c>
      <c r="H27" s="3">
        <f t="shared" si="0"/>
        <v>14</v>
      </c>
      <c r="I27" s="3" t="str">
        <f t="shared" si="4"/>
        <v>L</v>
      </c>
    </row>
    <row r="28" spans="1:14" x14ac:dyDescent="0.25">
      <c r="A28" t="s">
        <v>100</v>
      </c>
      <c r="B28" t="s">
        <v>211</v>
      </c>
      <c r="C28" t="s">
        <v>50</v>
      </c>
      <c r="E28" s="1" t="str">
        <f t="shared" si="1"/>
        <v>Away</v>
      </c>
      <c r="F28" s="3">
        <f t="shared" si="2"/>
        <v>3</v>
      </c>
      <c r="G28" s="3">
        <f t="shared" si="3"/>
        <v>4</v>
      </c>
      <c r="H28" s="3">
        <f t="shared" si="0"/>
        <v>7</v>
      </c>
      <c r="I28" s="3" t="str">
        <f t="shared" si="4"/>
        <v>L</v>
      </c>
    </row>
    <row r="29" spans="1:14" x14ac:dyDescent="0.25">
      <c r="A29" t="s">
        <v>215</v>
      </c>
      <c r="B29" t="s">
        <v>210</v>
      </c>
      <c r="C29" t="s">
        <v>56</v>
      </c>
      <c r="E29" s="1" t="str">
        <f t="shared" si="1"/>
        <v>Away</v>
      </c>
      <c r="F29" s="3">
        <f t="shared" si="2"/>
        <v>1</v>
      </c>
      <c r="G29" s="3">
        <f t="shared" si="3"/>
        <v>7</v>
      </c>
      <c r="H29" s="3">
        <f t="shared" si="0"/>
        <v>8</v>
      </c>
      <c r="I29" s="3" t="str">
        <f t="shared" si="4"/>
        <v>L</v>
      </c>
    </row>
    <row r="30" spans="1:14" x14ac:dyDescent="0.25">
      <c r="A30" t="s">
        <v>102</v>
      </c>
      <c r="B30" t="s">
        <v>210</v>
      </c>
      <c r="C30" t="s">
        <v>216</v>
      </c>
      <c r="E30" s="1" t="str">
        <f t="shared" si="1"/>
        <v>Away</v>
      </c>
      <c r="F30" s="3">
        <f t="shared" si="2"/>
        <v>13</v>
      </c>
      <c r="G30" s="3">
        <f t="shared" si="3"/>
        <v>9</v>
      </c>
      <c r="H30" s="3">
        <f t="shared" si="0"/>
        <v>22</v>
      </c>
      <c r="I30" s="3" t="str">
        <f t="shared" si="4"/>
        <v>W</v>
      </c>
    </row>
    <row r="31" spans="1:14" x14ac:dyDescent="0.25">
      <c r="A31" t="s">
        <v>114</v>
      </c>
      <c r="B31" t="s">
        <v>206</v>
      </c>
      <c r="C31" t="s">
        <v>35</v>
      </c>
      <c r="E31" s="1" t="str">
        <f t="shared" si="1"/>
        <v>Away</v>
      </c>
      <c r="F31" s="3">
        <f t="shared" si="2"/>
        <v>4</v>
      </c>
      <c r="G31" s="3">
        <f t="shared" si="3"/>
        <v>1</v>
      </c>
      <c r="H31" s="3">
        <f t="shared" si="0"/>
        <v>5</v>
      </c>
      <c r="I31" s="3" t="str">
        <f t="shared" si="4"/>
        <v>W</v>
      </c>
    </row>
    <row r="32" spans="1:14" x14ac:dyDescent="0.25">
      <c r="A32" t="s">
        <v>117</v>
      </c>
      <c r="B32" t="s">
        <v>206</v>
      </c>
      <c r="C32" t="s">
        <v>197</v>
      </c>
      <c r="E32" s="1" t="str">
        <f t="shared" si="1"/>
        <v>Away</v>
      </c>
      <c r="F32" s="3">
        <f t="shared" si="2"/>
        <v>0</v>
      </c>
      <c r="G32" s="3">
        <f t="shared" si="3"/>
        <v>1</v>
      </c>
      <c r="H32" s="3">
        <f t="shared" si="0"/>
        <v>1</v>
      </c>
      <c r="I32" s="3" t="str">
        <f t="shared" si="4"/>
        <v>L</v>
      </c>
    </row>
    <row r="33" spans="1:10" x14ac:dyDescent="0.25">
      <c r="A33" t="s">
        <v>119</v>
      </c>
      <c r="B33" t="s">
        <v>194</v>
      </c>
      <c r="C33" t="s">
        <v>26</v>
      </c>
      <c r="E33" s="1" t="str">
        <f t="shared" si="1"/>
        <v>Away</v>
      </c>
      <c r="F33" s="3">
        <f t="shared" si="2"/>
        <v>10</v>
      </c>
      <c r="G33" s="3">
        <f t="shared" si="3"/>
        <v>6</v>
      </c>
      <c r="H33" s="3">
        <f t="shared" si="0"/>
        <v>16</v>
      </c>
      <c r="I33" s="3" t="str">
        <f t="shared" si="4"/>
        <v>W</v>
      </c>
    </row>
    <row r="34" spans="1:10" x14ac:dyDescent="0.25">
      <c r="A34" t="s">
        <v>122</v>
      </c>
      <c r="B34" t="s">
        <v>194</v>
      </c>
      <c r="C34" t="s">
        <v>217</v>
      </c>
      <c r="E34" s="1" t="str">
        <f t="shared" si="1"/>
        <v>Away</v>
      </c>
      <c r="F34" s="3">
        <f t="shared" si="2"/>
        <v>3</v>
      </c>
      <c r="G34" s="3">
        <f t="shared" si="3"/>
        <v>0</v>
      </c>
      <c r="H34" s="3">
        <f t="shared" si="0"/>
        <v>3</v>
      </c>
      <c r="I34" s="3" t="str">
        <f t="shared" si="4"/>
        <v>W</v>
      </c>
    </row>
    <row r="35" spans="1:10" x14ac:dyDescent="0.25">
      <c r="A35" t="s">
        <v>218</v>
      </c>
      <c r="B35" t="s">
        <v>190</v>
      </c>
      <c r="C35" t="s">
        <v>219</v>
      </c>
      <c r="E35" s="1" t="str">
        <f t="shared" si="1"/>
        <v>Away</v>
      </c>
      <c r="F35" s="3">
        <f t="shared" si="2"/>
        <v>0</v>
      </c>
      <c r="G35" s="3">
        <f t="shared" si="3"/>
        <v>2</v>
      </c>
      <c r="H35" s="3">
        <f t="shared" si="0"/>
        <v>2</v>
      </c>
      <c r="I35" s="3" t="str">
        <f t="shared" si="4"/>
        <v>L</v>
      </c>
    </row>
    <row r="36" spans="1:10" x14ac:dyDescent="0.25">
      <c r="A36" t="s">
        <v>123</v>
      </c>
      <c r="B36" t="s">
        <v>190</v>
      </c>
      <c r="C36" t="s">
        <v>220</v>
      </c>
      <c r="E36" s="1" t="str">
        <f t="shared" si="1"/>
        <v>Away</v>
      </c>
      <c r="F36" s="3">
        <f t="shared" si="2"/>
        <v>12</v>
      </c>
      <c r="G36" s="3">
        <f t="shared" si="3"/>
        <v>8</v>
      </c>
      <c r="H36" s="3">
        <f t="shared" si="0"/>
        <v>20</v>
      </c>
      <c r="I36" s="3" t="str">
        <f t="shared" si="4"/>
        <v>W</v>
      </c>
    </row>
    <row r="37" spans="1:10" x14ac:dyDescent="0.25">
      <c r="A37" t="s">
        <v>133</v>
      </c>
      <c r="B37" t="s">
        <v>201</v>
      </c>
      <c r="C37" t="s">
        <v>90</v>
      </c>
      <c r="E37" s="1" t="str">
        <f t="shared" si="1"/>
        <v>Away</v>
      </c>
      <c r="F37" s="3">
        <f t="shared" si="2"/>
        <v>0</v>
      </c>
      <c r="G37" s="3">
        <f t="shared" si="3"/>
        <v>8</v>
      </c>
      <c r="H37" s="3">
        <f t="shared" si="0"/>
        <v>8</v>
      </c>
      <c r="I37" s="3" t="str">
        <f t="shared" si="4"/>
        <v>L</v>
      </c>
    </row>
    <row r="38" spans="1:10" x14ac:dyDescent="0.25">
      <c r="A38" t="s">
        <v>134</v>
      </c>
      <c r="B38" t="s">
        <v>201</v>
      </c>
      <c r="C38" t="s">
        <v>61</v>
      </c>
      <c r="E38" s="1" t="str">
        <f t="shared" si="1"/>
        <v>Away</v>
      </c>
      <c r="F38" s="3">
        <f t="shared" si="2"/>
        <v>7</v>
      </c>
      <c r="G38" s="3">
        <f t="shared" si="3"/>
        <v>3</v>
      </c>
      <c r="H38" s="3">
        <f t="shared" si="0"/>
        <v>10</v>
      </c>
      <c r="I38" s="3" t="str">
        <f t="shared" si="4"/>
        <v>W</v>
      </c>
    </row>
    <row r="39" spans="1:10" x14ac:dyDescent="0.25">
      <c r="E39" s="1"/>
      <c r="F39" s="3"/>
      <c r="G39" s="3"/>
      <c r="H39" s="3"/>
      <c r="I39" s="3"/>
    </row>
    <row r="40" spans="1:10" x14ac:dyDescent="0.25">
      <c r="A40" t="s">
        <v>1</v>
      </c>
      <c r="B40" t="s">
        <v>2</v>
      </c>
      <c r="C40" t="s">
        <v>469</v>
      </c>
      <c r="D40" t="s">
        <v>135</v>
      </c>
      <c r="E40" s="1" t="s">
        <v>136</v>
      </c>
      <c r="F40" s="3" t="s">
        <v>137</v>
      </c>
      <c r="G40" s="3" t="s">
        <v>138</v>
      </c>
      <c r="H40" s="3" t="s">
        <v>3</v>
      </c>
      <c r="I40" s="3" t="s">
        <v>494</v>
      </c>
      <c r="J40" s="3" t="s">
        <v>495</v>
      </c>
    </row>
    <row r="41" spans="1:10" x14ac:dyDescent="0.25">
      <c r="A41" t="s">
        <v>450</v>
      </c>
      <c r="B41" t="s">
        <v>198</v>
      </c>
      <c r="C41" t="s">
        <v>484</v>
      </c>
      <c r="D41" t="str">
        <f>IF(LEFT(Table15[[#This Row],[Opponent]],1)="@","Away","Home")</f>
        <v>Away</v>
      </c>
      <c r="E41" s="1">
        <f>_xlfn.NUMBERVALUE(MID(LEFT(Table15[[#This Row],[Score]],FIND("-",Table15[[#This Row],[Score]])-1),FIND(" ",Table15[[#This Row],[Score]])+1,LEN(Table15[[#This Row],[Score]])))</f>
        <v>9</v>
      </c>
      <c r="F41" s="3">
        <f>_xlfn.NUMBERVALUE(RIGHT(Table15[[#This Row],[Score]],LEN(Table15[[#This Row],[Score]])-FIND("-",Table15[[#This Row],[Score]])))</f>
        <v>17</v>
      </c>
      <c r="G41" s="3">
        <f t="shared" ref="G41" si="6">E41+F41</f>
        <v>26</v>
      </c>
      <c r="H41" s="3" t="str">
        <f>LEFT(Table15[[#This Row],[Score]],1)</f>
        <v>L</v>
      </c>
      <c r="I41" s="3" t="str">
        <f>VLOOKUP(IF(Table15[[#This Row],[At]]="Home",Table15[[#This Row],[Opponent]],RIGHT(Table15[[#This Row],[Opponent]],LEN(Table15[[#This Row],[Opponent]])-1)),CHOOSE({1,2},[1]StandingsRAW!$J$1:$J$22,[1]StandingsRAW!$L$1:$L$22),2,FALSE)</f>
        <v>DUL</v>
      </c>
      <c r="J41" s="3">
        <f>VLOOKUP(Table15[[#This Row],[OPP]],Raw!$L$2:$S$23,7,FALSE)-Raw!$U$2</f>
        <v>-0.37645438147905891</v>
      </c>
    </row>
    <row r="42" spans="1:10" x14ac:dyDescent="0.25">
      <c r="A42" t="s">
        <v>451</v>
      </c>
      <c r="B42" t="s">
        <v>198</v>
      </c>
      <c r="C42" t="s">
        <v>323</v>
      </c>
      <c r="D42" t="str">
        <f>IF(LEFT(Table15[[#This Row],[Opponent]],1)="@","Away","Home")</f>
        <v>Away</v>
      </c>
      <c r="E42" s="1">
        <f>_xlfn.NUMBERVALUE(MID(LEFT(Table15[[#This Row],[Score]],FIND("-",Table15[[#This Row],[Score]])-1),FIND(" ",Table15[[#This Row],[Score]])+1,LEN(Table15[[#This Row],[Score]])))</f>
        <v>7</v>
      </c>
      <c r="F42" s="3">
        <f>_xlfn.NUMBERVALUE(RIGHT(Table15[[#This Row],[Score]],LEN(Table15[[#This Row],[Score]])-FIND("-",Table15[[#This Row],[Score]])))</f>
        <v>6</v>
      </c>
      <c r="G42" s="3">
        <f t="shared" ref="G42:G52" si="7">E42+F42</f>
        <v>13</v>
      </c>
      <c r="H42" s="3" t="str">
        <f>LEFT(Table15[[#This Row],[Score]],1)</f>
        <v>W</v>
      </c>
      <c r="I42" s="3" t="str">
        <f>VLOOKUP(IF(Table15[[#This Row],[At]]="Home",Table15[[#This Row],[Opponent]],RIGHT(Table15[[#This Row],[Opponent]],LEN(Table15[[#This Row],[Opponent]])-1)),CHOOSE({1,2},[1]StandingsRAW!$J$1:$J$22,[1]StandingsRAW!$L$1:$L$22),2,FALSE)</f>
        <v>DUL</v>
      </c>
      <c r="J42" s="3">
        <f>VLOOKUP(Table15[[#This Row],[OPP]],Raw!$L$2:$S$23,7,FALSE)-Raw!$U$2</f>
        <v>-0.37645438147905891</v>
      </c>
    </row>
    <row r="43" spans="1:10" x14ac:dyDescent="0.25">
      <c r="A43" t="s">
        <v>453</v>
      </c>
      <c r="B43" t="s">
        <v>201</v>
      </c>
      <c r="C43" t="s">
        <v>234</v>
      </c>
      <c r="D43" t="str">
        <f>IF(LEFT(Table15[[#This Row],[Opponent]],1)="@","Away","Home")</f>
        <v>Away</v>
      </c>
      <c r="E43" s="1">
        <f>_xlfn.NUMBERVALUE(MID(LEFT(Table15[[#This Row],[Score]],FIND("-",Table15[[#This Row],[Score]])-1),FIND(" ",Table15[[#This Row],[Score]])+1,LEN(Table15[[#This Row],[Score]])))</f>
        <v>2</v>
      </c>
      <c r="F43" s="3">
        <f>_xlfn.NUMBERVALUE(RIGHT(Table15[[#This Row],[Score]],LEN(Table15[[#This Row],[Score]])-FIND("-",Table15[[#This Row],[Score]])))</f>
        <v>5</v>
      </c>
      <c r="G43" s="3">
        <f t="shared" si="7"/>
        <v>7</v>
      </c>
      <c r="H43" s="3" t="str">
        <f>LEFT(Table15[[#This Row],[Score]],1)</f>
        <v>L</v>
      </c>
      <c r="I43" s="3" t="str">
        <f>VLOOKUP(IF(Table15[[#This Row],[At]]="Home",Table15[[#This Row],[Opponent]],RIGHT(Table15[[#This Row],[Opponent]],LEN(Table15[[#This Row],[Opponent]])-1)),CHOOSE({1,2},[1]StandingsRAW!$J$1:$J$22,[1]StandingsRAW!$L$1:$L$22),2,FALSE)</f>
        <v>STC</v>
      </c>
      <c r="J43" s="3">
        <f>VLOOKUP(Table15[[#This Row],[OPP]],Raw!$L$2:$S$23,7,FALSE)-Raw!$U$2</f>
        <v>2.5702093586438561</v>
      </c>
    </row>
    <row r="44" spans="1:10" x14ac:dyDescent="0.25">
      <c r="A44" t="s">
        <v>455</v>
      </c>
      <c r="B44" t="s">
        <v>211</v>
      </c>
      <c r="C44" t="s">
        <v>301</v>
      </c>
      <c r="D44" t="str">
        <f>IF(LEFT(Table15[[#This Row],[Opponent]],1)="@","Away","Home")</f>
        <v>Away</v>
      </c>
      <c r="E44" s="1">
        <f>_xlfn.NUMBERVALUE(MID(LEFT(Table15[[#This Row],[Score]],FIND("-",Table15[[#This Row],[Score]])-1),FIND(" ",Table15[[#This Row],[Score]])+1,LEN(Table15[[#This Row],[Score]])))</f>
        <v>3</v>
      </c>
      <c r="F44" s="3">
        <f>_xlfn.NUMBERVALUE(RIGHT(Table15[[#This Row],[Score]],LEN(Table15[[#This Row],[Score]])-FIND("-",Table15[[#This Row],[Score]])))</f>
        <v>9</v>
      </c>
      <c r="G44" s="3">
        <f t="shared" si="7"/>
        <v>12</v>
      </c>
      <c r="H44" s="3" t="str">
        <f>LEFT(Table15[[#This Row],[Score]],1)</f>
        <v>L</v>
      </c>
      <c r="I44" s="3" t="str">
        <f>VLOOKUP(IF(Table15[[#This Row],[At]]="Home",Table15[[#This Row],[Opponent]],RIGHT(Table15[[#This Row],[Opponent]],LEN(Table15[[#This Row],[Opponent]])-1)),CHOOSE({1,2},[1]StandingsRAW!$J$1:$J$22,[1]StandingsRAW!$L$1:$L$22),2,FALSE)</f>
        <v>WIL</v>
      </c>
      <c r="J44" s="3">
        <f>VLOOKUP(Table15[[#This Row],[OPP]],Raw!$L$2:$S$23,7,FALSE)-Raw!$U$2</f>
        <v>3.0407975939379734</v>
      </c>
    </row>
    <row r="45" spans="1:10" x14ac:dyDescent="0.25">
      <c r="A45" t="s">
        <v>456</v>
      </c>
      <c r="B45" t="s">
        <v>211</v>
      </c>
      <c r="C45" t="s">
        <v>230</v>
      </c>
      <c r="D45" t="str">
        <f>IF(LEFT(Table15[[#This Row],[Opponent]],1)="@","Away","Home")</f>
        <v>Away</v>
      </c>
      <c r="E45" s="1">
        <f>_xlfn.NUMBERVALUE(MID(LEFT(Table15[[#This Row],[Score]],FIND("-",Table15[[#This Row],[Score]])-1),FIND(" ",Table15[[#This Row],[Score]])+1,LEN(Table15[[#This Row],[Score]])))</f>
        <v>4</v>
      </c>
      <c r="F45" s="3">
        <f>_xlfn.NUMBERVALUE(RIGHT(Table15[[#This Row],[Score]],LEN(Table15[[#This Row],[Score]])-FIND("-",Table15[[#This Row],[Score]])))</f>
        <v>9</v>
      </c>
      <c r="G45" s="3">
        <f t="shared" si="7"/>
        <v>13</v>
      </c>
      <c r="H45" s="3" t="str">
        <f>LEFT(Table15[[#This Row],[Score]],1)</f>
        <v>L</v>
      </c>
      <c r="I45" s="3" t="str">
        <f>VLOOKUP(IF(Table15[[#This Row],[At]]="Home",Table15[[#This Row],[Opponent]],RIGHT(Table15[[#This Row],[Opponent]],LEN(Table15[[#This Row],[Opponent]])-1)),CHOOSE({1,2},[1]StandingsRAW!$J$1:$J$22,[1]StandingsRAW!$L$1:$L$22),2,FALSE)</f>
        <v>WIL</v>
      </c>
      <c r="J45" s="3">
        <f>VLOOKUP(Table15[[#This Row],[OPP]],Raw!$L$2:$S$23,7,FALSE)-Raw!$U$2</f>
        <v>3.0407975939379734</v>
      </c>
    </row>
    <row r="46" spans="1:10" x14ac:dyDescent="0.25">
      <c r="A46" t="s">
        <v>470</v>
      </c>
      <c r="B46" t="s">
        <v>194</v>
      </c>
      <c r="C46" t="s">
        <v>329</v>
      </c>
      <c r="D46" t="str">
        <f>IF(LEFT(Table15[[#This Row],[Opponent]],1)="@","Away","Home")</f>
        <v>Away</v>
      </c>
      <c r="E46" s="1">
        <f>_xlfn.NUMBERVALUE(MID(LEFT(Table15[[#This Row],[Score]],FIND("-",Table15[[#This Row],[Score]])-1),FIND(" ",Table15[[#This Row],[Score]])+1,LEN(Table15[[#This Row],[Score]])))</f>
        <v>5</v>
      </c>
      <c r="F46" s="3">
        <f>_xlfn.NUMBERVALUE(RIGHT(Table15[[#This Row],[Score]],LEN(Table15[[#This Row],[Score]])-FIND("-",Table15[[#This Row],[Score]])))</f>
        <v>2</v>
      </c>
      <c r="G46" s="3">
        <f t="shared" si="7"/>
        <v>7</v>
      </c>
      <c r="H46" s="3" t="str">
        <f>LEFT(Table15[[#This Row],[Score]],1)</f>
        <v>W</v>
      </c>
      <c r="I46" s="3" t="str">
        <f>VLOOKUP(IF(Table15[[#This Row],[At]]="Home",Table15[[#This Row],[Opponent]],RIGHT(Table15[[#This Row],[Opponent]],LEN(Table15[[#This Row],[Opponent]])-1)),CHOOSE({1,2},[1]StandingsRAW!$J$1:$J$22,[1]StandingsRAW!$L$1:$L$22),2,FALSE)</f>
        <v>EC</v>
      </c>
      <c r="J46" s="3">
        <f>VLOOKUP(Table15[[#This Row],[OPP]],Raw!$L$2:$S$23,7,FALSE)-Raw!$U$2</f>
        <v>1.1143270057026795</v>
      </c>
    </row>
    <row r="47" spans="1:10" x14ac:dyDescent="0.25">
      <c r="A47" t="s">
        <v>457</v>
      </c>
      <c r="B47" t="s">
        <v>194</v>
      </c>
      <c r="C47" t="s">
        <v>132</v>
      </c>
      <c r="D47" t="str">
        <f>IF(LEFT(Table15[[#This Row],[Opponent]],1)="@","Away","Home")</f>
        <v>Away</v>
      </c>
      <c r="E47" s="1">
        <f>_xlfn.NUMBERVALUE(MID(LEFT(Table15[[#This Row],[Score]],FIND("-",Table15[[#This Row],[Score]])-1),FIND(" ",Table15[[#This Row],[Score]])+1,LEN(Table15[[#This Row],[Score]])))</f>
        <v>3</v>
      </c>
      <c r="F47" s="3">
        <f>_xlfn.NUMBERVALUE(RIGHT(Table15[[#This Row],[Score]],LEN(Table15[[#This Row],[Score]])-FIND("-",Table15[[#This Row],[Score]])))</f>
        <v>6</v>
      </c>
      <c r="G47" s="3">
        <f t="shared" si="7"/>
        <v>9</v>
      </c>
      <c r="H47" s="3" t="str">
        <f>LEFT(Table15[[#This Row],[Score]],1)</f>
        <v>L</v>
      </c>
      <c r="I47" s="3" t="str">
        <f>VLOOKUP(IF(Table15[[#This Row],[At]]="Home",Table15[[#This Row],[Opponent]],RIGHT(Table15[[#This Row],[Opponent]],LEN(Table15[[#This Row],[Opponent]])-1)),CHOOSE({1,2},[1]StandingsRAW!$J$1:$J$22,[1]StandingsRAW!$L$1:$L$22),2,FALSE)</f>
        <v>EC</v>
      </c>
      <c r="J47" s="3">
        <f>VLOOKUP(Table15[[#This Row],[OPP]],Raw!$L$2:$S$23,7,FALSE)-Raw!$U$2</f>
        <v>1.1143270057026795</v>
      </c>
    </row>
    <row r="48" spans="1:10" x14ac:dyDescent="0.25">
      <c r="A48" t="s">
        <v>459</v>
      </c>
      <c r="B48" t="s">
        <v>210</v>
      </c>
      <c r="C48" t="s">
        <v>374</v>
      </c>
      <c r="D48" t="str">
        <f>IF(LEFT(Table15[[#This Row],[Opponent]],1)="@","Away","Home")</f>
        <v>Away</v>
      </c>
      <c r="E48" s="1">
        <f>_xlfn.NUMBERVALUE(MID(LEFT(Table15[[#This Row],[Score]],FIND("-",Table15[[#This Row],[Score]])-1),FIND(" ",Table15[[#This Row],[Score]])+1,LEN(Table15[[#This Row],[Score]])))</f>
        <v>6</v>
      </c>
      <c r="F48" s="3">
        <f>_xlfn.NUMBERVALUE(RIGHT(Table15[[#This Row],[Score]],LEN(Table15[[#This Row],[Score]])-FIND("-",Table15[[#This Row],[Score]])))</f>
        <v>9</v>
      </c>
      <c r="G48" s="3">
        <f t="shared" si="7"/>
        <v>15</v>
      </c>
      <c r="H48" s="3" t="str">
        <f>LEFT(Table15[[#This Row],[Score]],1)</f>
        <v>L</v>
      </c>
      <c r="I48" s="3" t="str">
        <f>VLOOKUP(IF(Table15[[#This Row],[At]]="Home",Table15[[#This Row],[Opponent]],RIGHT(Table15[[#This Row],[Opponent]],LEN(Table15[[#This Row],[Opponent]])-1)),CHOOSE({1,2},[1]StandingsRAW!$J$1:$J$22,[1]StandingsRAW!$L$1:$L$22),2,FALSE)</f>
        <v>ROC</v>
      </c>
      <c r="J48" s="3">
        <f>VLOOKUP(Table15[[#This Row],[OPP]],Raw!$L$2:$S$23,7,FALSE)-Raw!$U$2</f>
        <v>-0.20920240606202639</v>
      </c>
    </row>
    <row r="49" spans="1:10" x14ac:dyDescent="0.25">
      <c r="A49" t="s">
        <v>463</v>
      </c>
      <c r="B49" t="s">
        <v>190</v>
      </c>
      <c r="C49" t="s">
        <v>377</v>
      </c>
      <c r="D49" t="str">
        <f>IF(LEFT(Table15[[#This Row],[Opponent]],1)="@","Away","Home")</f>
        <v>Away</v>
      </c>
      <c r="E49" s="1">
        <f>_xlfn.NUMBERVALUE(MID(LEFT(Table15[[#This Row],[Score]],FIND("-",Table15[[#This Row],[Score]])-1),FIND(" ",Table15[[#This Row],[Score]])+1,LEN(Table15[[#This Row],[Score]])))</f>
        <v>3</v>
      </c>
      <c r="F49" s="3">
        <f>_xlfn.NUMBERVALUE(RIGHT(Table15[[#This Row],[Score]],LEN(Table15[[#This Row],[Score]])-FIND("-",Table15[[#This Row],[Score]])))</f>
        <v>19</v>
      </c>
      <c r="G49" s="3">
        <f t="shared" si="7"/>
        <v>22</v>
      </c>
      <c r="H49" s="3" t="str">
        <f>LEFT(Table15[[#This Row],[Score]],1)</f>
        <v>L</v>
      </c>
      <c r="I49" s="3" t="str">
        <f>VLOOKUP(IF(Table15[[#This Row],[At]]="Home",Table15[[#This Row],[Opponent]],RIGHT(Table15[[#This Row],[Opponent]],LEN(Table15[[#This Row],[Opponent]])-1)),CHOOSE({1,2},[1]StandingsRAW!$J$1:$J$22,[1]StandingsRAW!$L$1:$L$22),2,FALSE)</f>
        <v>LAC</v>
      </c>
      <c r="J49" s="3">
        <f>VLOOKUP(Table15[[#This Row],[OPP]],Raw!$L$2:$S$23,7,FALSE)-Raw!$U$2</f>
        <v>-0.25332005312084993</v>
      </c>
    </row>
    <row r="50" spans="1:10" x14ac:dyDescent="0.25">
      <c r="A50" t="s">
        <v>463</v>
      </c>
      <c r="B50" t="s">
        <v>190</v>
      </c>
      <c r="C50" t="s">
        <v>205</v>
      </c>
      <c r="D50" t="str">
        <f>IF(LEFT(Table15[[#This Row],[Opponent]],1)="@","Away","Home")</f>
        <v>Away</v>
      </c>
      <c r="E50" s="1">
        <f>_xlfn.NUMBERVALUE(MID(LEFT(Table15[[#This Row],[Score]],FIND("-",Table15[[#This Row],[Score]])-1),FIND(" ",Table15[[#This Row],[Score]])+1,LEN(Table15[[#This Row],[Score]])))</f>
        <v>5</v>
      </c>
      <c r="F50" s="3">
        <f>_xlfn.NUMBERVALUE(RIGHT(Table15[[#This Row],[Score]],LEN(Table15[[#This Row],[Score]])-FIND("-",Table15[[#This Row],[Score]])))</f>
        <v>6</v>
      </c>
      <c r="G50" s="3">
        <f t="shared" si="7"/>
        <v>11</v>
      </c>
      <c r="H50" s="3" t="str">
        <f>LEFT(Table15[[#This Row],[Score]],1)</f>
        <v>L</v>
      </c>
      <c r="I50" s="3" t="str">
        <f>VLOOKUP(IF(Table15[[#This Row],[At]]="Home",Table15[[#This Row],[Opponent]],RIGHT(Table15[[#This Row],[Opponent]],LEN(Table15[[#This Row],[Opponent]])-1)),CHOOSE({1,2},[1]StandingsRAW!$J$1:$J$22,[1]StandingsRAW!$L$1:$L$22),2,FALSE)</f>
        <v>LAC</v>
      </c>
      <c r="J50" s="3">
        <f>VLOOKUP(Table15[[#This Row],[OPP]],Raw!$L$2:$S$23,7,FALSE)-Raw!$U$2</f>
        <v>-0.25332005312084993</v>
      </c>
    </row>
    <row r="51" spans="1:10" x14ac:dyDescent="0.25">
      <c r="A51" t="s">
        <v>464</v>
      </c>
      <c r="B51" t="s">
        <v>210</v>
      </c>
      <c r="C51" t="s">
        <v>276</v>
      </c>
      <c r="D51" t="str">
        <f>IF(LEFT(Table15[[#This Row],[Opponent]],1)="@","Away","Home")</f>
        <v>Away</v>
      </c>
      <c r="E51" s="1">
        <f>_xlfn.NUMBERVALUE(MID(LEFT(Table15[[#This Row],[Score]],FIND("-",Table15[[#This Row],[Score]])-1),FIND(" ",Table15[[#This Row],[Score]])+1,LEN(Table15[[#This Row],[Score]])))</f>
        <v>2</v>
      </c>
      <c r="F51" s="3">
        <f>_xlfn.NUMBERVALUE(RIGHT(Table15[[#This Row],[Score]],LEN(Table15[[#This Row],[Score]])-FIND("-",Table15[[#This Row],[Score]])))</f>
        <v>4</v>
      </c>
      <c r="G51" s="3">
        <f t="shared" si="7"/>
        <v>6</v>
      </c>
      <c r="H51" s="3" t="str">
        <f>LEFT(Table15[[#This Row],[Score]],1)</f>
        <v>L</v>
      </c>
      <c r="I51" s="3" t="str">
        <f>VLOOKUP(IF(Table15[[#This Row],[At]]="Home",Table15[[#This Row],[Opponent]],RIGHT(Table15[[#This Row],[Opponent]],LEN(Table15[[#This Row],[Opponent]])-1)),CHOOSE({1,2},[1]StandingsRAW!$J$1:$J$22,[1]StandingsRAW!$L$1:$L$22),2,FALSE)</f>
        <v>ROC</v>
      </c>
      <c r="J51" s="3">
        <f>VLOOKUP(Table15[[#This Row],[OPP]],Raw!$L$2:$S$23,7,FALSE)-Raw!$U$2</f>
        <v>-0.20920240606202639</v>
      </c>
    </row>
    <row r="52" spans="1:10" x14ac:dyDescent="0.25">
      <c r="A52" t="s">
        <v>468</v>
      </c>
      <c r="B52" t="s">
        <v>203</v>
      </c>
      <c r="C52" t="s">
        <v>335</v>
      </c>
      <c r="D52" t="str">
        <f>IF(LEFT(Table15[[#This Row],[Opponent]],1)="@","Away","Home")</f>
        <v>Away</v>
      </c>
      <c r="E52" s="1">
        <f>_xlfn.NUMBERVALUE(MID(LEFT(Table15[[#This Row],[Score]],FIND("-",Table15[[#This Row],[Score]])-1),FIND(" ",Table15[[#This Row],[Score]])+1,LEN(Table15[[#This Row],[Score]])))</f>
        <v>6</v>
      </c>
      <c r="F52" s="3">
        <f>_xlfn.NUMBERVALUE(RIGHT(Table15[[#This Row],[Score]],LEN(Table15[[#This Row],[Score]])-FIND("-",Table15[[#This Row],[Score]])))</f>
        <v>4</v>
      </c>
      <c r="G52" s="3">
        <f t="shared" si="7"/>
        <v>10</v>
      </c>
      <c r="H52" s="3" t="str">
        <f>LEFT(Table15[[#This Row],[Score]],1)</f>
        <v>W</v>
      </c>
      <c r="I52" s="3" t="str">
        <f>VLOOKUP(IF(Table15[[#This Row],[At]]="Home",Table15[[#This Row],[Opponent]],RIGHT(Table15[[#This Row],[Opponent]],LEN(Table15[[#This Row],[Opponent]])-1)),CHOOSE({1,2},[1]StandingsRAW!$J$1:$J$22,[1]StandingsRAW!$L$1:$L$22),2,FALSE)</f>
        <v>BIS</v>
      </c>
      <c r="J52" s="3">
        <f>VLOOKUP(Table15[[#This Row],[OPP]],Raw!$L$2:$S$23,7,FALSE)-Raw!$U$2</f>
        <v>-1.915084759003203</v>
      </c>
    </row>
    <row r="53" spans="1:10" x14ac:dyDescent="0.25">
      <c r="A53" t="s">
        <v>498</v>
      </c>
      <c r="B53" t="s">
        <v>203</v>
      </c>
      <c r="C53" t="s">
        <v>291</v>
      </c>
      <c r="D53" t="str">
        <f>IF(LEFT(Table15[[#This Row],[Opponent]],1)="@","Away","Home")</f>
        <v>Away</v>
      </c>
      <c r="E53" s="1">
        <f>_xlfn.NUMBERVALUE(MID(LEFT(Table15[[#This Row],[Score]],FIND("-",Table15[[#This Row],[Score]])-1),FIND(" ",Table15[[#This Row],[Score]])+1,LEN(Table15[[#This Row],[Score]])))</f>
        <v>14</v>
      </c>
      <c r="F53" s="3">
        <f>_xlfn.NUMBERVALUE(RIGHT(Table15[[#This Row],[Score]],LEN(Table15[[#This Row],[Score]])-FIND("-",Table15[[#This Row],[Score]])))</f>
        <v>8</v>
      </c>
      <c r="G53" s="3">
        <f t="shared" ref="G53:G55" si="8">E53+F53</f>
        <v>22</v>
      </c>
      <c r="H53" s="3" t="str">
        <f>LEFT(Table15[[#This Row],[Score]],1)</f>
        <v>W</v>
      </c>
      <c r="I53" s="3" t="str">
        <f>VLOOKUP(IF(Table15[[#This Row],[At]]="Home",Table15[[#This Row],[Opponent]],RIGHT(Table15[[#This Row],[Opponent]],LEN(Table15[[#This Row],[Opponent]])-1)),CHOOSE({1,2},[1]StandingsRAW!$J$1:$J$22,[1]StandingsRAW!$L$1:$L$22),2,FALSE)</f>
        <v>BIS</v>
      </c>
      <c r="J53" s="3">
        <f>VLOOKUP(Table15[[#This Row],[OPP]],Raw!$L$2:$S$23,7,FALSE)-Raw!$U$2</f>
        <v>-1.915084759003203</v>
      </c>
    </row>
    <row r="54" spans="1:10" x14ac:dyDescent="0.25">
      <c r="A54" t="s">
        <v>499</v>
      </c>
      <c r="B54" t="s">
        <v>203</v>
      </c>
      <c r="C54" t="s">
        <v>429</v>
      </c>
      <c r="D54" t="str">
        <f>IF(LEFT(Table15[[#This Row],[Opponent]],1)="@","Away","Home")</f>
        <v>Away</v>
      </c>
      <c r="E54" s="1">
        <f>_xlfn.NUMBERVALUE(MID(LEFT(Table15[[#This Row],[Score]],FIND("-",Table15[[#This Row],[Score]])-1),FIND(" ",Table15[[#This Row],[Score]])+1,LEN(Table15[[#This Row],[Score]])))</f>
        <v>16</v>
      </c>
      <c r="F54" s="3">
        <f>_xlfn.NUMBERVALUE(RIGHT(Table15[[#This Row],[Score]],LEN(Table15[[#This Row],[Score]])-FIND("-",Table15[[#This Row],[Score]])))</f>
        <v>6</v>
      </c>
      <c r="G54" s="3">
        <f t="shared" si="8"/>
        <v>22</v>
      </c>
      <c r="H54" s="3" t="str">
        <f>LEFT(Table15[[#This Row],[Score]],1)</f>
        <v>W</v>
      </c>
      <c r="I54" s="3" t="str">
        <f>VLOOKUP(IF(Table15[[#This Row],[At]]="Home",Table15[[#This Row],[Opponent]],RIGHT(Table15[[#This Row],[Opponent]],LEN(Table15[[#This Row],[Opponent]])-1)),CHOOSE({1,2},[1]StandingsRAW!$J$1:$J$22,[1]StandingsRAW!$L$1:$L$22),2,FALSE)</f>
        <v>BIS</v>
      </c>
      <c r="J54" s="3">
        <f>VLOOKUP(Table15[[#This Row],[OPP]],Raw!$L$2:$S$23,7,FALSE)-Raw!$U$2</f>
        <v>-1.915084759003203</v>
      </c>
    </row>
    <row r="55" spans="1:10" x14ac:dyDescent="0.25">
      <c r="A55" t="s">
        <v>500</v>
      </c>
      <c r="B55" t="s">
        <v>203</v>
      </c>
      <c r="C55" t="s">
        <v>269</v>
      </c>
      <c r="D55" t="str">
        <f>IF(LEFT(Table15[[#This Row],[Opponent]],1)="@","Away","Home")</f>
        <v>Away</v>
      </c>
      <c r="E55" s="1">
        <f>_xlfn.NUMBERVALUE(MID(LEFT(Table15[[#This Row],[Score]],FIND("-",Table15[[#This Row],[Score]])-1),FIND(" ",Table15[[#This Row],[Score]])+1,LEN(Table15[[#This Row],[Score]])))</f>
        <v>2</v>
      </c>
      <c r="F55" s="3">
        <f>_xlfn.NUMBERVALUE(RIGHT(Table15[[#This Row],[Score]],LEN(Table15[[#This Row],[Score]])-FIND("-",Table15[[#This Row],[Score]])))</f>
        <v>3</v>
      </c>
      <c r="G55" s="3">
        <f t="shared" si="8"/>
        <v>5</v>
      </c>
      <c r="H55" s="3" t="str">
        <f>LEFT(Table15[[#This Row],[Score]],1)</f>
        <v>L</v>
      </c>
      <c r="I55" s="3" t="str">
        <f>VLOOKUP(IF(Table15[[#This Row],[At]]="Home",Table15[[#This Row],[Opponent]],RIGHT(Table15[[#This Row],[Opponent]],LEN(Table15[[#This Row],[Opponent]])-1)),CHOOSE({1,2},[1]StandingsRAW!$J$1:$J$22,[1]StandingsRAW!$L$1:$L$22),2,FALSE)</f>
        <v>BIS</v>
      </c>
      <c r="J55" s="3">
        <f>VLOOKUP(Table15[[#This Row],[OPP]],Raw!$L$2:$S$23,7,FALSE)-Raw!$U$2</f>
        <v>-1.915084759003203</v>
      </c>
    </row>
    <row r="56" spans="1:10" x14ac:dyDescent="0.25">
      <c r="A56" t="s">
        <v>515</v>
      </c>
      <c r="B56" t="s">
        <v>192</v>
      </c>
      <c r="C56" t="s">
        <v>277</v>
      </c>
      <c r="D56" t="str">
        <f>IF(LEFT(Table15[[#This Row],[Opponent]],1)="@","Away","Home")</f>
        <v>Away</v>
      </c>
      <c r="E56" s="1">
        <f>_xlfn.NUMBERVALUE(MID(LEFT(Table15[[#This Row],[Score]],FIND("-",Table15[[#This Row],[Score]])-1),FIND(" ",Table15[[#This Row],[Score]])+1,LEN(Table15[[#This Row],[Score]])))</f>
        <v>5</v>
      </c>
      <c r="F56" s="3">
        <f>_xlfn.NUMBERVALUE(RIGHT(Table15[[#This Row],[Score]],LEN(Table15[[#This Row],[Score]])-FIND("-",Table15[[#This Row],[Score]])))</f>
        <v>8</v>
      </c>
      <c r="G56" s="3">
        <f>E56+F56</f>
        <v>13</v>
      </c>
      <c r="H56" s="3" t="str">
        <f>LEFT(Table15[[#This Row],[Score]],1)</f>
        <v>L</v>
      </c>
      <c r="I56" s="3" t="str">
        <f>VLOOKUP(IF(Table15[[#This Row],[At]]="Home",Table15[[#This Row],[Opponent]],RIGHT(Table15[[#This Row],[Opponent]],LEN(Table15[[#This Row],[Opponent]])-1)),CHOOSE({1,2},[1]StandingsRAW!$J$1:$J$22,[1]StandingsRAW!$L$1:$L$22),2,FALSE)</f>
        <v>WAT</v>
      </c>
      <c r="J56" s="3">
        <f>VLOOKUP(Table15[[#This Row],[OPP]],Raw!$L$2:$S$23,7,FALSE)-Raw!$U$2</f>
        <v>-3.3415553472384971</v>
      </c>
    </row>
    <row r="57" spans="1:10" x14ac:dyDescent="0.25">
      <c r="A57" t="s">
        <v>518</v>
      </c>
      <c r="B57" t="s">
        <v>192</v>
      </c>
      <c r="C57" t="s">
        <v>308</v>
      </c>
      <c r="D57" t="str">
        <f>IF(LEFT(Table15[[#This Row],[Opponent]],1)="@","Away","Home")</f>
        <v>Away</v>
      </c>
      <c r="E57" s="1">
        <f>_xlfn.NUMBERVALUE(MID(LEFT(Table15[[#This Row],[Score]],FIND("-",Table15[[#This Row],[Score]])-1),FIND(" ",Table15[[#This Row],[Score]])+1,LEN(Table15[[#This Row],[Score]])))</f>
        <v>11</v>
      </c>
      <c r="F57" s="3">
        <f>_xlfn.NUMBERVALUE(RIGHT(Table15[[#This Row],[Score]],LEN(Table15[[#This Row],[Score]])-FIND("-",Table15[[#This Row],[Score]])))</f>
        <v>10</v>
      </c>
      <c r="G57" s="3">
        <f t="shared" ref="G57:G58" si="9">E57+F57</f>
        <v>21</v>
      </c>
      <c r="H57" s="3" t="str">
        <f>LEFT(Table15[[#This Row],[Score]],1)</f>
        <v>W</v>
      </c>
      <c r="I57" s="3" t="str">
        <f>VLOOKUP(IF(Table15[[#This Row],[At]]="Home",Table15[[#This Row],[Opponent]],RIGHT(Table15[[#This Row],[Opponent]],LEN(Table15[[#This Row],[Opponent]])-1)),CHOOSE({1,2},[1]StandingsRAW!$J$1:$J$22,[1]StandingsRAW!$L$1:$L$22),2,FALSE)</f>
        <v>WAT</v>
      </c>
      <c r="J57" s="3">
        <f>VLOOKUP(Table15[[#This Row],[OPP]],Raw!$L$2:$S$23,7,FALSE)-Raw!$U$2</f>
        <v>-3.3415553472384971</v>
      </c>
    </row>
    <row r="58" spans="1:10" x14ac:dyDescent="0.25">
      <c r="A58" t="s">
        <v>521</v>
      </c>
      <c r="B58" t="s">
        <v>210</v>
      </c>
      <c r="C58" t="s">
        <v>77</v>
      </c>
      <c r="D58" t="str">
        <f>IF(LEFT(Table15[[#This Row],[Opponent]],1)="@","Away","Home")</f>
        <v>Away</v>
      </c>
      <c r="E58" s="1">
        <f>_xlfn.NUMBERVALUE(MID(LEFT(Table15[[#This Row],[Score]],FIND("-",Table15[[#This Row],[Score]])-1),FIND(" ",Table15[[#This Row],[Score]])+1,LEN(Table15[[#This Row],[Score]])))</f>
        <v>1</v>
      </c>
      <c r="F58" s="3">
        <f>_xlfn.NUMBERVALUE(RIGHT(Table15[[#This Row],[Score]],LEN(Table15[[#This Row],[Score]])-FIND("-",Table15[[#This Row],[Score]])))</f>
        <v>9</v>
      </c>
      <c r="G58" s="3">
        <f t="shared" si="9"/>
        <v>10</v>
      </c>
      <c r="H58" s="3" t="str">
        <f>LEFT(Table15[[#This Row],[Score]],1)</f>
        <v>L</v>
      </c>
      <c r="I58" s="3" t="str">
        <f>VLOOKUP(IF(Table15[[#This Row],[At]]="Home",Table15[[#This Row],[Opponent]],RIGHT(Table15[[#This Row],[Opponent]],LEN(Table15[[#This Row],[Opponent]])-1)),CHOOSE({1,2},[1]StandingsRAW!$J$1:$J$22,[1]StandingsRAW!$L$1:$L$22),2,FALSE)</f>
        <v>ROC</v>
      </c>
      <c r="J58" s="3">
        <f>VLOOKUP(Table15[[#This Row],[OPP]],Raw!$L$2:$S$23,7,FALSE)-Raw!$U$2</f>
        <v>-0.20920240606202639</v>
      </c>
    </row>
    <row r="59" spans="1:10" x14ac:dyDescent="0.25">
      <c r="A59" t="s">
        <v>524</v>
      </c>
      <c r="B59" t="s">
        <v>210</v>
      </c>
      <c r="C59" t="s">
        <v>94</v>
      </c>
      <c r="D59" t="str">
        <f>IF(LEFT(Table15[[#This Row],[Opponent]],1)="@","Away","Home")</f>
        <v>Away</v>
      </c>
      <c r="E59" s="1">
        <f>_xlfn.NUMBERVALUE(MID(LEFT(Table15[[#This Row],[Score]],FIND("-",Table15[[#This Row],[Score]])-1),FIND(" ",Table15[[#This Row],[Score]])+1,LEN(Table15[[#This Row],[Score]])))</f>
        <v>4</v>
      </c>
      <c r="F59" s="3">
        <f>_xlfn.NUMBERVALUE(RIGHT(Table15[[#This Row],[Score]],LEN(Table15[[#This Row],[Score]])-FIND("-",Table15[[#This Row],[Score]])))</f>
        <v>8</v>
      </c>
      <c r="G59" s="3">
        <f t="shared" ref="G59:G61" si="10">E59+F59</f>
        <v>12</v>
      </c>
      <c r="H59" s="3" t="str">
        <f>LEFT(Table15[[#This Row],[Score]],1)</f>
        <v>L</v>
      </c>
      <c r="I59" s="3" t="str">
        <f>VLOOKUP(IF(Table15[[#This Row],[At]]="Home",Table15[[#This Row],[Opponent]],RIGHT(Table15[[#This Row],[Opponent]],LEN(Table15[[#This Row],[Opponent]])-1)),CHOOSE({1,2},[1]StandingsRAW!$J$1:$J$22,[1]StandingsRAW!$L$1:$L$22),2,FALSE)</f>
        <v>ROC</v>
      </c>
      <c r="J59" s="3">
        <f>VLOOKUP(Table15[[#This Row],[OPP]],Raw!$L$2:$S$23,7,FALSE)-Raw!$U$2</f>
        <v>-0.20920240606202639</v>
      </c>
    </row>
    <row r="60" spans="1:10" x14ac:dyDescent="0.25">
      <c r="A60" t="s">
        <v>525</v>
      </c>
      <c r="B60" t="s">
        <v>206</v>
      </c>
      <c r="C60" t="s">
        <v>50</v>
      </c>
      <c r="D60" t="str">
        <f>IF(LEFT(Table15[[#This Row],[Opponent]],1)="@","Away","Home")</f>
        <v>Away</v>
      </c>
      <c r="E60" s="1">
        <f>_xlfn.NUMBERVALUE(MID(LEFT(Table15[[#This Row],[Score]],FIND("-",Table15[[#This Row],[Score]])-1),FIND(" ",Table15[[#This Row],[Score]])+1,LEN(Table15[[#This Row],[Score]])))</f>
        <v>3</v>
      </c>
      <c r="F60" s="3">
        <f>_xlfn.NUMBERVALUE(RIGHT(Table15[[#This Row],[Score]],LEN(Table15[[#This Row],[Score]])-FIND("-",Table15[[#This Row],[Score]])))</f>
        <v>4</v>
      </c>
      <c r="G60" s="3">
        <f t="shared" si="10"/>
        <v>7</v>
      </c>
      <c r="H60" s="3" t="str">
        <f>LEFT(Table15[[#This Row],[Score]],1)</f>
        <v>L</v>
      </c>
      <c r="I60" s="3" t="str">
        <f>VLOOKUP(IF(Table15[[#This Row],[At]]="Home",Table15[[#This Row],[Opponent]],RIGHT(Table15[[#This Row],[Opponent]],LEN(Table15[[#This Row],[Opponent]])-1)),CHOOSE({1,2},[1]StandingsRAW!$J$1:$J$22,[1]StandingsRAW!$L$1:$L$22),2,FALSE)</f>
        <v>MAN</v>
      </c>
      <c r="J60" s="3">
        <f>VLOOKUP(Table15[[#This Row],[OPP]],Raw!$L$2:$S$23,7,FALSE)-Raw!$U$2</f>
        <v>0.73197406452620895</v>
      </c>
    </row>
    <row r="61" spans="1:10" x14ac:dyDescent="0.25">
      <c r="A61" t="s">
        <v>526</v>
      </c>
      <c r="B61" t="s">
        <v>206</v>
      </c>
      <c r="C61" t="s">
        <v>56</v>
      </c>
      <c r="D61" t="str">
        <f>IF(LEFT(Table15[[#This Row],[Opponent]],1)="@","Away","Home")</f>
        <v>Away</v>
      </c>
      <c r="E61" s="1">
        <f>_xlfn.NUMBERVALUE(MID(LEFT(Table15[[#This Row],[Score]],FIND("-",Table15[[#This Row],[Score]])-1),FIND(" ",Table15[[#This Row],[Score]])+1,LEN(Table15[[#This Row],[Score]])))</f>
        <v>1</v>
      </c>
      <c r="F61" s="3">
        <f>_xlfn.NUMBERVALUE(RIGHT(Table15[[#This Row],[Score]],LEN(Table15[[#This Row],[Score]])-FIND("-",Table15[[#This Row],[Score]])))</f>
        <v>7</v>
      </c>
      <c r="G61" s="3">
        <f t="shared" si="10"/>
        <v>8</v>
      </c>
      <c r="H61" s="3" t="str">
        <f>LEFT(Table15[[#This Row],[Score]],1)</f>
        <v>L</v>
      </c>
      <c r="I61" s="3" t="str">
        <f>VLOOKUP(IF(Table15[[#This Row],[At]]="Home",Table15[[#This Row],[Opponent]],RIGHT(Table15[[#This Row],[Opponent]],LEN(Table15[[#This Row],[Opponent]])-1)),CHOOSE({1,2},[1]StandingsRAW!$J$1:$J$22,[1]StandingsRAW!$L$1:$L$22),2,FALSE)</f>
        <v>MAN</v>
      </c>
      <c r="J61" s="3">
        <f>VLOOKUP(Table15[[#This Row],[OPP]],Raw!$L$2:$S$23,7,FALSE)-Raw!$U$2</f>
        <v>0.73197406452620895</v>
      </c>
    </row>
    <row r="62" spans="1:10" x14ac:dyDescent="0.25">
      <c r="A62" t="s">
        <v>541</v>
      </c>
      <c r="B62" t="s">
        <v>211</v>
      </c>
      <c r="C62" t="s">
        <v>298</v>
      </c>
      <c r="D62" t="str">
        <f>IF(LEFT(Table15[[#This Row],[Opponent]],1)="@","Away","Home")</f>
        <v>Away</v>
      </c>
      <c r="E62" s="1">
        <f>_xlfn.NUMBERVALUE(MID(LEFT(Table15[[#This Row],[Score]],FIND("-",Table15[[#This Row],[Score]])-1),FIND(" ",Table15[[#This Row],[Score]])+1,LEN(Table15[[#This Row],[Score]])))</f>
        <v>1</v>
      </c>
      <c r="F62" s="3">
        <f>_xlfn.NUMBERVALUE(RIGHT(Table15[[#This Row],[Score]],LEN(Table15[[#This Row],[Score]])-FIND("-",Table15[[#This Row],[Score]])))</f>
        <v>2</v>
      </c>
      <c r="G62" s="3">
        <f>E62+F62</f>
        <v>3</v>
      </c>
      <c r="H62" s="3" t="str">
        <f>LEFT(Table15[[#This Row],[Score]],1)</f>
        <v>L</v>
      </c>
      <c r="I62" s="3" t="str">
        <f>VLOOKUP(IF(Table15[[#This Row],[At]]="Home",Table15[[#This Row],[Opponent]],RIGHT(Table15[[#This Row],[Opponent]],LEN(Table15[[#This Row],[Opponent]])-1)),CHOOSE({1,2},[1]StandingsRAW!$J$1:$J$22,[1]StandingsRAW!$L$1:$L$22),2,FALSE)</f>
        <v>WIL</v>
      </c>
      <c r="J62" s="3">
        <f>VLOOKUP(Table15[[#This Row],[OPP]],Raw!$L$2:$S$23,7,FALSE)-Raw!$U$2</f>
        <v>3.0407975939379734</v>
      </c>
    </row>
    <row r="63" spans="1:10" x14ac:dyDescent="0.25">
      <c r="A63" t="s">
        <v>542</v>
      </c>
      <c r="B63" t="s">
        <v>211</v>
      </c>
      <c r="C63" t="s">
        <v>271</v>
      </c>
      <c r="D63" t="str">
        <f>IF(LEFT(Table15[[#This Row],[Opponent]],1)="@","Away","Home")</f>
        <v>Away</v>
      </c>
      <c r="E63" s="1">
        <f>_xlfn.NUMBERVALUE(MID(LEFT(Table15[[#This Row],[Score]],FIND("-",Table15[[#This Row],[Score]])-1),FIND(" ",Table15[[#This Row],[Score]])+1,LEN(Table15[[#This Row],[Score]])))</f>
        <v>5</v>
      </c>
      <c r="F63" s="3">
        <f>_xlfn.NUMBERVALUE(RIGHT(Table15[[#This Row],[Score]],LEN(Table15[[#This Row],[Score]])-FIND("-",Table15[[#This Row],[Score]])))</f>
        <v>11</v>
      </c>
      <c r="G63" s="3">
        <f>E63+F63</f>
        <v>16</v>
      </c>
      <c r="H63" s="3" t="str">
        <f>LEFT(Table15[[#This Row],[Score]],1)</f>
        <v>L</v>
      </c>
      <c r="I63" s="3" t="str">
        <f>VLOOKUP(IF(Table15[[#This Row],[At]]="Home",Table15[[#This Row],[Opponent]],RIGHT(Table15[[#This Row],[Opponent]],LEN(Table15[[#This Row],[Opponent]])-1)),CHOOSE({1,2},[1]StandingsRAW!$J$1:$J$22,[1]StandingsRAW!$L$1:$L$22),2,FALSE)</f>
        <v>WIL</v>
      </c>
      <c r="J63" s="3">
        <f>VLOOKUP(Table15[[#This Row],[OPP]],Raw!$L$2:$S$23,7,FALSE)-Raw!$U$2</f>
        <v>3.0407975939379734</v>
      </c>
    </row>
    <row r="64" spans="1:10" x14ac:dyDescent="0.25">
      <c r="A64" t="s">
        <v>549</v>
      </c>
      <c r="B64" t="s">
        <v>206</v>
      </c>
      <c r="C64" t="s">
        <v>297</v>
      </c>
      <c r="D64" t="str">
        <f>IF(LEFT(Table15[[#This Row],[Opponent]],1)="@","Away","Home")</f>
        <v>Away</v>
      </c>
      <c r="E64" s="1">
        <f>_xlfn.NUMBERVALUE(MID(LEFT(Table15[[#This Row],[Score]],FIND("-",Table15[[#This Row],[Score]])-1),FIND(" ",Table15[[#This Row],[Score]])+1,LEN(Table15[[#This Row],[Score]])))</f>
        <v>2</v>
      </c>
      <c r="F64" s="3">
        <f>_xlfn.NUMBERVALUE(RIGHT(Table15[[#This Row],[Score]],LEN(Table15[[#This Row],[Score]])-FIND("-",Table15[[#This Row],[Score]])))</f>
        <v>10</v>
      </c>
      <c r="G64" s="3">
        <f t="shared" ref="G64:G67" si="11">E64+F64</f>
        <v>12</v>
      </c>
      <c r="H64" s="3" t="str">
        <f>LEFT(Table15[[#This Row],[Score]],1)</f>
        <v>L</v>
      </c>
      <c r="I64" s="3" t="str">
        <f>VLOOKUP(IF(Table15[[#This Row],[At]]="Home",Table15[[#This Row],[Opponent]],RIGHT(Table15[[#This Row],[Opponent]],LEN(Table15[[#This Row],[Opponent]])-1)),CHOOSE({1,2},[1]StandingsRAW!$J$1:$J$22,[1]StandingsRAW!$L$1:$L$22),2,FALSE)</f>
        <v>MAN</v>
      </c>
      <c r="J64" s="3">
        <f>VLOOKUP(Table15[[#This Row],[OPP]],Raw!$L$2:$S$23,7,FALSE)-Raw!$U$2</f>
        <v>0.73197406452620895</v>
      </c>
    </row>
    <row r="65" spans="1:10" x14ac:dyDescent="0.25">
      <c r="A65" t="s">
        <v>550</v>
      </c>
      <c r="B65" t="s">
        <v>206</v>
      </c>
      <c r="C65" t="s">
        <v>259</v>
      </c>
      <c r="D65" t="str">
        <f>IF(LEFT(Table15[[#This Row],[Opponent]],1)="@","Away","Home")</f>
        <v>Away</v>
      </c>
      <c r="E65" s="1">
        <f>_xlfn.NUMBERVALUE(MID(LEFT(Table15[[#This Row],[Score]],FIND("-",Table15[[#This Row],[Score]])-1),FIND(" ",Table15[[#This Row],[Score]])+1,LEN(Table15[[#This Row],[Score]])))</f>
        <v>0</v>
      </c>
      <c r="F65" s="3">
        <f>_xlfn.NUMBERVALUE(RIGHT(Table15[[#This Row],[Score]],LEN(Table15[[#This Row],[Score]])-FIND("-",Table15[[#This Row],[Score]])))</f>
        <v>5</v>
      </c>
      <c r="G65" s="3">
        <f t="shared" si="11"/>
        <v>5</v>
      </c>
      <c r="H65" s="3" t="str">
        <f>LEFT(Table15[[#This Row],[Score]],1)</f>
        <v>L</v>
      </c>
      <c r="I65" s="3" t="str">
        <f>VLOOKUP(IF(Table15[[#This Row],[At]]="Home",Table15[[#This Row],[Opponent]],RIGHT(Table15[[#This Row],[Opponent]],LEN(Table15[[#This Row],[Opponent]])-1)),CHOOSE({1,2},[1]StandingsRAW!$J$1:$J$22,[1]StandingsRAW!$L$1:$L$22),2,FALSE)</f>
        <v>MAN</v>
      </c>
      <c r="J65" s="3">
        <f>VLOOKUP(Table15[[#This Row],[OPP]],Raw!$L$2:$S$23,7,FALSE)-Raw!$U$2</f>
        <v>0.73197406452620895</v>
      </c>
    </row>
    <row r="66" spans="1:10" x14ac:dyDescent="0.25">
      <c r="A66" t="s">
        <v>551</v>
      </c>
      <c r="B66" t="s">
        <v>190</v>
      </c>
      <c r="C66" t="s">
        <v>297</v>
      </c>
      <c r="D66" t="str">
        <f>IF(LEFT(Table15[[#This Row],[Opponent]],1)="@","Away","Home")</f>
        <v>Away</v>
      </c>
      <c r="E66" s="1">
        <f>_xlfn.NUMBERVALUE(MID(LEFT(Table15[[#This Row],[Score]],FIND("-",Table15[[#This Row],[Score]])-1),FIND(" ",Table15[[#This Row],[Score]])+1,LEN(Table15[[#This Row],[Score]])))</f>
        <v>2</v>
      </c>
      <c r="F66" s="3">
        <f>_xlfn.NUMBERVALUE(RIGHT(Table15[[#This Row],[Score]],LEN(Table15[[#This Row],[Score]])-FIND("-",Table15[[#This Row],[Score]])))</f>
        <v>10</v>
      </c>
      <c r="G66" s="3">
        <f t="shared" si="11"/>
        <v>12</v>
      </c>
      <c r="H66" s="3" t="str">
        <f>LEFT(Table15[[#This Row],[Score]],1)</f>
        <v>L</v>
      </c>
      <c r="I66" s="3" t="str">
        <f>VLOOKUP(IF(Table15[[#This Row],[At]]="Home",Table15[[#This Row],[Opponent]],RIGHT(Table15[[#This Row],[Opponent]],LEN(Table15[[#This Row],[Opponent]])-1)),CHOOSE({1,2},[1]StandingsRAW!$J$1:$J$22,[1]StandingsRAW!$L$1:$L$22),2,FALSE)</f>
        <v>LAC</v>
      </c>
      <c r="J66" s="3">
        <f>VLOOKUP(Table15[[#This Row],[OPP]],Raw!$L$2:$S$23,7,FALSE)-Raw!$U$2</f>
        <v>-0.25332005312084993</v>
      </c>
    </row>
    <row r="67" spans="1:10" x14ac:dyDescent="0.25">
      <c r="A67" t="s">
        <v>552</v>
      </c>
      <c r="B67" t="s">
        <v>190</v>
      </c>
      <c r="C67" t="s">
        <v>397</v>
      </c>
      <c r="D67" t="str">
        <f>IF(LEFT(Table15[[#This Row],[Opponent]],1)="@","Away","Home")</f>
        <v>Away</v>
      </c>
      <c r="E67" s="1">
        <f>_xlfn.NUMBERVALUE(MID(LEFT(Table15[[#This Row],[Score]],FIND("-",Table15[[#This Row],[Score]])-1),FIND(" ",Table15[[#This Row],[Score]])+1,LEN(Table15[[#This Row],[Score]])))</f>
        <v>8</v>
      </c>
      <c r="F67" s="3">
        <f>_xlfn.NUMBERVALUE(RIGHT(Table15[[#This Row],[Score]],LEN(Table15[[#This Row],[Score]])-FIND("-",Table15[[#This Row],[Score]])))</f>
        <v>14</v>
      </c>
      <c r="G67" s="3">
        <f t="shared" si="11"/>
        <v>22</v>
      </c>
      <c r="H67" s="3" t="str">
        <f>LEFT(Table15[[#This Row],[Score]],1)</f>
        <v>L</v>
      </c>
      <c r="I67" s="3" t="str">
        <f>VLOOKUP(IF(Table15[[#This Row],[At]]="Home",Table15[[#This Row],[Opponent]],RIGHT(Table15[[#This Row],[Opponent]],LEN(Table15[[#This Row],[Opponent]])-1)),CHOOSE({1,2},[1]StandingsRAW!$J$1:$J$22,[1]StandingsRAW!$L$1:$L$22),2,FALSE)</f>
        <v>LAC</v>
      </c>
      <c r="J67" s="3">
        <f>VLOOKUP(Table15[[#This Row],[OPP]],Raw!$L$2:$S$23,7,FALSE)-Raw!$U$2</f>
        <v>-0.25332005312084993</v>
      </c>
    </row>
    <row r="68" spans="1:10" x14ac:dyDescent="0.25">
      <c r="A68" t="s">
        <v>565</v>
      </c>
      <c r="B68" t="s">
        <v>198</v>
      </c>
      <c r="C68" t="s">
        <v>298</v>
      </c>
      <c r="D68" t="str">
        <f>IF(LEFT(Table15[[#This Row],[Opponent]],1)="@","Away","Home")</f>
        <v>Away</v>
      </c>
      <c r="E68" s="1">
        <f>_xlfn.NUMBERVALUE(MID(LEFT(Table15[[#This Row],[Score]],FIND("-",Table15[[#This Row],[Score]])-1),FIND(" ",Table15[[#This Row],[Score]])+1,LEN(Table15[[#This Row],[Score]])))</f>
        <v>1</v>
      </c>
      <c r="F68" s="3">
        <f>_xlfn.NUMBERVALUE(RIGHT(Table15[[#This Row],[Score]],LEN(Table15[[#This Row],[Score]])-FIND("-",Table15[[#This Row],[Score]])))</f>
        <v>2</v>
      </c>
      <c r="G68" s="3">
        <f t="shared" ref="G68:G69" si="12">E68+F68</f>
        <v>3</v>
      </c>
      <c r="H68" s="3" t="str">
        <f>LEFT(Table15[[#This Row],[Score]],1)</f>
        <v>L</v>
      </c>
      <c r="I68" s="3" t="str">
        <f>VLOOKUP(IF(Table15[[#This Row],[At]]="Home",Table15[[#This Row],[Opponent]],RIGHT(Table15[[#This Row],[Opponent]],LEN(Table15[[#This Row],[Opponent]])-1)),CHOOSE({1,2},[1]StandingsRAW!$J$1:$J$22,[1]StandingsRAW!$L$1:$L$22),2,FALSE)</f>
        <v>DUL</v>
      </c>
      <c r="J68" s="3">
        <f>VLOOKUP(Table15[[#This Row],[OPP]],Raw!$L$2:$S$23,7,FALSE)-Raw!$U$2</f>
        <v>-0.37645438147905891</v>
      </c>
    </row>
    <row r="69" spans="1:10" x14ac:dyDescent="0.25">
      <c r="A69" t="s">
        <v>566</v>
      </c>
      <c r="B69" t="s">
        <v>198</v>
      </c>
      <c r="C69" t="s">
        <v>48</v>
      </c>
      <c r="D69" t="str">
        <f>IF(LEFT(Table15[[#This Row],[Opponent]],1)="@","Away","Home")</f>
        <v>Away</v>
      </c>
      <c r="E69" s="1">
        <f>_xlfn.NUMBERVALUE(MID(LEFT(Table15[[#This Row],[Score]],FIND("-",Table15[[#This Row],[Score]])-1),FIND(" ",Table15[[#This Row],[Score]])+1,LEN(Table15[[#This Row],[Score]])))</f>
        <v>4</v>
      </c>
      <c r="F69" s="3">
        <f>_xlfn.NUMBERVALUE(RIGHT(Table15[[#This Row],[Score]],LEN(Table15[[#This Row],[Score]])-FIND("-",Table15[[#This Row],[Score]])))</f>
        <v>5</v>
      </c>
      <c r="G69" s="3">
        <f t="shared" si="12"/>
        <v>9</v>
      </c>
      <c r="H69" s="3" t="str">
        <f>LEFT(Table15[[#This Row],[Score]],1)</f>
        <v>L</v>
      </c>
      <c r="I69" s="3" t="str">
        <f>VLOOKUP(IF(Table15[[#This Row],[At]]="Home",Table15[[#This Row],[Opponent]],RIGHT(Table15[[#This Row],[Opponent]],LEN(Table15[[#This Row],[Opponent]])-1)),CHOOSE({1,2},[1]StandingsRAW!$J$1:$J$22,[1]StandingsRAW!$L$1:$L$22),2,FALSE)</f>
        <v>DUL</v>
      </c>
      <c r="J69" s="3">
        <f>VLOOKUP(Table15[[#This Row],[OPP]],Raw!$L$2:$S$23,7,FALSE)-Raw!$U$2</f>
        <v>-0.37645438147905891</v>
      </c>
    </row>
    <row r="70" spans="1:10" x14ac:dyDescent="0.25">
      <c r="A70" t="s">
        <v>595</v>
      </c>
      <c r="B70" t="s">
        <v>201</v>
      </c>
      <c r="C70" t="s">
        <v>207</v>
      </c>
      <c r="D70" t="str">
        <f>IF(LEFT(Table15[[#This Row],[Opponent]],1)="@","Away","Home")</f>
        <v>Away</v>
      </c>
      <c r="E70" s="1">
        <f>_xlfn.NUMBERVALUE(MID(LEFT(Table15[[#This Row],[Score]],FIND("-",Table15[[#This Row],[Score]])-1),FIND(" ",Table15[[#This Row],[Score]])+1,LEN(Table15[[#This Row],[Score]])))</f>
        <v>3</v>
      </c>
      <c r="F70" s="3">
        <f>_xlfn.NUMBERVALUE(RIGHT(Table15[[#This Row],[Score]],LEN(Table15[[#This Row],[Score]])-FIND("-",Table15[[#This Row],[Score]])))</f>
        <v>8</v>
      </c>
      <c r="G70" s="3">
        <f>E70+F70</f>
        <v>11</v>
      </c>
      <c r="H70" s="3" t="str">
        <f>LEFT(Table15[[#This Row],[Score]],1)</f>
        <v>L</v>
      </c>
      <c r="I70" s="3" t="str">
        <f>VLOOKUP(IF(Table15[[#This Row],[At]]="Home",Table15[[#This Row],[Opponent]],RIGHT(Table15[[#This Row],[Opponent]],LEN(Table15[[#This Row],[Opponent]])-1)),CHOOSE({1,2},[1]StandingsRAW!$J$1:$J$22,[1]StandingsRAW!$L$1:$L$22),2,FALSE)</f>
        <v>STC</v>
      </c>
      <c r="J70" s="3">
        <f>VLOOKUP(Table15[[#This Row],[OPP]],Raw!$L$2:$S$23,7,FALSE)-Raw!$U$2</f>
        <v>2.5702093586438561</v>
      </c>
    </row>
    <row r="71" spans="1:10" x14ac:dyDescent="0.25">
      <c r="A71" t="s">
        <v>598</v>
      </c>
      <c r="B71" t="s">
        <v>194</v>
      </c>
      <c r="C71" t="s">
        <v>92</v>
      </c>
      <c r="D71" t="str">
        <f>IF(LEFT(Table15[[#This Row],[Opponent]],1)="@","Away","Home")</f>
        <v>Away</v>
      </c>
      <c r="E71" s="1">
        <f>_xlfn.NUMBERVALUE(MID(LEFT(Table15[[#This Row],[Score]],FIND("-",Table15[[#This Row],[Score]])-1),FIND(" ",Table15[[#This Row],[Score]])+1,LEN(Table15[[#This Row],[Score]])))</f>
        <v>5</v>
      </c>
      <c r="F71" s="3">
        <f>_xlfn.NUMBERVALUE(RIGHT(Table15[[#This Row],[Score]],LEN(Table15[[#This Row],[Score]])-FIND("-",Table15[[#This Row],[Score]])))</f>
        <v>10</v>
      </c>
      <c r="G71" s="3">
        <f>E71+F71</f>
        <v>15</v>
      </c>
      <c r="H71" s="3" t="str">
        <f>LEFT(Table15[[#This Row],[Score]],1)</f>
        <v>L</v>
      </c>
      <c r="I71" s="3" t="str">
        <f>VLOOKUP(IF(Table15[[#This Row],[At]]="Home",Table15[[#This Row],[Opponent]],RIGHT(Table15[[#This Row],[Opponent]],LEN(Table15[[#This Row],[Opponent]])-1)),CHOOSE({1,2},[1]StandingsRAW!$J$1:$J$22,[1]StandingsRAW!$L$1:$L$22),2,FALSE)</f>
        <v>EC</v>
      </c>
      <c r="J71" s="3">
        <f>VLOOKUP(Table15[[#This Row],[OPP]],Raw!$L$2:$S$23,7,FALSE)-Raw!$U$2</f>
        <v>1.1143270057026795</v>
      </c>
    </row>
    <row r="72" spans="1:10" x14ac:dyDescent="0.25">
      <c r="A72" t="s">
        <v>599</v>
      </c>
      <c r="B72" t="s">
        <v>194</v>
      </c>
      <c r="C72" t="s">
        <v>259</v>
      </c>
      <c r="D72" t="str">
        <f>IF(LEFT(Table15[[#This Row],[Opponent]],1)="@","Away","Home")</f>
        <v>Away</v>
      </c>
      <c r="E72" s="1">
        <f>_xlfn.NUMBERVALUE(MID(LEFT(Table15[[#This Row],[Score]],FIND("-",Table15[[#This Row],[Score]])-1),FIND(" ",Table15[[#This Row],[Score]])+1,LEN(Table15[[#This Row],[Score]])))</f>
        <v>0</v>
      </c>
      <c r="F72" s="3">
        <f>_xlfn.NUMBERVALUE(RIGHT(Table15[[#This Row],[Score]],LEN(Table15[[#This Row],[Score]])-FIND("-",Table15[[#This Row],[Score]])))</f>
        <v>5</v>
      </c>
      <c r="G72" s="3">
        <f>E72+F72</f>
        <v>5</v>
      </c>
      <c r="H72" s="3" t="str">
        <f>LEFT(Table15[[#This Row],[Score]],1)</f>
        <v>L</v>
      </c>
      <c r="I72" s="3" t="str">
        <f>VLOOKUP(IF(Table15[[#This Row],[At]]="Home",Table15[[#This Row],[Opponent]],RIGHT(Table15[[#This Row],[Opponent]],LEN(Table15[[#This Row],[Opponent]])-1)),CHOOSE({1,2},[1]StandingsRAW!$J$1:$J$22,[1]StandingsRAW!$L$1:$L$22),2,FALSE)</f>
        <v>EC</v>
      </c>
      <c r="J72" s="3">
        <f>VLOOKUP(Table15[[#This Row],[OPP]],Raw!$L$2:$S$23,7,FALSE)-Raw!$U$2</f>
        <v>1.1143270057026795</v>
      </c>
    </row>
    <row r="73" spans="1:10" x14ac:dyDescent="0.25">
      <c r="A73" t="s">
        <v>602</v>
      </c>
      <c r="B73" t="s">
        <v>201</v>
      </c>
      <c r="C73" t="s">
        <v>113</v>
      </c>
      <c r="D73" t="str">
        <f>IF(LEFT(Table15[[#This Row],[Opponent]],1)="@","Away","Home")</f>
        <v>Away</v>
      </c>
      <c r="E73" s="1">
        <f>_xlfn.NUMBERVALUE(MID(LEFT(Table15[[#This Row],[Score]],FIND("-",Table15[[#This Row],[Score]])-1),FIND(" ",Table15[[#This Row],[Score]])+1,LEN(Table15[[#This Row],[Score]])))</f>
        <v>7</v>
      </c>
      <c r="F73" s="3">
        <f>_xlfn.NUMBERVALUE(RIGHT(Table15[[#This Row],[Score]],LEN(Table15[[#This Row],[Score]])-FIND("-",Table15[[#This Row],[Score]])))</f>
        <v>9</v>
      </c>
      <c r="G73" s="3">
        <f t="shared" ref="G73:G74" si="13">E73+F73</f>
        <v>16</v>
      </c>
      <c r="H73" s="3" t="str">
        <f>LEFT(Table15[[#This Row],[Score]],1)</f>
        <v>L</v>
      </c>
      <c r="I73" s="3" t="str">
        <f>VLOOKUP(IF(Table15[[#This Row],[At]]="Home",Table15[[#This Row],[Opponent]],RIGHT(Table15[[#This Row],[Opponent]],LEN(Table15[[#This Row],[Opponent]])-1)),CHOOSE({1,2},[1]StandingsRAW!$J$1:$J$22,[1]StandingsRAW!$L$1:$L$22),2,FALSE)</f>
        <v>STC</v>
      </c>
      <c r="J73" s="3">
        <f>VLOOKUP(Table15[[#This Row],[OPP]],Raw!$L$2:$S$23,7,FALSE)-Raw!$U$2</f>
        <v>2.5702093586438561</v>
      </c>
    </row>
    <row r="74" spans="1:10" x14ac:dyDescent="0.25">
      <c r="A74" t="s">
        <v>603</v>
      </c>
      <c r="B74" t="s">
        <v>201</v>
      </c>
      <c r="C74" t="s">
        <v>322</v>
      </c>
      <c r="D74" t="str">
        <f>IF(LEFT(Table15[[#This Row],[Opponent]],1)="@","Away","Home")</f>
        <v>Away</v>
      </c>
      <c r="E74" s="1">
        <f>_xlfn.NUMBERVALUE(MID(LEFT(Table15[[#This Row],[Score]],FIND("-",Table15[[#This Row],[Score]])-1),FIND(" ",Table15[[#This Row],[Score]])+1,LEN(Table15[[#This Row],[Score]])))</f>
        <v>6</v>
      </c>
      <c r="F74" s="3">
        <f>_xlfn.NUMBERVALUE(RIGHT(Table15[[#This Row],[Score]],LEN(Table15[[#This Row],[Score]])-FIND("-",Table15[[#This Row],[Score]])))</f>
        <v>7</v>
      </c>
      <c r="G74" s="3">
        <f t="shared" si="13"/>
        <v>13</v>
      </c>
      <c r="H74" s="3" t="str">
        <f>LEFT(Table15[[#This Row],[Score]],1)</f>
        <v>L</v>
      </c>
      <c r="I74" s="3" t="str">
        <f>VLOOKUP(IF(Table15[[#This Row],[At]]="Home",Table15[[#This Row],[Opponent]],RIGHT(Table15[[#This Row],[Opponent]],LEN(Table15[[#This Row],[Opponent]])-1)),CHOOSE({1,2},[1]StandingsRAW!$J$1:$J$22,[1]StandingsRAW!$L$1:$L$22),2,FALSE)</f>
        <v>STC</v>
      </c>
      <c r="J74" s="3">
        <f>VLOOKUP(Table15[[#This Row],[OPP]],Raw!$L$2:$S$23,7,FALSE)-Raw!$U$2</f>
        <v>2.5702093586438561</v>
      </c>
    </row>
    <row r="75" spans="1:10" x14ac:dyDescent="0.25">
      <c r="A75" t="s">
        <v>608</v>
      </c>
      <c r="B75" t="s">
        <v>192</v>
      </c>
      <c r="C75" t="s">
        <v>83</v>
      </c>
      <c r="D75" t="str">
        <f>IF(LEFT(Table15[[#This Row],[Opponent]],1)="@","Away","Home")</f>
        <v>Away</v>
      </c>
      <c r="E75" s="1">
        <f>_xlfn.NUMBERVALUE(MID(LEFT(Table15[[#This Row],[Score]],FIND("-",Table15[[#This Row],[Score]])-1),FIND(" ",Table15[[#This Row],[Score]])+1,LEN(Table15[[#This Row],[Score]])))</f>
        <v>4</v>
      </c>
      <c r="F75" s="3">
        <f>_xlfn.NUMBERVALUE(RIGHT(Table15[[#This Row],[Score]],LEN(Table15[[#This Row],[Score]])-FIND("-",Table15[[#This Row],[Score]])))</f>
        <v>7</v>
      </c>
      <c r="G75" s="3">
        <f t="shared" ref="G75:G76" si="14">E75+F75</f>
        <v>11</v>
      </c>
      <c r="H75" s="3" t="str">
        <f>LEFT(Table15[[#This Row],[Score]],1)</f>
        <v>L</v>
      </c>
      <c r="I75" s="3" t="str">
        <f>VLOOKUP(IF(Table15[[#This Row],[At]]="Home",Table15[[#This Row],[Opponent]],RIGHT(Table15[[#This Row],[Opponent]],LEN(Table15[[#This Row],[Opponent]])-1)),CHOOSE({1,2},[1]StandingsRAW!$J$1:$J$22,[1]StandingsRAW!$L$1:$L$22),2,FALSE)</f>
        <v>WAT</v>
      </c>
      <c r="J75" s="3">
        <f>VLOOKUP(Table15[[#This Row],[OPP]],Raw!$L$2:$S$23,7,FALSE)-Raw!$U$2</f>
        <v>-3.3415553472384971</v>
      </c>
    </row>
    <row r="76" spans="1:10" x14ac:dyDescent="0.25">
      <c r="A76" t="s">
        <v>609</v>
      </c>
      <c r="B76" t="s">
        <v>192</v>
      </c>
      <c r="C76" t="s">
        <v>243</v>
      </c>
      <c r="D76" t="str">
        <f>IF(LEFT(Table15[[#This Row],[Opponent]],1)="@","Away","Home")</f>
        <v>Away</v>
      </c>
      <c r="E76" s="1">
        <f>_xlfn.NUMBERVALUE(MID(LEFT(Table15[[#This Row],[Score]],FIND("-",Table15[[#This Row],[Score]])-1),FIND(" ",Table15[[#This Row],[Score]])+1,LEN(Table15[[#This Row],[Score]])))</f>
        <v>15</v>
      </c>
      <c r="F76" s="3">
        <f>_xlfn.NUMBERVALUE(RIGHT(Table15[[#This Row],[Score]],LEN(Table15[[#This Row],[Score]])-FIND("-",Table15[[#This Row],[Score]])))</f>
        <v>6</v>
      </c>
      <c r="G76" s="3">
        <f t="shared" si="14"/>
        <v>21</v>
      </c>
      <c r="H76" s="3" t="str">
        <f>LEFT(Table15[[#This Row],[Score]],1)</f>
        <v>W</v>
      </c>
      <c r="I76" s="3" t="str">
        <f>VLOOKUP(IF(Table15[[#This Row],[At]]="Home",Table15[[#This Row],[Opponent]],RIGHT(Table15[[#This Row],[Opponent]],LEN(Table15[[#This Row],[Opponent]])-1)),CHOOSE({1,2},[1]StandingsRAW!$J$1:$J$22,[1]StandingsRAW!$L$1:$L$22),2,FALSE)</f>
        <v>WAT</v>
      </c>
      <c r="J76" s="3">
        <f>VLOOKUP(Table15[[#This Row],[OPP]],Raw!$L$2:$S$23,7,FALSE)-Raw!$U$2</f>
        <v>-3.3415553472384971</v>
      </c>
    </row>
    <row r="77" spans="1:10" x14ac:dyDescent="0.25">
      <c r="E77" s="1"/>
      <c r="F77" s="3"/>
      <c r="G77" s="3"/>
      <c r="H77" s="3"/>
      <c r="I77" s="3"/>
    </row>
    <row r="78" spans="1:10" x14ac:dyDescent="0.25">
      <c r="E78" s="1"/>
      <c r="F78" s="3"/>
      <c r="G78" s="3"/>
      <c r="H78" s="3"/>
      <c r="I78" s="3"/>
    </row>
    <row r="79" spans="1:10" x14ac:dyDescent="0.25">
      <c r="E79" s="1"/>
      <c r="F79" s="3"/>
      <c r="G79" s="3"/>
      <c r="H79" s="3"/>
      <c r="I79" s="3"/>
    </row>
    <row r="80" spans="1:10" x14ac:dyDescent="0.25">
      <c r="E80" s="1"/>
      <c r="F80" s="3"/>
      <c r="G80" s="3"/>
      <c r="H80" s="3"/>
      <c r="I80" s="3"/>
    </row>
    <row r="81" spans="5:9" x14ac:dyDescent="0.25">
      <c r="E81" s="1"/>
      <c r="F81" s="3"/>
      <c r="G81" s="3"/>
      <c r="H81" s="3"/>
      <c r="I81" s="3"/>
    </row>
    <row r="82" spans="5:9" x14ac:dyDescent="0.25">
      <c r="E82" s="1"/>
      <c r="F82" s="3"/>
      <c r="G82" s="3"/>
      <c r="H82" s="3"/>
      <c r="I82" s="3"/>
    </row>
    <row r="83" spans="5:9" x14ac:dyDescent="0.25">
      <c r="E83" s="1"/>
      <c r="F83" s="3"/>
      <c r="G83" s="3"/>
      <c r="H83" s="3"/>
      <c r="I83" s="3"/>
    </row>
    <row r="84" spans="5:9" x14ac:dyDescent="0.25">
      <c r="E84" s="1"/>
      <c r="F84" s="3"/>
      <c r="G84" s="3"/>
      <c r="H84" s="3"/>
      <c r="I84" s="3"/>
    </row>
    <row r="85" spans="5:9" x14ac:dyDescent="0.25">
      <c r="E85" s="1"/>
      <c r="F85" s="3"/>
      <c r="G85" s="3"/>
      <c r="H85" s="3"/>
      <c r="I85" s="3"/>
    </row>
    <row r="86" spans="5:9" x14ac:dyDescent="0.25">
      <c r="E86" s="1"/>
      <c r="F86" s="3"/>
      <c r="G86" s="3"/>
      <c r="H86" s="3"/>
      <c r="I86" s="3"/>
    </row>
    <row r="87" spans="5:9" x14ac:dyDescent="0.25">
      <c r="E87" s="1"/>
      <c r="F87" s="3"/>
      <c r="G87" s="3"/>
      <c r="H87" s="3"/>
      <c r="I87" s="3"/>
    </row>
    <row r="88" spans="5:9" x14ac:dyDescent="0.25">
      <c r="E88" s="1"/>
      <c r="F88" s="3"/>
      <c r="G88" s="3"/>
      <c r="H88" s="3"/>
      <c r="I88" s="3"/>
    </row>
    <row r="89" spans="5:9" x14ac:dyDescent="0.25">
      <c r="E89" s="1"/>
      <c r="F89" s="3"/>
      <c r="G89" s="3"/>
      <c r="H89" s="3"/>
      <c r="I89" s="3"/>
    </row>
    <row r="90" spans="5:9" x14ac:dyDescent="0.25">
      <c r="E90" s="1"/>
      <c r="F90" s="3"/>
      <c r="G90" s="3"/>
      <c r="H90" s="3"/>
      <c r="I90" s="3"/>
    </row>
    <row r="91" spans="5:9" x14ac:dyDescent="0.25">
      <c r="E91" s="1"/>
      <c r="F91" s="3"/>
      <c r="G91" s="3"/>
      <c r="H91" s="3"/>
      <c r="I91" s="3"/>
    </row>
    <row r="92" spans="5:9" x14ac:dyDescent="0.25">
      <c r="E92" s="1"/>
      <c r="F92" s="3"/>
      <c r="G92" s="3"/>
      <c r="H92" s="3"/>
      <c r="I92" s="3"/>
    </row>
    <row r="93" spans="5:9" x14ac:dyDescent="0.25">
      <c r="E93" s="1"/>
      <c r="F93" s="3"/>
      <c r="G93" s="3"/>
      <c r="H93" s="3"/>
      <c r="I93" s="3"/>
    </row>
    <row r="94" spans="5:9" x14ac:dyDescent="0.25">
      <c r="E94" s="1"/>
      <c r="F94" s="3"/>
      <c r="G94" s="3"/>
      <c r="H94" s="3"/>
      <c r="I94" s="3"/>
    </row>
    <row r="95" spans="5:9" x14ac:dyDescent="0.25">
      <c r="E95" s="1"/>
      <c r="F95" s="3"/>
      <c r="G95" s="3"/>
      <c r="H95" s="3"/>
      <c r="I95" s="3"/>
    </row>
    <row r="96" spans="5:9" x14ac:dyDescent="0.25">
      <c r="E96" s="1"/>
      <c r="F96" s="3"/>
      <c r="G96" s="3"/>
      <c r="H96" s="3"/>
      <c r="I96" s="3"/>
    </row>
    <row r="97" spans="5:9" x14ac:dyDescent="0.25">
      <c r="E97" s="1"/>
      <c r="F97" s="3"/>
      <c r="G97" s="3"/>
      <c r="H97" s="3"/>
      <c r="I97" s="3"/>
    </row>
    <row r="98" spans="5:9" x14ac:dyDescent="0.25">
      <c r="E98" s="1"/>
      <c r="F98" s="3"/>
      <c r="G98" s="3"/>
      <c r="H98" s="3"/>
      <c r="I98" s="3"/>
    </row>
    <row r="99" spans="5:9" x14ac:dyDescent="0.25">
      <c r="E99" s="1"/>
      <c r="F99" s="3"/>
      <c r="G99" s="3"/>
      <c r="H99" s="3"/>
    </row>
    <row r="100" spans="5:9" x14ac:dyDescent="0.25">
      <c r="E100" s="1"/>
      <c r="F100" s="3"/>
      <c r="G100" s="3"/>
      <c r="H100" s="3"/>
    </row>
    <row r="101" spans="5:9" x14ac:dyDescent="0.25">
      <c r="E101" s="1"/>
      <c r="F101" s="3"/>
      <c r="G101" s="3"/>
      <c r="H101" s="3"/>
    </row>
    <row r="102" spans="5:9" x14ac:dyDescent="0.25">
      <c r="E102" s="1"/>
      <c r="F102" s="3"/>
      <c r="G102" s="3"/>
      <c r="H102" s="3"/>
    </row>
    <row r="103" spans="5:9" x14ac:dyDescent="0.25">
      <c r="E103" s="1"/>
      <c r="F103" s="3"/>
      <c r="G103" s="3"/>
      <c r="H103" s="3"/>
    </row>
    <row r="104" spans="5:9" x14ac:dyDescent="0.25">
      <c r="E104" s="1"/>
      <c r="F104" s="3"/>
      <c r="G104" s="3"/>
      <c r="H104" s="3"/>
    </row>
    <row r="105" spans="5:9" x14ac:dyDescent="0.25">
      <c r="E105" s="1"/>
      <c r="F105" s="3"/>
      <c r="G105" s="3"/>
      <c r="H105" s="3"/>
    </row>
    <row r="106" spans="5:9" x14ac:dyDescent="0.25">
      <c r="E106" s="1"/>
      <c r="F106" s="3"/>
      <c r="G106" s="3"/>
      <c r="H106" s="3"/>
    </row>
    <row r="107" spans="5:9" x14ac:dyDescent="0.25">
      <c r="E107" s="1"/>
      <c r="F107" s="3"/>
      <c r="G107" s="3"/>
      <c r="H107" s="3"/>
    </row>
    <row r="108" spans="5:9" x14ac:dyDescent="0.25">
      <c r="E108" s="1"/>
      <c r="F108" s="3"/>
      <c r="G108" s="3"/>
      <c r="H108" s="3"/>
    </row>
    <row r="109" spans="5:9" x14ac:dyDescent="0.25">
      <c r="E109" s="1"/>
      <c r="F109" s="3"/>
      <c r="G109" s="3"/>
      <c r="H109" s="3"/>
    </row>
    <row r="110" spans="5:9" x14ac:dyDescent="0.25">
      <c r="E110" s="1"/>
      <c r="F110" s="3"/>
      <c r="G110" s="3"/>
      <c r="H110" s="3"/>
    </row>
  </sheetData>
  <conditionalFormatting sqref="L17">
    <cfRule type="cellIs" dxfId="44" priority="4" operator="greaterThan">
      <formula>100</formula>
    </cfRule>
    <cfRule type="cellIs" dxfId="43" priority="5" operator="lessThan">
      <formula>100</formula>
    </cfRule>
  </conditionalFormatting>
  <conditionalFormatting sqref="L18">
    <cfRule type="cellIs" dxfId="42" priority="2" operator="greaterThan">
      <formula>100</formula>
    </cfRule>
    <cfRule type="cellIs" dxfId="41" priority="3" operator="lessThan">
      <formula>100</formula>
    </cfRule>
  </conditionalFormatting>
  <conditionalFormatting sqref="L17:L18">
    <cfRule type="cellIs" dxfId="40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A6F5-1390-4449-AEDC-61385E47B730}">
  <sheetPr codeName="Sheet17"/>
  <dimension ref="A1:P147"/>
  <sheetViews>
    <sheetView topLeftCell="A71" workbookViewId="0">
      <selection activeCell="A76" sqref="A76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403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30</v>
      </c>
      <c r="C3" t="s">
        <v>21</v>
      </c>
      <c r="E3" s="1" t="str">
        <f>IF(LEFT(B3,1)="@","Away","Home")</f>
        <v>Away</v>
      </c>
      <c r="F3" s="3">
        <f>_xlfn.NUMBERVALUE(MID(LEFT(C3,FIND("-",C3)-1),FIND(" ",C3)+1,LEN(C3)))</f>
        <v>6</v>
      </c>
      <c r="G3" s="3">
        <f>_xlfn.NUMBERVALUE(RIGHT(C3,LEN(C3)-FIND("-",C3)))</f>
        <v>1</v>
      </c>
      <c r="H3" s="3">
        <f t="shared" ref="H3:H66" si="0">F3+G3</f>
        <v>7</v>
      </c>
      <c r="I3" s="3" t="str">
        <f>LEFT(C3,1)</f>
        <v>W</v>
      </c>
      <c r="K3" s="4" t="s">
        <v>139</v>
      </c>
      <c r="L3" s="5">
        <f>(SUMIF($E$3:$E$74,$K3,F$3:F$74) + SUMIF(Table16[At],$K3,Table16[Scored]))/(COUNTIF($E$3:$E$74,$K3) + COUNTIF(Table16[At],$K3))</f>
        <v>7.112676056338028</v>
      </c>
      <c r="M3" s="5">
        <f>(SUMIF($E$3:$E$74,$K3,G$3:G$74) + SUMIF(Table16[At],$K3,Table16[Allowed]))/(COUNTIF($E$3:$E$74,$K3) + COUNTIF(Table16[At],$K3))</f>
        <v>6.76056338028169</v>
      </c>
      <c r="N3" s="5">
        <f>L3+M3</f>
        <v>13.873239436619718</v>
      </c>
      <c r="O3" s="5">
        <f>(COUNTIFS($E$3:$E$74,$K3,$I$3:$I$74,O$2) + COUNTIFS(Table16[At],$K3,Table16[Result],O$2))/(COUNTIF($E$3:$E$74,$K3) + COUNTIF(Table16[At],$K3))</f>
        <v>0.52112676056338025</v>
      </c>
      <c r="P3" s="5">
        <f>(COUNTIFS($E$3:$E$74,$K3,$I$3:$I$74,P$2) + COUNTIFS(Table16[At],$K3,Table16[Result],P$2))/(COUNTIF($E$3:$E$74,$K3) + COUNTIF(Table16[At],$K3))</f>
        <v>0.47887323943661969</v>
      </c>
    </row>
    <row r="4" spans="1:16" x14ac:dyDescent="0.25">
      <c r="A4" t="s">
        <v>7</v>
      </c>
      <c r="B4" t="s">
        <v>52</v>
      </c>
      <c r="C4" t="s">
        <v>404</v>
      </c>
      <c r="E4" s="1" t="str">
        <f t="shared" ref="E4:E67" si="1">IF(LEFT(B4,1)="@","Away","Home")</f>
        <v>Home</v>
      </c>
      <c r="F4" s="3">
        <f t="shared" ref="F4:F67" si="2">_xlfn.NUMBERVALUE(MID(LEFT(C4,FIND("-",C4)-1),FIND(" ",C4)+1,LEN(C4)))</f>
        <v>3</v>
      </c>
      <c r="G4" s="3">
        <f t="shared" ref="G4:G67" si="3">_xlfn.NUMBERVALUE(RIGHT(C4,LEN(C4)-FIND("-",C4)))</f>
        <v>16</v>
      </c>
      <c r="H4" s="3">
        <f t="shared" si="0"/>
        <v>19</v>
      </c>
      <c r="I4" s="3" t="str">
        <f t="shared" ref="I4:I67" si="4">LEFT(C4,1)</f>
        <v>L</v>
      </c>
      <c r="K4" s="4" t="s">
        <v>140</v>
      </c>
      <c r="L4" s="5">
        <f>(SUMIF($E$3:$E$74,$K4,F$3:F$74) + SUMIF(Table16[At],$K4,Table16[Scored]))/(COUNTIF($E$3:$E$74,$K4) + COUNTIF(Table16[At],$K4))</f>
        <v>4.6388888888888893</v>
      </c>
      <c r="M4" s="5">
        <f>(SUMIF($E$3:$E$74,$K4,G$3:G$74) + SUMIF(Table16[At],$K4,Table16[Allowed]))/(COUNTIF($E$3:$E$74,$K4) + COUNTIF(Table16[At],$K4))</f>
        <v>5.541666666666667</v>
      </c>
      <c r="N4" s="5">
        <f>L4+M4</f>
        <v>10.180555555555557</v>
      </c>
      <c r="O4" s="5">
        <f>(COUNTIFS($E$3:$E$74,$K4,$I$3:$I$74,O$2) + COUNTIFS(Table16[At],$K4,Table16[Result],O$2))/(COUNTIF($E$3:$E$74,$K4) + COUNTIF(Table16[At],$K4))</f>
        <v>0.40277777777777779</v>
      </c>
      <c r="P4" s="5">
        <f>(COUNTIFS($E$3:$E$74,$K4,$I$3:$I$74,P$2) + COUNTIFS(Table16[At],$K4,Table16[Result],P$2))/(COUNTIF($E$3:$E$74,$K4) + COUNTIF(Table16[At],$K4))</f>
        <v>0.59722222222222221</v>
      </c>
    </row>
    <row r="5" spans="1:16" x14ac:dyDescent="0.25">
      <c r="A5" t="s">
        <v>9</v>
      </c>
      <c r="B5" t="s">
        <v>40</v>
      </c>
      <c r="C5" t="s">
        <v>330</v>
      </c>
      <c r="E5" s="1" t="str">
        <f t="shared" si="1"/>
        <v>Away</v>
      </c>
      <c r="F5" s="3">
        <f t="shared" si="2"/>
        <v>1</v>
      </c>
      <c r="G5" s="3">
        <f t="shared" si="3"/>
        <v>11</v>
      </c>
      <c r="H5" s="3">
        <f t="shared" si="0"/>
        <v>12</v>
      </c>
      <c r="I5" s="3" t="str">
        <f t="shared" si="4"/>
        <v>L</v>
      </c>
    </row>
    <row r="6" spans="1:16" x14ac:dyDescent="0.25">
      <c r="A6" t="s">
        <v>12</v>
      </c>
      <c r="B6" t="s">
        <v>40</v>
      </c>
      <c r="C6" t="s">
        <v>255</v>
      </c>
      <c r="E6" s="1" t="str">
        <f t="shared" si="1"/>
        <v>Away</v>
      </c>
      <c r="F6" s="3">
        <f t="shared" si="2"/>
        <v>4</v>
      </c>
      <c r="G6" s="3">
        <f t="shared" si="3"/>
        <v>10</v>
      </c>
      <c r="H6" s="3">
        <f t="shared" si="0"/>
        <v>14</v>
      </c>
      <c r="I6" s="3" t="str">
        <f t="shared" si="4"/>
        <v>L</v>
      </c>
      <c r="K6" s="4" t="s">
        <v>144</v>
      </c>
      <c r="L6" s="5">
        <f>N3/N4</f>
        <v>1.3627192898180349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69</v>
      </c>
      <c r="C7" t="s">
        <v>379</v>
      </c>
      <c r="E7" s="1" t="str">
        <f t="shared" si="1"/>
        <v>Home</v>
      </c>
      <c r="F7" s="3">
        <f t="shared" si="2"/>
        <v>7</v>
      </c>
      <c r="G7" s="3">
        <f t="shared" si="3"/>
        <v>12</v>
      </c>
      <c r="H7" s="3">
        <f t="shared" si="0"/>
        <v>19</v>
      </c>
      <c r="I7" s="3" t="str">
        <f t="shared" si="4"/>
        <v>L</v>
      </c>
      <c r="K7" s="7" t="s">
        <v>143</v>
      </c>
      <c r="L7" s="5">
        <f>(18.5 - O3)/(18.5-P4)</f>
        <v>1.0042504835061572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69</v>
      </c>
      <c r="C8" t="s">
        <v>307</v>
      </c>
      <c r="E8" s="1" t="str">
        <f t="shared" si="1"/>
        <v>Home</v>
      </c>
      <c r="F8" s="3">
        <f t="shared" si="2"/>
        <v>16</v>
      </c>
      <c r="G8" s="3">
        <f t="shared" si="3"/>
        <v>2</v>
      </c>
      <c r="H8" s="3">
        <f t="shared" si="0"/>
        <v>18</v>
      </c>
      <c r="I8" s="3" t="str">
        <f t="shared" si="4"/>
        <v>W</v>
      </c>
      <c r="K8" s="7" t="s">
        <v>146</v>
      </c>
      <c r="L8" s="5">
        <f>L6/L7</f>
        <v>1.3569515894683459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341</v>
      </c>
      <c r="C9" t="s">
        <v>89</v>
      </c>
      <c r="E9" s="1" t="str">
        <f t="shared" si="1"/>
        <v>Away</v>
      </c>
      <c r="F9" s="3">
        <f t="shared" si="2"/>
        <v>1</v>
      </c>
      <c r="G9" s="3">
        <f t="shared" si="3"/>
        <v>6</v>
      </c>
      <c r="H9" s="3">
        <f t="shared" si="0"/>
        <v>7</v>
      </c>
      <c r="I9" s="3" t="str">
        <f t="shared" si="4"/>
        <v>L</v>
      </c>
      <c r="K9" s="7" t="s">
        <v>145</v>
      </c>
      <c r="L9" s="5">
        <f>(P7)/(P7-1+L8)</f>
        <v>0.97111329708756233</v>
      </c>
      <c r="O9" s="4"/>
      <c r="P9" s="1"/>
    </row>
    <row r="10" spans="1:16" x14ac:dyDescent="0.25">
      <c r="A10" t="s">
        <v>22</v>
      </c>
      <c r="B10" t="s">
        <v>10</v>
      </c>
      <c r="C10" t="s">
        <v>351</v>
      </c>
      <c r="E10" s="1" t="str">
        <f t="shared" si="1"/>
        <v>Away</v>
      </c>
      <c r="F10" s="3">
        <f t="shared" si="2"/>
        <v>2</v>
      </c>
      <c r="G10" s="3">
        <f t="shared" si="3"/>
        <v>1</v>
      </c>
      <c r="H10" s="3">
        <f t="shared" si="0"/>
        <v>3</v>
      </c>
      <c r="I10" s="3" t="str">
        <f t="shared" si="4"/>
        <v>W</v>
      </c>
      <c r="K10" s="4" t="s">
        <v>149</v>
      </c>
      <c r="L10" s="5">
        <f>L8*L9</f>
        <v>1.3177537320368138</v>
      </c>
      <c r="O10" s="4"/>
      <c r="P10" s="1"/>
    </row>
    <row r="11" spans="1:16" x14ac:dyDescent="0.25">
      <c r="A11" t="s">
        <v>196</v>
      </c>
      <c r="B11" t="s">
        <v>10</v>
      </c>
      <c r="C11" t="s">
        <v>405</v>
      </c>
      <c r="E11" s="1" t="str">
        <f t="shared" si="1"/>
        <v>Away</v>
      </c>
      <c r="F11" s="3">
        <f t="shared" si="2"/>
        <v>7</v>
      </c>
      <c r="G11" s="3">
        <f t="shared" si="3"/>
        <v>13</v>
      </c>
      <c r="H11" s="3">
        <f t="shared" si="0"/>
        <v>20</v>
      </c>
      <c r="I11" s="3" t="str">
        <f t="shared" si="4"/>
        <v>L</v>
      </c>
      <c r="K11" s="4" t="s">
        <v>148</v>
      </c>
      <c r="L11" s="5">
        <f>1 - ((L10-1)/(P7-1))</f>
        <v>0.97111329708756233</v>
      </c>
      <c r="O11" s="4"/>
      <c r="P11" s="1"/>
    </row>
    <row r="12" spans="1:16" x14ac:dyDescent="0.25">
      <c r="A12" t="s">
        <v>25</v>
      </c>
      <c r="B12" t="s">
        <v>52</v>
      </c>
      <c r="C12" t="s">
        <v>128</v>
      </c>
      <c r="E12" s="1" t="str">
        <f t="shared" si="1"/>
        <v>Home</v>
      </c>
      <c r="F12" s="3">
        <f t="shared" si="2"/>
        <v>6</v>
      </c>
      <c r="G12" s="3">
        <f t="shared" si="3"/>
        <v>5</v>
      </c>
      <c r="H12" s="3">
        <f t="shared" si="0"/>
        <v>11</v>
      </c>
      <c r="I12" s="3" t="str">
        <f t="shared" si="4"/>
        <v>W</v>
      </c>
      <c r="K12" s="4" t="s">
        <v>150</v>
      </c>
      <c r="L12" s="5">
        <f>(($L4/$L11)+($L3/$L10)) * (1 + (L13-1)/($P7-1)) / $P8</f>
        <v>0.88970826595870778</v>
      </c>
      <c r="M12" s="5">
        <f t="shared" ref="M12:O12" si="5">(($L4/$L11)+($L3/$L10)) * (1 + (M13-1)/($P7-1)) / $P8</f>
        <v>0.88470428437691884</v>
      </c>
      <c r="N12" s="5">
        <f t="shared" si="5"/>
        <v>0.88466941704642799</v>
      </c>
      <c r="O12" s="8">
        <f t="shared" si="5"/>
        <v>0.88466917409374823</v>
      </c>
      <c r="P12" s="5"/>
    </row>
    <row r="13" spans="1:16" x14ac:dyDescent="0.25">
      <c r="A13" t="s">
        <v>27</v>
      </c>
      <c r="B13" t="s">
        <v>30</v>
      </c>
      <c r="C13" t="s">
        <v>228</v>
      </c>
      <c r="E13" s="1" t="str">
        <f t="shared" si="1"/>
        <v>Away</v>
      </c>
      <c r="F13" s="3">
        <f t="shared" si="2"/>
        <v>10</v>
      </c>
      <c r="G13" s="3">
        <f t="shared" si="3"/>
        <v>3</v>
      </c>
      <c r="H13" s="3">
        <f t="shared" si="0"/>
        <v>13</v>
      </c>
      <c r="I13" s="3" t="str">
        <f t="shared" si="4"/>
        <v>W</v>
      </c>
      <c r="K13" s="4" t="s">
        <v>182</v>
      </c>
      <c r="L13" s="5">
        <v>1</v>
      </c>
      <c r="M13" s="5">
        <f>(($M4/$L11)+($M3/$L10)) * (1 + (L12-1)/($P7-1)) / $P8</f>
        <v>0.93813275710059418</v>
      </c>
      <c r="N13" s="5">
        <f>(($M4/$L11)+($M3/$L10)) * (1 + (M12-1)/($P7-1)) / $P8</f>
        <v>0.93770167126035364</v>
      </c>
      <c r="O13" s="5">
        <f>(($M4/$L11)+($M3/$L10)) * (1 + (N12-1)/($P7-1)) / $P8</f>
        <v>0.93769866748981301</v>
      </c>
      <c r="P13" s="8">
        <f>(($M4/$L11)+($M3/$L10)) * (1 + (O12-1)/($P7-1)) / $P8</f>
        <v>0.93769864655978774</v>
      </c>
    </row>
    <row r="14" spans="1:16" x14ac:dyDescent="0.25">
      <c r="A14" t="s">
        <v>29</v>
      </c>
      <c r="B14" t="s">
        <v>333</v>
      </c>
      <c r="C14" t="s">
        <v>24</v>
      </c>
      <c r="E14" s="1" t="str">
        <f t="shared" si="1"/>
        <v>Home</v>
      </c>
      <c r="F14" s="3">
        <f t="shared" si="2"/>
        <v>10</v>
      </c>
      <c r="G14" s="3">
        <f t="shared" si="3"/>
        <v>5</v>
      </c>
      <c r="H14" s="3">
        <f t="shared" si="0"/>
        <v>15</v>
      </c>
      <c r="I14" s="3" t="str">
        <f t="shared" si="4"/>
        <v>W</v>
      </c>
      <c r="K14" s="4" t="s">
        <v>183</v>
      </c>
      <c r="L14" s="5">
        <f xml:space="preserve"> (L10+L11) / (2 * (1 + ((P13-1)/(P7-1))))</f>
        <v>1.1509522310841493</v>
      </c>
      <c r="N14" s="5"/>
    </row>
    <row r="15" spans="1:16" x14ac:dyDescent="0.25">
      <c r="A15" t="s">
        <v>32</v>
      </c>
      <c r="B15" t="s">
        <v>333</v>
      </c>
      <c r="C15" t="s">
        <v>202</v>
      </c>
      <c r="E15" s="1" t="str">
        <f t="shared" si="1"/>
        <v>Home</v>
      </c>
      <c r="F15" s="3">
        <f t="shared" si="2"/>
        <v>4</v>
      </c>
      <c r="G15" s="3">
        <f t="shared" si="3"/>
        <v>11</v>
      </c>
      <c r="H15" s="3">
        <f t="shared" si="0"/>
        <v>15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1.1565596031293439</v>
      </c>
    </row>
    <row r="16" spans="1:16" ht="15.75" thickBot="1" x14ac:dyDescent="0.3">
      <c r="A16" t="s">
        <v>34</v>
      </c>
      <c r="B16" t="s">
        <v>341</v>
      </c>
      <c r="C16" t="s">
        <v>65</v>
      </c>
      <c r="E16" s="1" t="str">
        <f t="shared" si="1"/>
        <v>Away</v>
      </c>
      <c r="F16" s="3">
        <f t="shared" si="2"/>
        <v>1</v>
      </c>
      <c r="G16" s="3">
        <f t="shared" si="3"/>
        <v>4</v>
      </c>
      <c r="H16" s="3">
        <f t="shared" si="0"/>
        <v>5</v>
      </c>
      <c r="I16" s="3" t="str">
        <f t="shared" si="4"/>
        <v>L</v>
      </c>
    </row>
    <row r="17" spans="1:14" x14ac:dyDescent="0.25">
      <c r="A17" t="s">
        <v>34</v>
      </c>
      <c r="B17" t="s">
        <v>341</v>
      </c>
      <c r="C17" t="s">
        <v>320</v>
      </c>
      <c r="E17" s="1" t="str">
        <f t="shared" si="1"/>
        <v>Away</v>
      </c>
      <c r="F17" s="3">
        <f t="shared" si="2"/>
        <v>5</v>
      </c>
      <c r="G17" s="3">
        <f t="shared" si="3"/>
        <v>1</v>
      </c>
      <c r="H17" s="3">
        <f t="shared" si="0"/>
        <v>6</v>
      </c>
      <c r="I17" s="3" t="str">
        <f t="shared" si="4"/>
        <v>W</v>
      </c>
      <c r="K17" s="9" t="s">
        <v>185</v>
      </c>
      <c r="L17" s="10">
        <f>L14*100</f>
        <v>115.09522310841493</v>
      </c>
    </row>
    <row r="18" spans="1:14" ht="15.75" thickBot="1" x14ac:dyDescent="0.3">
      <c r="A18" t="s">
        <v>37</v>
      </c>
      <c r="B18" t="s">
        <v>341</v>
      </c>
      <c r="C18" t="s">
        <v>85</v>
      </c>
      <c r="E18" s="1" t="str">
        <f t="shared" si="1"/>
        <v>Away</v>
      </c>
      <c r="F18" s="3">
        <f t="shared" si="2"/>
        <v>5</v>
      </c>
      <c r="G18" s="3">
        <f t="shared" si="3"/>
        <v>3</v>
      </c>
      <c r="H18" s="3">
        <f t="shared" si="0"/>
        <v>8</v>
      </c>
      <c r="I18" s="3" t="str">
        <f t="shared" si="4"/>
        <v>W</v>
      </c>
      <c r="K18" s="11" t="s">
        <v>186</v>
      </c>
      <c r="L18" s="12">
        <f>L15*100</f>
        <v>115.6559603129344</v>
      </c>
    </row>
    <row r="19" spans="1:14" x14ac:dyDescent="0.25">
      <c r="A19" t="s">
        <v>39</v>
      </c>
      <c r="B19" t="s">
        <v>314</v>
      </c>
      <c r="C19" t="s">
        <v>368</v>
      </c>
      <c r="E19" s="1" t="str">
        <f t="shared" si="1"/>
        <v>Home</v>
      </c>
      <c r="F19" s="3">
        <f t="shared" si="2"/>
        <v>7</v>
      </c>
      <c r="G19" s="3">
        <f t="shared" si="3"/>
        <v>11</v>
      </c>
      <c r="H19" s="3">
        <f t="shared" si="0"/>
        <v>18</v>
      </c>
      <c r="I19" s="3" t="str">
        <f t="shared" si="4"/>
        <v>L</v>
      </c>
    </row>
    <row r="20" spans="1:14" x14ac:dyDescent="0.25">
      <c r="A20" t="s">
        <v>41</v>
      </c>
      <c r="B20" t="s">
        <v>315</v>
      </c>
      <c r="C20" t="s">
        <v>50</v>
      </c>
      <c r="E20" s="1" t="str">
        <f t="shared" si="1"/>
        <v>Away</v>
      </c>
      <c r="F20" s="3">
        <f t="shared" si="2"/>
        <v>3</v>
      </c>
      <c r="G20" s="3">
        <f t="shared" si="3"/>
        <v>4</v>
      </c>
      <c r="H20" s="3">
        <f t="shared" si="0"/>
        <v>7</v>
      </c>
      <c r="I20" s="3" t="str">
        <f t="shared" si="4"/>
        <v>L</v>
      </c>
    </row>
    <row r="21" spans="1:14" x14ac:dyDescent="0.25">
      <c r="A21" t="s">
        <v>43</v>
      </c>
      <c r="B21" t="s">
        <v>120</v>
      </c>
      <c r="C21" t="s">
        <v>298</v>
      </c>
      <c r="E21" s="1" t="str">
        <f t="shared" si="1"/>
        <v>Away</v>
      </c>
      <c r="F21" s="3">
        <f t="shared" si="2"/>
        <v>1</v>
      </c>
      <c r="G21" s="3">
        <f t="shared" si="3"/>
        <v>2</v>
      </c>
      <c r="H21" s="3">
        <f t="shared" si="0"/>
        <v>3</v>
      </c>
      <c r="I21" s="3" t="str">
        <f t="shared" si="4"/>
        <v>L</v>
      </c>
    </row>
    <row r="22" spans="1:14" x14ac:dyDescent="0.25">
      <c r="A22" t="s">
        <v>45</v>
      </c>
      <c r="B22" t="s">
        <v>120</v>
      </c>
      <c r="C22" t="s">
        <v>77</v>
      </c>
      <c r="E22" s="1" t="str">
        <f t="shared" si="1"/>
        <v>Away</v>
      </c>
      <c r="F22" s="3">
        <f t="shared" si="2"/>
        <v>1</v>
      </c>
      <c r="G22" s="3">
        <f t="shared" si="3"/>
        <v>9</v>
      </c>
      <c r="H22" s="3">
        <f t="shared" si="0"/>
        <v>10</v>
      </c>
      <c r="I22" s="3" t="str">
        <f t="shared" si="4"/>
        <v>L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69</v>
      </c>
      <c r="C23" t="s">
        <v>406</v>
      </c>
      <c r="E23" s="1" t="str">
        <f t="shared" si="1"/>
        <v>Home</v>
      </c>
      <c r="F23" s="3">
        <f t="shared" si="2"/>
        <v>16</v>
      </c>
      <c r="G23" s="3">
        <f t="shared" si="3"/>
        <v>8</v>
      </c>
      <c r="H23" s="3">
        <f t="shared" si="0"/>
        <v>24</v>
      </c>
      <c r="I23" s="3" t="str">
        <f t="shared" si="4"/>
        <v>W</v>
      </c>
      <c r="K23" s="1">
        <f>COUNTIFS(Table16[At], "Home",Table16[Result], "W")</f>
        <v>20</v>
      </c>
      <c r="L23" s="1">
        <f>COUNTIFS(Table16[At], "Home",Table16[Result], "L")</f>
        <v>16</v>
      </c>
      <c r="M23" s="1">
        <f>COUNTIFS(Table16[At], "Away",Table16[Result], "W")</f>
        <v>17</v>
      </c>
      <c r="N23" s="1">
        <f>COUNTIFS(Table16[At], "Away",Table16[Result], "L")</f>
        <v>19</v>
      </c>
    </row>
    <row r="24" spans="1:14" x14ac:dyDescent="0.25">
      <c r="A24" t="s">
        <v>49</v>
      </c>
      <c r="B24" t="s">
        <v>69</v>
      </c>
      <c r="C24" t="s">
        <v>292</v>
      </c>
      <c r="E24" s="1" t="str">
        <f t="shared" si="1"/>
        <v>Home</v>
      </c>
      <c r="F24" s="3">
        <f t="shared" si="2"/>
        <v>7</v>
      </c>
      <c r="G24" s="3">
        <f t="shared" si="3"/>
        <v>8</v>
      </c>
      <c r="H24" s="3">
        <f t="shared" si="0"/>
        <v>15</v>
      </c>
      <c r="I24" s="3" t="str">
        <f t="shared" si="4"/>
        <v>L</v>
      </c>
      <c r="K24" s="1"/>
      <c r="M24" s="1"/>
      <c r="N24" s="1"/>
    </row>
    <row r="25" spans="1:14" x14ac:dyDescent="0.25">
      <c r="A25" t="s">
        <v>51</v>
      </c>
      <c r="B25" t="s">
        <v>5</v>
      </c>
      <c r="C25" t="s">
        <v>267</v>
      </c>
      <c r="E25" s="1" t="str">
        <f t="shared" si="1"/>
        <v>Home</v>
      </c>
      <c r="F25" s="3">
        <f t="shared" si="2"/>
        <v>8</v>
      </c>
      <c r="G25" s="3">
        <f t="shared" si="3"/>
        <v>7</v>
      </c>
      <c r="H25" s="3">
        <f t="shared" si="0"/>
        <v>15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53</v>
      </c>
      <c r="B26" t="s">
        <v>5</v>
      </c>
      <c r="C26" t="s">
        <v>118</v>
      </c>
      <c r="E26" s="1" t="str">
        <f t="shared" si="1"/>
        <v>Home</v>
      </c>
      <c r="F26" s="3">
        <f t="shared" si="2"/>
        <v>9</v>
      </c>
      <c r="G26" s="3">
        <f t="shared" si="3"/>
        <v>8</v>
      </c>
      <c r="H26" s="3">
        <f t="shared" si="0"/>
        <v>17</v>
      </c>
      <c r="I26" s="3" t="str">
        <f t="shared" si="4"/>
        <v>W</v>
      </c>
      <c r="K26" s="1">
        <f>COUNTIFS(Table16[oR/G], "&gt;0",Table16[Result], "W")</f>
        <v>14</v>
      </c>
      <c r="L26" s="1">
        <f>COUNTIFS(Table16[oR/G], "&gt;0",Table16[Result], "l")</f>
        <v>14</v>
      </c>
      <c r="M26" s="1">
        <f>COUNTIFS(Table16[oR/G], "&lt;0",Table16[Result], "W")</f>
        <v>23</v>
      </c>
      <c r="N26" s="1">
        <f>COUNTIFS(Table16[oR/G], "&lt;0",Table16[Result], "l")</f>
        <v>21</v>
      </c>
    </row>
    <row r="27" spans="1:14" x14ac:dyDescent="0.25">
      <c r="A27" t="s">
        <v>53</v>
      </c>
      <c r="B27" t="s">
        <v>5</v>
      </c>
      <c r="C27" t="s">
        <v>254</v>
      </c>
      <c r="E27" s="1" t="str">
        <f t="shared" si="1"/>
        <v>Home</v>
      </c>
      <c r="F27" s="3">
        <f t="shared" si="2"/>
        <v>5</v>
      </c>
      <c r="G27" s="3">
        <f t="shared" si="3"/>
        <v>4</v>
      </c>
      <c r="H27" s="3">
        <f t="shared" si="0"/>
        <v>9</v>
      </c>
      <c r="I27" s="3" t="str">
        <f t="shared" si="4"/>
        <v>W</v>
      </c>
    </row>
    <row r="28" spans="1:14" x14ac:dyDescent="0.25">
      <c r="A28" t="s">
        <v>208</v>
      </c>
      <c r="B28" t="s">
        <v>5</v>
      </c>
      <c r="C28" t="s">
        <v>236</v>
      </c>
      <c r="E28" s="1" t="str">
        <f t="shared" si="1"/>
        <v>Home</v>
      </c>
      <c r="F28" s="3">
        <f t="shared" si="2"/>
        <v>7</v>
      </c>
      <c r="G28" s="3">
        <f t="shared" si="3"/>
        <v>0</v>
      </c>
      <c r="H28" s="3">
        <f t="shared" si="0"/>
        <v>7</v>
      </c>
      <c r="I28" s="3" t="str">
        <f t="shared" si="4"/>
        <v>W</v>
      </c>
    </row>
    <row r="29" spans="1:14" x14ac:dyDescent="0.25">
      <c r="A29" t="s">
        <v>247</v>
      </c>
      <c r="B29" t="s">
        <v>10</v>
      </c>
      <c r="C29" t="s">
        <v>292</v>
      </c>
      <c r="E29" s="1" t="str">
        <f t="shared" si="1"/>
        <v>Away</v>
      </c>
      <c r="F29" s="3">
        <f t="shared" si="2"/>
        <v>7</v>
      </c>
      <c r="G29" s="3">
        <f t="shared" si="3"/>
        <v>8</v>
      </c>
      <c r="H29" s="3">
        <f t="shared" si="0"/>
        <v>15</v>
      </c>
      <c r="I29" s="3" t="str">
        <f t="shared" si="4"/>
        <v>L</v>
      </c>
    </row>
    <row r="30" spans="1:14" x14ac:dyDescent="0.25">
      <c r="A30" t="s">
        <v>54</v>
      </c>
      <c r="B30" t="s">
        <v>10</v>
      </c>
      <c r="C30" t="s">
        <v>301</v>
      </c>
      <c r="E30" s="1" t="str">
        <f t="shared" si="1"/>
        <v>Away</v>
      </c>
      <c r="F30" s="3">
        <f t="shared" si="2"/>
        <v>3</v>
      </c>
      <c r="G30" s="3">
        <f t="shared" si="3"/>
        <v>9</v>
      </c>
      <c r="H30" s="3">
        <f t="shared" si="0"/>
        <v>12</v>
      </c>
      <c r="I30" s="3" t="str">
        <f t="shared" si="4"/>
        <v>L</v>
      </c>
    </row>
    <row r="31" spans="1:14" x14ac:dyDescent="0.25">
      <c r="A31" t="s">
        <v>57</v>
      </c>
      <c r="B31" t="s">
        <v>343</v>
      </c>
      <c r="C31" t="s">
        <v>368</v>
      </c>
      <c r="E31" s="1" t="str">
        <f t="shared" si="1"/>
        <v>Home</v>
      </c>
      <c r="F31" s="3">
        <f t="shared" si="2"/>
        <v>7</v>
      </c>
      <c r="G31" s="3">
        <f t="shared" si="3"/>
        <v>11</v>
      </c>
      <c r="H31" s="3">
        <f t="shared" si="0"/>
        <v>18</v>
      </c>
      <c r="I31" s="3" t="str">
        <f t="shared" si="4"/>
        <v>L</v>
      </c>
    </row>
    <row r="32" spans="1:14" x14ac:dyDescent="0.25">
      <c r="A32" t="s">
        <v>60</v>
      </c>
      <c r="B32" t="s">
        <v>343</v>
      </c>
      <c r="C32" t="s">
        <v>199</v>
      </c>
      <c r="E32" s="1" t="str">
        <f t="shared" si="1"/>
        <v>Home</v>
      </c>
      <c r="F32" s="3">
        <f t="shared" si="2"/>
        <v>3</v>
      </c>
      <c r="G32" s="3">
        <f t="shared" si="3"/>
        <v>7</v>
      </c>
      <c r="H32" s="3">
        <f t="shared" si="0"/>
        <v>10</v>
      </c>
      <c r="I32" s="3" t="str">
        <f t="shared" si="4"/>
        <v>L</v>
      </c>
    </row>
    <row r="33" spans="1:9" x14ac:dyDescent="0.25">
      <c r="A33" t="s">
        <v>62</v>
      </c>
      <c r="B33" t="s">
        <v>343</v>
      </c>
      <c r="C33" t="s">
        <v>379</v>
      </c>
      <c r="E33" s="1" t="str">
        <f t="shared" si="1"/>
        <v>Home</v>
      </c>
      <c r="F33" s="3">
        <f t="shared" si="2"/>
        <v>7</v>
      </c>
      <c r="G33" s="3">
        <f t="shared" si="3"/>
        <v>12</v>
      </c>
      <c r="H33" s="3">
        <f t="shared" si="0"/>
        <v>19</v>
      </c>
      <c r="I33" s="3" t="str">
        <f t="shared" si="4"/>
        <v>L</v>
      </c>
    </row>
    <row r="34" spans="1:9" x14ac:dyDescent="0.25">
      <c r="A34" t="s">
        <v>64</v>
      </c>
      <c r="B34" t="s">
        <v>343</v>
      </c>
      <c r="C34" t="s">
        <v>35</v>
      </c>
      <c r="E34" s="1" t="str">
        <f t="shared" si="1"/>
        <v>Home</v>
      </c>
      <c r="F34" s="3">
        <f t="shared" si="2"/>
        <v>4</v>
      </c>
      <c r="G34" s="3">
        <f t="shared" si="3"/>
        <v>1</v>
      </c>
      <c r="H34" s="3">
        <f t="shared" si="0"/>
        <v>5</v>
      </c>
      <c r="I34" s="3" t="str">
        <f t="shared" si="4"/>
        <v>W</v>
      </c>
    </row>
    <row r="35" spans="1:9" x14ac:dyDescent="0.25">
      <c r="A35" t="s">
        <v>66</v>
      </c>
      <c r="B35" t="s">
        <v>17</v>
      </c>
      <c r="C35" t="s">
        <v>276</v>
      </c>
      <c r="E35" s="1" t="str">
        <f t="shared" si="1"/>
        <v>Away</v>
      </c>
      <c r="F35" s="3">
        <f t="shared" si="2"/>
        <v>2</v>
      </c>
      <c r="G35" s="3">
        <f t="shared" si="3"/>
        <v>4</v>
      </c>
      <c r="H35" s="3">
        <f t="shared" si="0"/>
        <v>6</v>
      </c>
      <c r="I35" s="3" t="str">
        <f t="shared" si="4"/>
        <v>L</v>
      </c>
    </row>
    <row r="36" spans="1:9" x14ac:dyDescent="0.25">
      <c r="A36" t="s">
        <v>67</v>
      </c>
      <c r="B36" t="s">
        <v>17</v>
      </c>
      <c r="C36" t="s">
        <v>240</v>
      </c>
      <c r="E36" s="1" t="str">
        <f t="shared" si="1"/>
        <v>Away</v>
      </c>
      <c r="F36" s="3">
        <f t="shared" si="2"/>
        <v>1</v>
      </c>
      <c r="G36" s="3">
        <f t="shared" si="3"/>
        <v>3</v>
      </c>
      <c r="H36" s="3">
        <f t="shared" si="0"/>
        <v>4</v>
      </c>
      <c r="I36" s="3" t="str">
        <f t="shared" si="4"/>
        <v>L</v>
      </c>
    </row>
    <row r="37" spans="1:9" x14ac:dyDescent="0.25">
      <c r="A37" t="s">
        <v>68</v>
      </c>
      <c r="B37" t="s">
        <v>332</v>
      </c>
      <c r="C37" t="s">
        <v>128</v>
      </c>
      <c r="E37" s="1" t="str">
        <f t="shared" si="1"/>
        <v>Away</v>
      </c>
      <c r="F37" s="3">
        <f t="shared" si="2"/>
        <v>6</v>
      </c>
      <c r="G37" s="3">
        <f t="shared" si="3"/>
        <v>5</v>
      </c>
      <c r="H37" s="3">
        <f t="shared" si="0"/>
        <v>11</v>
      </c>
      <c r="I37" s="3" t="str">
        <f t="shared" si="4"/>
        <v>W</v>
      </c>
    </row>
    <row r="38" spans="1:9" x14ac:dyDescent="0.25">
      <c r="A38" t="s">
        <v>71</v>
      </c>
      <c r="B38" t="s">
        <v>332</v>
      </c>
      <c r="C38" t="s">
        <v>322</v>
      </c>
      <c r="E38" s="1" t="str">
        <f t="shared" si="1"/>
        <v>Away</v>
      </c>
      <c r="F38" s="3">
        <f t="shared" si="2"/>
        <v>6</v>
      </c>
      <c r="G38" s="3">
        <f t="shared" si="3"/>
        <v>7</v>
      </c>
      <c r="H38" s="3">
        <f t="shared" si="0"/>
        <v>13</v>
      </c>
      <c r="I38" s="3" t="str">
        <f t="shared" si="4"/>
        <v>L</v>
      </c>
    </row>
    <row r="39" spans="1:9" x14ac:dyDescent="0.25">
      <c r="A39" t="s">
        <v>73</v>
      </c>
      <c r="B39" t="s">
        <v>30</v>
      </c>
      <c r="C39" t="s">
        <v>407</v>
      </c>
      <c r="E39" s="1" t="str">
        <f t="shared" si="1"/>
        <v>Away</v>
      </c>
      <c r="F39" s="3">
        <f t="shared" si="2"/>
        <v>10</v>
      </c>
      <c r="G39" s="3">
        <f t="shared" si="3"/>
        <v>11</v>
      </c>
      <c r="H39" s="3">
        <f t="shared" si="0"/>
        <v>21</v>
      </c>
      <c r="I39" s="3" t="str">
        <f t="shared" si="4"/>
        <v>L</v>
      </c>
    </row>
    <row r="40" spans="1:9" x14ac:dyDescent="0.25">
      <c r="A40" t="s">
        <v>209</v>
      </c>
      <c r="B40" t="s">
        <v>30</v>
      </c>
      <c r="C40" t="s">
        <v>83</v>
      </c>
      <c r="E40" s="1" t="str">
        <f t="shared" si="1"/>
        <v>Away</v>
      </c>
      <c r="F40" s="3">
        <f t="shared" si="2"/>
        <v>4</v>
      </c>
      <c r="G40" s="3">
        <f t="shared" si="3"/>
        <v>7</v>
      </c>
      <c r="H40" s="3">
        <f t="shared" si="0"/>
        <v>11</v>
      </c>
      <c r="I40" s="3" t="str">
        <f t="shared" si="4"/>
        <v>L</v>
      </c>
    </row>
    <row r="41" spans="1:9" x14ac:dyDescent="0.25">
      <c r="A41" t="s">
        <v>76</v>
      </c>
      <c r="B41" t="s">
        <v>343</v>
      </c>
      <c r="C41" t="s">
        <v>372</v>
      </c>
      <c r="E41" s="1" t="str">
        <f t="shared" si="1"/>
        <v>Home</v>
      </c>
      <c r="F41" s="3">
        <f t="shared" si="2"/>
        <v>9</v>
      </c>
      <c r="G41" s="3">
        <f t="shared" si="3"/>
        <v>1</v>
      </c>
      <c r="H41" s="3">
        <f t="shared" si="0"/>
        <v>10</v>
      </c>
      <c r="I41" s="3" t="str">
        <f t="shared" si="4"/>
        <v>W</v>
      </c>
    </row>
    <row r="42" spans="1:9" x14ac:dyDescent="0.25">
      <c r="A42" t="s">
        <v>78</v>
      </c>
      <c r="B42" t="s">
        <v>343</v>
      </c>
      <c r="C42" t="s">
        <v>339</v>
      </c>
      <c r="E42" s="1" t="str">
        <f t="shared" si="1"/>
        <v>Home</v>
      </c>
      <c r="F42" s="3">
        <f t="shared" si="2"/>
        <v>15</v>
      </c>
      <c r="G42" s="3">
        <f t="shared" si="3"/>
        <v>8</v>
      </c>
      <c r="H42" s="3">
        <f t="shared" si="0"/>
        <v>23</v>
      </c>
      <c r="I42" s="3" t="str">
        <f t="shared" si="4"/>
        <v>W</v>
      </c>
    </row>
    <row r="43" spans="1:9" x14ac:dyDescent="0.25">
      <c r="A43" t="s">
        <v>80</v>
      </c>
      <c r="B43" t="s">
        <v>74</v>
      </c>
      <c r="C43" t="s">
        <v>128</v>
      </c>
      <c r="E43" s="1" t="str">
        <f t="shared" si="1"/>
        <v>Home</v>
      </c>
      <c r="F43" s="3">
        <f t="shared" si="2"/>
        <v>6</v>
      </c>
      <c r="G43" s="3">
        <f t="shared" si="3"/>
        <v>5</v>
      </c>
      <c r="H43" s="3">
        <f t="shared" si="0"/>
        <v>11</v>
      </c>
      <c r="I43" s="3" t="str">
        <f t="shared" si="4"/>
        <v>W</v>
      </c>
    </row>
    <row r="44" spans="1:9" x14ac:dyDescent="0.25">
      <c r="A44" t="s">
        <v>81</v>
      </c>
      <c r="B44" t="s">
        <v>74</v>
      </c>
      <c r="C44" t="s">
        <v>374</v>
      </c>
      <c r="E44" s="1" t="str">
        <f t="shared" si="1"/>
        <v>Home</v>
      </c>
      <c r="F44" s="3">
        <f t="shared" si="2"/>
        <v>6</v>
      </c>
      <c r="G44" s="3">
        <f t="shared" si="3"/>
        <v>9</v>
      </c>
      <c r="H44" s="3">
        <f t="shared" si="0"/>
        <v>15</v>
      </c>
      <c r="I44" s="3" t="str">
        <f t="shared" si="4"/>
        <v>L</v>
      </c>
    </row>
    <row r="45" spans="1:9" x14ac:dyDescent="0.25">
      <c r="A45" t="s">
        <v>82</v>
      </c>
      <c r="B45" t="s">
        <v>23</v>
      </c>
      <c r="C45" t="s">
        <v>90</v>
      </c>
      <c r="E45" s="1" t="str">
        <f t="shared" si="1"/>
        <v>Home</v>
      </c>
      <c r="F45" s="3">
        <f t="shared" si="2"/>
        <v>0</v>
      </c>
      <c r="G45" s="3">
        <f t="shared" si="3"/>
        <v>8</v>
      </c>
      <c r="H45" s="3">
        <f t="shared" si="0"/>
        <v>8</v>
      </c>
      <c r="I45" s="3" t="str">
        <f t="shared" si="4"/>
        <v>L</v>
      </c>
    </row>
    <row r="46" spans="1:9" x14ac:dyDescent="0.25">
      <c r="A46" t="s">
        <v>84</v>
      </c>
      <c r="B46" t="s">
        <v>23</v>
      </c>
      <c r="C46" t="s">
        <v>408</v>
      </c>
      <c r="E46" s="1" t="str">
        <f t="shared" si="1"/>
        <v>Home</v>
      </c>
      <c r="F46" s="3">
        <f t="shared" si="2"/>
        <v>9</v>
      </c>
      <c r="G46" s="3">
        <f t="shared" si="3"/>
        <v>22</v>
      </c>
      <c r="H46" s="3">
        <f t="shared" si="0"/>
        <v>31</v>
      </c>
      <c r="I46" s="3" t="str">
        <f t="shared" si="4"/>
        <v>L</v>
      </c>
    </row>
    <row r="47" spans="1:9" x14ac:dyDescent="0.25">
      <c r="A47" t="s">
        <v>86</v>
      </c>
      <c r="B47" t="s">
        <v>17</v>
      </c>
      <c r="C47" t="s">
        <v>195</v>
      </c>
      <c r="E47" s="1" t="str">
        <f t="shared" si="1"/>
        <v>Away</v>
      </c>
      <c r="F47" s="3">
        <f t="shared" si="2"/>
        <v>8</v>
      </c>
      <c r="G47" s="3">
        <f t="shared" si="3"/>
        <v>1</v>
      </c>
      <c r="H47" s="3">
        <f t="shared" si="0"/>
        <v>9</v>
      </c>
      <c r="I47" s="3" t="str">
        <f t="shared" si="4"/>
        <v>W</v>
      </c>
    </row>
    <row r="48" spans="1:9" x14ac:dyDescent="0.25">
      <c r="A48" t="s">
        <v>88</v>
      </c>
      <c r="B48" t="s">
        <v>17</v>
      </c>
      <c r="C48" t="s">
        <v>48</v>
      </c>
      <c r="E48" s="1" t="str">
        <f t="shared" si="1"/>
        <v>Away</v>
      </c>
      <c r="F48" s="3">
        <f t="shared" si="2"/>
        <v>4</v>
      </c>
      <c r="G48" s="3">
        <f t="shared" si="3"/>
        <v>5</v>
      </c>
      <c r="H48" s="3">
        <f t="shared" si="0"/>
        <v>9</v>
      </c>
      <c r="I48" s="3" t="str">
        <f t="shared" si="4"/>
        <v>L</v>
      </c>
    </row>
    <row r="49" spans="1:9" x14ac:dyDescent="0.25">
      <c r="A49" t="s">
        <v>88</v>
      </c>
      <c r="B49" t="s">
        <v>17</v>
      </c>
      <c r="C49" t="s">
        <v>330</v>
      </c>
      <c r="E49" s="1" t="str">
        <f t="shared" si="1"/>
        <v>Away</v>
      </c>
      <c r="F49" s="3">
        <f t="shared" si="2"/>
        <v>1</v>
      </c>
      <c r="G49" s="3">
        <f t="shared" si="3"/>
        <v>11</v>
      </c>
      <c r="H49" s="3">
        <f t="shared" si="0"/>
        <v>12</v>
      </c>
      <c r="I49" s="3" t="str">
        <f t="shared" si="4"/>
        <v>L</v>
      </c>
    </row>
    <row r="50" spans="1:9" x14ac:dyDescent="0.25">
      <c r="A50" t="s">
        <v>91</v>
      </c>
      <c r="B50" t="s">
        <v>17</v>
      </c>
      <c r="C50" t="s">
        <v>384</v>
      </c>
      <c r="E50" s="1" t="str">
        <f t="shared" si="1"/>
        <v>Away</v>
      </c>
      <c r="F50" s="3">
        <f t="shared" si="2"/>
        <v>7</v>
      </c>
      <c r="G50" s="3">
        <f t="shared" si="3"/>
        <v>5</v>
      </c>
      <c r="H50" s="3">
        <f t="shared" si="0"/>
        <v>12</v>
      </c>
      <c r="I50" s="3" t="str">
        <f t="shared" si="4"/>
        <v>W</v>
      </c>
    </row>
    <row r="51" spans="1:9" x14ac:dyDescent="0.25">
      <c r="A51" t="s">
        <v>93</v>
      </c>
      <c r="B51" t="s">
        <v>69</v>
      </c>
      <c r="C51" t="s">
        <v>409</v>
      </c>
      <c r="E51" s="1" t="str">
        <f t="shared" si="1"/>
        <v>Home</v>
      </c>
      <c r="F51" s="3">
        <f t="shared" si="2"/>
        <v>9</v>
      </c>
      <c r="G51" s="3">
        <f t="shared" si="3"/>
        <v>0</v>
      </c>
      <c r="H51" s="3">
        <f t="shared" si="0"/>
        <v>9</v>
      </c>
      <c r="I51" s="3" t="str">
        <f t="shared" si="4"/>
        <v>W</v>
      </c>
    </row>
    <row r="52" spans="1:9" x14ac:dyDescent="0.25">
      <c r="A52" t="s">
        <v>96</v>
      </c>
      <c r="B52" t="s">
        <v>69</v>
      </c>
      <c r="C52" t="s">
        <v>368</v>
      </c>
      <c r="E52" s="1" t="str">
        <f t="shared" si="1"/>
        <v>Home</v>
      </c>
      <c r="F52" s="3">
        <f t="shared" si="2"/>
        <v>7</v>
      </c>
      <c r="G52" s="3">
        <f t="shared" si="3"/>
        <v>11</v>
      </c>
      <c r="H52" s="3">
        <f t="shared" si="0"/>
        <v>18</v>
      </c>
      <c r="I52" s="3" t="str">
        <f t="shared" si="4"/>
        <v>L</v>
      </c>
    </row>
    <row r="53" spans="1:9" x14ac:dyDescent="0.25">
      <c r="A53" t="s">
        <v>97</v>
      </c>
      <c r="B53" t="s">
        <v>52</v>
      </c>
      <c r="C53" t="s">
        <v>296</v>
      </c>
      <c r="E53" s="1" t="str">
        <f t="shared" si="1"/>
        <v>Home</v>
      </c>
      <c r="F53" s="3">
        <f t="shared" si="2"/>
        <v>3</v>
      </c>
      <c r="G53" s="3">
        <f t="shared" si="3"/>
        <v>10</v>
      </c>
      <c r="H53" s="3">
        <f t="shared" si="0"/>
        <v>13</v>
      </c>
      <c r="I53" s="3" t="str">
        <f t="shared" si="4"/>
        <v>L</v>
      </c>
    </row>
    <row r="54" spans="1:9" x14ac:dyDescent="0.25">
      <c r="A54" t="s">
        <v>100</v>
      </c>
      <c r="B54" t="s">
        <v>52</v>
      </c>
      <c r="C54" t="s">
        <v>130</v>
      </c>
      <c r="E54" s="1" t="str">
        <f t="shared" si="1"/>
        <v>Home</v>
      </c>
      <c r="F54" s="3">
        <f t="shared" si="2"/>
        <v>9</v>
      </c>
      <c r="G54" s="3">
        <f t="shared" si="3"/>
        <v>2</v>
      </c>
      <c r="H54" s="3">
        <f t="shared" si="0"/>
        <v>11</v>
      </c>
      <c r="I54" s="3" t="str">
        <f t="shared" si="4"/>
        <v>W</v>
      </c>
    </row>
    <row r="55" spans="1:9" x14ac:dyDescent="0.25">
      <c r="A55" t="s">
        <v>215</v>
      </c>
      <c r="B55" t="s">
        <v>40</v>
      </c>
      <c r="C55" t="s">
        <v>230</v>
      </c>
      <c r="E55" s="1" t="str">
        <f t="shared" si="1"/>
        <v>Away</v>
      </c>
      <c r="F55" s="3">
        <f t="shared" si="2"/>
        <v>4</v>
      </c>
      <c r="G55" s="3">
        <f t="shared" si="3"/>
        <v>9</v>
      </c>
      <c r="H55" s="3">
        <f t="shared" si="0"/>
        <v>13</v>
      </c>
      <c r="I55" s="3" t="str">
        <f t="shared" si="4"/>
        <v>L</v>
      </c>
    </row>
    <row r="56" spans="1:9" x14ac:dyDescent="0.25">
      <c r="A56" t="s">
        <v>102</v>
      </c>
      <c r="B56" t="s">
        <v>40</v>
      </c>
      <c r="C56" t="s">
        <v>125</v>
      </c>
      <c r="E56" s="1" t="str">
        <f t="shared" si="1"/>
        <v>Away</v>
      </c>
      <c r="F56" s="3">
        <f t="shared" si="2"/>
        <v>0</v>
      </c>
      <c r="G56" s="3">
        <f t="shared" si="3"/>
        <v>4</v>
      </c>
      <c r="H56" s="3">
        <f t="shared" si="0"/>
        <v>4</v>
      </c>
      <c r="I56" s="3" t="str">
        <f t="shared" si="4"/>
        <v>L</v>
      </c>
    </row>
    <row r="57" spans="1:9" x14ac:dyDescent="0.25">
      <c r="A57" t="s">
        <v>105</v>
      </c>
      <c r="B57" t="s">
        <v>10</v>
      </c>
      <c r="C57" t="s">
        <v>89</v>
      </c>
      <c r="E57" s="1" t="str">
        <f t="shared" si="1"/>
        <v>Away</v>
      </c>
      <c r="F57" s="3">
        <f t="shared" si="2"/>
        <v>1</v>
      </c>
      <c r="G57" s="3">
        <f t="shared" si="3"/>
        <v>6</v>
      </c>
      <c r="H57" s="3">
        <f t="shared" si="0"/>
        <v>7</v>
      </c>
      <c r="I57" s="3" t="str">
        <f t="shared" si="4"/>
        <v>L</v>
      </c>
    </row>
    <row r="58" spans="1:9" x14ac:dyDescent="0.25">
      <c r="A58" t="s">
        <v>107</v>
      </c>
      <c r="B58" t="s">
        <v>10</v>
      </c>
      <c r="C58" t="s">
        <v>99</v>
      </c>
      <c r="E58" s="1" t="str">
        <f t="shared" si="1"/>
        <v>Away</v>
      </c>
      <c r="F58" s="3">
        <f t="shared" si="2"/>
        <v>4</v>
      </c>
      <c r="G58" s="3">
        <f t="shared" si="3"/>
        <v>12</v>
      </c>
      <c r="H58" s="3">
        <f t="shared" si="0"/>
        <v>16</v>
      </c>
      <c r="I58" s="3" t="str">
        <f t="shared" si="4"/>
        <v>L</v>
      </c>
    </row>
    <row r="59" spans="1:9" x14ac:dyDescent="0.25">
      <c r="A59" t="s">
        <v>108</v>
      </c>
      <c r="B59" t="s">
        <v>5</v>
      </c>
      <c r="C59" t="s">
        <v>244</v>
      </c>
      <c r="E59" s="1" t="str">
        <f t="shared" si="1"/>
        <v>Home</v>
      </c>
      <c r="F59" s="3">
        <f t="shared" si="2"/>
        <v>6</v>
      </c>
      <c r="G59" s="3">
        <f t="shared" si="3"/>
        <v>3</v>
      </c>
      <c r="H59" s="3">
        <f t="shared" si="0"/>
        <v>9</v>
      </c>
      <c r="I59" s="3" t="str">
        <f t="shared" si="4"/>
        <v>W</v>
      </c>
    </row>
    <row r="60" spans="1:9" x14ac:dyDescent="0.25">
      <c r="A60" t="s">
        <v>110</v>
      </c>
      <c r="B60" t="s">
        <v>5</v>
      </c>
      <c r="C60" t="s">
        <v>38</v>
      </c>
      <c r="E60" s="1" t="str">
        <f t="shared" si="1"/>
        <v>Home</v>
      </c>
      <c r="F60" s="3">
        <f t="shared" si="2"/>
        <v>3</v>
      </c>
      <c r="G60" s="3">
        <f t="shared" si="3"/>
        <v>5</v>
      </c>
      <c r="H60" s="3">
        <f t="shared" si="0"/>
        <v>8</v>
      </c>
      <c r="I60" s="3" t="str">
        <f t="shared" si="4"/>
        <v>L</v>
      </c>
    </row>
    <row r="61" spans="1:9" x14ac:dyDescent="0.25">
      <c r="A61" t="s">
        <v>111</v>
      </c>
      <c r="B61" t="s">
        <v>341</v>
      </c>
      <c r="C61" t="s">
        <v>254</v>
      </c>
      <c r="E61" s="1" t="str">
        <f t="shared" si="1"/>
        <v>Away</v>
      </c>
      <c r="F61" s="3">
        <f t="shared" si="2"/>
        <v>5</v>
      </c>
      <c r="G61" s="3">
        <f t="shared" si="3"/>
        <v>4</v>
      </c>
      <c r="H61" s="3">
        <f t="shared" si="0"/>
        <v>9</v>
      </c>
      <c r="I61" s="3" t="str">
        <f t="shared" si="4"/>
        <v>W</v>
      </c>
    </row>
    <row r="62" spans="1:9" x14ac:dyDescent="0.25">
      <c r="A62" t="s">
        <v>112</v>
      </c>
      <c r="B62" t="s">
        <v>341</v>
      </c>
      <c r="C62" t="s">
        <v>327</v>
      </c>
      <c r="E62" s="1" t="str">
        <f t="shared" si="1"/>
        <v>Away</v>
      </c>
      <c r="F62" s="3">
        <f t="shared" si="2"/>
        <v>9</v>
      </c>
      <c r="G62" s="3">
        <f t="shared" si="3"/>
        <v>7</v>
      </c>
      <c r="H62" s="3">
        <f t="shared" si="0"/>
        <v>16</v>
      </c>
      <c r="I62" s="3" t="str">
        <f t="shared" si="4"/>
        <v>W</v>
      </c>
    </row>
    <row r="63" spans="1:9" x14ac:dyDescent="0.25">
      <c r="A63" t="s">
        <v>114</v>
      </c>
      <c r="B63" t="s">
        <v>23</v>
      </c>
      <c r="C63" t="s">
        <v>226</v>
      </c>
      <c r="E63" s="1" t="str">
        <f t="shared" si="1"/>
        <v>Home</v>
      </c>
      <c r="F63" s="3">
        <f t="shared" si="2"/>
        <v>3</v>
      </c>
      <c r="G63" s="3">
        <f t="shared" si="3"/>
        <v>2</v>
      </c>
      <c r="H63" s="3">
        <f t="shared" si="0"/>
        <v>5</v>
      </c>
      <c r="I63" s="3" t="str">
        <f t="shared" si="4"/>
        <v>W</v>
      </c>
    </row>
    <row r="64" spans="1:9" x14ac:dyDescent="0.25">
      <c r="A64" t="s">
        <v>117</v>
      </c>
      <c r="B64" t="s">
        <v>23</v>
      </c>
      <c r="C64" t="s">
        <v>410</v>
      </c>
      <c r="E64" s="1" t="str">
        <f t="shared" si="1"/>
        <v>Home</v>
      </c>
      <c r="F64" s="3">
        <f t="shared" si="2"/>
        <v>12</v>
      </c>
      <c r="G64" s="3">
        <f t="shared" si="3"/>
        <v>22</v>
      </c>
      <c r="H64" s="3">
        <f t="shared" si="0"/>
        <v>34</v>
      </c>
      <c r="I64" s="3" t="str">
        <f t="shared" si="4"/>
        <v>L</v>
      </c>
    </row>
    <row r="65" spans="1:10" x14ac:dyDescent="0.25">
      <c r="A65" t="s">
        <v>119</v>
      </c>
      <c r="B65" t="s">
        <v>315</v>
      </c>
      <c r="C65" t="s">
        <v>226</v>
      </c>
      <c r="E65" s="1" t="str">
        <f t="shared" si="1"/>
        <v>Away</v>
      </c>
      <c r="F65" s="3">
        <f t="shared" si="2"/>
        <v>3</v>
      </c>
      <c r="G65" s="3">
        <f t="shared" si="3"/>
        <v>2</v>
      </c>
      <c r="H65" s="3">
        <f t="shared" si="0"/>
        <v>5</v>
      </c>
      <c r="I65" s="3" t="str">
        <f t="shared" si="4"/>
        <v>W</v>
      </c>
    </row>
    <row r="66" spans="1:10" x14ac:dyDescent="0.25">
      <c r="A66" t="s">
        <v>122</v>
      </c>
      <c r="B66" t="s">
        <v>314</v>
      </c>
      <c r="C66" t="s">
        <v>276</v>
      </c>
      <c r="E66" s="1" t="str">
        <f t="shared" si="1"/>
        <v>Home</v>
      </c>
      <c r="F66" s="3">
        <f t="shared" si="2"/>
        <v>2</v>
      </c>
      <c r="G66" s="3">
        <f t="shared" si="3"/>
        <v>4</v>
      </c>
      <c r="H66" s="3">
        <f t="shared" si="0"/>
        <v>6</v>
      </c>
      <c r="I66" s="3" t="str">
        <f t="shared" si="4"/>
        <v>L</v>
      </c>
    </row>
    <row r="67" spans="1:10" x14ac:dyDescent="0.25">
      <c r="A67" t="s">
        <v>218</v>
      </c>
      <c r="B67" t="s">
        <v>40</v>
      </c>
      <c r="C67" t="s">
        <v>77</v>
      </c>
      <c r="E67" s="1" t="str">
        <f t="shared" si="1"/>
        <v>Away</v>
      </c>
      <c r="F67" s="3">
        <f t="shared" si="2"/>
        <v>1</v>
      </c>
      <c r="G67" s="3">
        <f t="shared" si="3"/>
        <v>9</v>
      </c>
      <c r="H67" s="3">
        <f t="shared" ref="H67:H73" si="6">F67+G67</f>
        <v>10</v>
      </c>
      <c r="I67" s="3" t="str">
        <f t="shared" si="4"/>
        <v>L</v>
      </c>
    </row>
    <row r="68" spans="1:10" x14ac:dyDescent="0.25">
      <c r="A68" t="s">
        <v>123</v>
      </c>
      <c r="B68" t="s">
        <v>40</v>
      </c>
      <c r="C68" t="s">
        <v>197</v>
      </c>
      <c r="E68" s="1" t="str">
        <f t="shared" ref="E68:E73" si="7">IF(LEFT(B68,1)="@","Away","Home")</f>
        <v>Away</v>
      </c>
      <c r="F68" s="3">
        <f t="shared" ref="F68:F73" si="8">_xlfn.NUMBERVALUE(MID(LEFT(C68,FIND("-",C68)-1),FIND(" ",C68)+1,LEN(C68)))</f>
        <v>0</v>
      </c>
      <c r="G68" s="3">
        <f t="shared" ref="G68:G73" si="9">_xlfn.NUMBERVALUE(RIGHT(C68,LEN(C68)-FIND("-",C68)))</f>
        <v>1</v>
      </c>
      <c r="H68" s="3">
        <f t="shared" si="6"/>
        <v>1</v>
      </c>
      <c r="I68" s="3" t="str">
        <f t="shared" ref="I68:I74" si="10">LEFT(C68,1)</f>
        <v>L</v>
      </c>
    </row>
    <row r="69" spans="1:10" x14ac:dyDescent="0.25">
      <c r="A69" t="s">
        <v>127</v>
      </c>
      <c r="B69" t="s">
        <v>23</v>
      </c>
      <c r="C69" t="s">
        <v>411</v>
      </c>
      <c r="E69" s="1" t="str">
        <f t="shared" si="7"/>
        <v>Home</v>
      </c>
      <c r="F69" s="3">
        <f t="shared" si="8"/>
        <v>6</v>
      </c>
      <c r="G69" s="3">
        <f t="shared" si="9"/>
        <v>16</v>
      </c>
      <c r="H69" s="3">
        <f t="shared" si="6"/>
        <v>22</v>
      </c>
      <c r="I69" s="3" t="str">
        <f t="shared" si="10"/>
        <v>L</v>
      </c>
    </row>
    <row r="70" spans="1:10" x14ac:dyDescent="0.25">
      <c r="A70" t="s">
        <v>129</v>
      </c>
      <c r="B70" t="s">
        <v>30</v>
      </c>
      <c r="C70" t="s">
        <v>323</v>
      </c>
      <c r="E70" s="1" t="str">
        <f t="shared" si="7"/>
        <v>Away</v>
      </c>
      <c r="F70" s="3">
        <f t="shared" si="8"/>
        <v>7</v>
      </c>
      <c r="G70" s="3">
        <f t="shared" si="9"/>
        <v>6</v>
      </c>
      <c r="H70" s="3">
        <f t="shared" si="6"/>
        <v>13</v>
      </c>
      <c r="I70" s="3" t="str">
        <f t="shared" si="10"/>
        <v>W</v>
      </c>
    </row>
    <row r="71" spans="1:10" x14ac:dyDescent="0.25">
      <c r="A71" t="s">
        <v>131</v>
      </c>
      <c r="B71" t="s">
        <v>30</v>
      </c>
      <c r="C71" t="s">
        <v>44</v>
      </c>
      <c r="E71" s="1" t="str">
        <f t="shared" si="7"/>
        <v>Away</v>
      </c>
      <c r="F71" s="3">
        <f t="shared" si="8"/>
        <v>2</v>
      </c>
      <c r="G71" s="3">
        <f t="shared" si="9"/>
        <v>12</v>
      </c>
      <c r="H71" s="3">
        <f t="shared" si="6"/>
        <v>14</v>
      </c>
      <c r="I71" s="3" t="str">
        <f t="shared" si="10"/>
        <v>L</v>
      </c>
    </row>
    <row r="72" spans="1:10" x14ac:dyDescent="0.25">
      <c r="A72" t="s">
        <v>133</v>
      </c>
      <c r="B72" t="s">
        <v>52</v>
      </c>
      <c r="C72" t="s">
        <v>412</v>
      </c>
      <c r="E72" s="1" t="str">
        <f t="shared" si="7"/>
        <v>Home</v>
      </c>
      <c r="F72" s="3">
        <f t="shared" si="8"/>
        <v>15</v>
      </c>
      <c r="G72" s="3">
        <f t="shared" si="9"/>
        <v>5</v>
      </c>
      <c r="H72" s="3">
        <f t="shared" si="6"/>
        <v>20</v>
      </c>
      <c r="I72" s="3" t="str">
        <f t="shared" si="10"/>
        <v>W</v>
      </c>
    </row>
    <row r="73" spans="1:10" x14ac:dyDescent="0.25">
      <c r="A73" t="s">
        <v>134</v>
      </c>
      <c r="B73" t="s">
        <v>52</v>
      </c>
      <c r="C73" t="s">
        <v>413</v>
      </c>
      <c r="E73" s="1" t="str">
        <f t="shared" si="7"/>
        <v>Home</v>
      </c>
      <c r="F73" s="3">
        <f t="shared" si="8"/>
        <v>4</v>
      </c>
      <c r="G73" s="3">
        <f t="shared" si="9"/>
        <v>16</v>
      </c>
      <c r="H73" s="3">
        <f t="shared" si="6"/>
        <v>20</v>
      </c>
      <c r="I73" s="3" t="str">
        <f t="shared" si="10"/>
        <v>L</v>
      </c>
    </row>
    <row r="74" spans="1:10" x14ac:dyDescent="0.25">
      <c r="E74" s="1"/>
      <c r="F74" s="3"/>
      <c r="G74" s="3"/>
      <c r="H74" s="3"/>
      <c r="I74" s="3" t="str">
        <f t="shared" si="10"/>
        <v/>
      </c>
    </row>
    <row r="75" spans="1:10" x14ac:dyDescent="0.25">
      <c r="A75" t="s">
        <v>1</v>
      </c>
      <c r="B75" t="s">
        <v>2</v>
      </c>
      <c r="C75" t="s">
        <v>469</v>
      </c>
      <c r="D75" t="s">
        <v>135</v>
      </c>
      <c r="E75" t="s">
        <v>136</v>
      </c>
      <c r="F75" t="s">
        <v>137</v>
      </c>
      <c r="G75" t="s">
        <v>138</v>
      </c>
      <c r="H75" t="s">
        <v>3</v>
      </c>
      <c r="I75" t="s">
        <v>494</v>
      </c>
      <c r="J75" t="s">
        <v>495</v>
      </c>
    </row>
    <row r="76" spans="1:10" x14ac:dyDescent="0.25">
      <c r="A76" t="s">
        <v>448</v>
      </c>
      <c r="B76" t="s">
        <v>69</v>
      </c>
      <c r="C76" t="s">
        <v>440</v>
      </c>
      <c r="D76" t="str">
        <f>IF(LEFT(Table16[[#This Row],[Opponent]],1)="@","Away","Home")</f>
        <v>Home</v>
      </c>
      <c r="E76">
        <f>_xlfn.NUMBERVALUE(MID(LEFT(Table16[[#This Row],[Score]],FIND("-",Table16[[#This Row],[Score]])-1),FIND(" ",Table16[[#This Row],[Score]])+1,LEN(Table16[[#This Row],[Score]])))</f>
        <v>19</v>
      </c>
      <c r="F76">
        <f>_xlfn.NUMBERVALUE(RIGHT(Table16[[#This Row],[Score]],LEN(Table16[[#This Row],[Score]])-FIND("-",Table16[[#This Row],[Score]])))</f>
        <v>5</v>
      </c>
      <c r="G76">
        <f t="shared" ref="G76" si="11">E76+F76</f>
        <v>24</v>
      </c>
      <c r="H76" t="str">
        <f>LEFT(Table16[[#This Row],[Score]],1)</f>
        <v>W</v>
      </c>
      <c r="I76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76" s="33">
        <f>VLOOKUP(Table16[[#This Row],[OPP]],Raw!$L$2:$S$23,7,FALSE)-Raw!$U$2</f>
        <v>-3.1019116024166244</v>
      </c>
    </row>
    <row r="77" spans="1:10" x14ac:dyDescent="0.25">
      <c r="A77" t="s">
        <v>449</v>
      </c>
      <c r="B77" t="s">
        <v>69</v>
      </c>
      <c r="C77" t="s">
        <v>94</v>
      </c>
      <c r="D77" t="str">
        <f>IF(LEFT(Table16[[#This Row],[Opponent]],1)="@","Away","Home")</f>
        <v>Home</v>
      </c>
      <c r="E77">
        <f>_xlfn.NUMBERVALUE(MID(LEFT(Table16[[#This Row],[Score]],FIND("-",Table16[[#This Row],[Score]])-1),FIND(" ",Table16[[#This Row],[Score]])+1,LEN(Table16[[#This Row],[Score]])))</f>
        <v>4</v>
      </c>
      <c r="F77">
        <f>_xlfn.NUMBERVALUE(RIGHT(Table16[[#This Row],[Score]],LEN(Table16[[#This Row],[Score]])-FIND("-",Table16[[#This Row],[Score]])))</f>
        <v>8</v>
      </c>
      <c r="G77">
        <f t="shared" ref="G77:G98" si="12">E77+F77</f>
        <v>12</v>
      </c>
      <c r="H77" t="str">
        <f>LEFT(Table16[[#This Row],[Score]],1)</f>
        <v>L</v>
      </c>
      <c r="I77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77" s="33">
        <f>VLOOKUP(Table16[[#This Row],[OPP]],Raw!$L$2:$S$23,7,FALSE)-Raw!$U$2</f>
        <v>-3.1019116024166244</v>
      </c>
    </row>
    <row r="78" spans="1:10" x14ac:dyDescent="0.25">
      <c r="A78" t="s">
        <v>450</v>
      </c>
      <c r="B78" t="s">
        <v>23</v>
      </c>
      <c r="C78" t="s">
        <v>264</v>
      </c>
      <c r="D78" t="str">
        <f>IF(LEFT(Table16[[#This Row],[Opponent]],1)="@","Away","Home")</f>
        <v>Home</v>
      </c>
      <c r="E78">
        <f>_xlfn.NUMBERVALUE(MID(LEFT(Table16[[#This Row],[Score]],FIND("-",Table16[[#This Row],[Score]])-1),FIND(" ",Table16[[#This Row],[Score]])+1,LEN(Table16[[#This Row],[Score]])))</f>
        <v>6</v>
      </c>
      <c r="F78">
        <f>_xlfn.NUMBERVALUE(RIGHT(Table16[[#This Row],[Score]],LEN(Table16[[#This Row],[Score]])-FIND("-",Table16[[#This Row],[Score]])))</f>
        <v>2</v>
      </c>
      <c r="G78">
        <f t="shared" si="12"/>
        <v>8</v>
      </c>
      <c r="H78" t="str">
        <f>LEFT(Table16[[#This Row],[Score]],1)</f>
        <v>W</v>
      </c>
      <c r="I78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78" s="33">
        <f>VLOOKUP(Table16[[#This Row],[OPP]],Raw!$L$2:$S$23,7,FALSE)-Raw!$U$2</f>
        <v>1.4411243913235945</v>
      </c>
    </row>
    <row r="79" spans="1:10" x14ac:dyDescent="0.25">
      <c r="A79" t="s">
        <v>451</v>
      </c>
      <c r="B79" t="s">
        <v>23</v>
      </c>
      <c r="C79" t="s">
        <v>279</v>
      </c>
      <c r="D79" t="str">
        <f>IF(LEFT(Table16[[#This Row],[Opponent]],1)="@","Away","Home")</f>
        <v>Home</v>
      </c>
      <c r="E79">
        <f>_xlfn.NUMBERVALUE(MID(LEFT(Table16[[#This Row],[Score]],FIND("-",Table16[[#This Row],[Score]])-1),FIND(" ",Table16[[#This Row],[Score]])+1,LEN(Table16[[#This Row],[Score]])))</f>
        <v>7</v>
      </c>
      <c r="F79">
        <f>_xlfn.NUMBERVALUE(RIGHT(Table16[[#This Row],[Score]],LEN(Table16[[#This Row],[Score]])-FIND("-",Table16[[#This Row],[Score]])))</f>
        <v>2</v>
      </c>
      <c r="G79">
        <f t="shared" si="12"/>
        <v>9</v>
      </c>
      <c r="H79" t="str">
        <f>LEFT(Table16[[#This Row],[Score]],1)</f>
        <v>W</v>
      </c>
      <c r="I79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79" s="33">
        <f>VLOOKUP(Table16[[#This Row],[OPP]],Raw!$L$2:$S$23,7,FALSE)-Raw!$U$2</f>
        <v>1.4411243913235945</v>
      </c>
    </row>
    <row r="80" spans="1:10" x14ac:dyDescent="0.25">
      <c r="A80" t="s">
        <v>453</v>
      </c>
      <c r="B80" t="s">
        <v>17</v>
      </c>
      <c r="C80" t="s">
        <v>18</v>
      </c>
      <c r="D80" t="str">
        <f>IF(LEFT(Table16[[#This Row],[Opponent]],1)="@","Away","Home")</f>
        <v>Away</v>
      </c>
      <c r="E80">
        <f>_xlfn.NUMBERVALUE(MID(LEFT(Table16[[#This Row],[Score]],FIND("-",Table16[[#This Row],[Score]])-1),FIND(" ",Table16[[#This Row],[Score]])+1,LEN(Table16[[#This Row],[Score]])))</f>
        <v>8</v>
      </c>
      <c r="F80">
        <f>_xlfn.NUMBERVALUE(RIGHT(Table16[[#This Row],[Score]],LEN(Table16[[#This Row],[Score]])-FIND("-",Table16[[#This Row],[Score]])))</f>
        <v>9</v>
      </c>
      <c r="G80">
        <f t="shared" si="12"/>
        <v>17</v>
      </c>
      <c r="H80" t="str">
        <f>LEFT(Table16[[#This Row],[Score]],1)</f>
        <v>L</v>
      </c>
      <c r="I80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80" s="33">
        <f>VLOOKUP(Table16[[#This Row],[OPP]],Raw!$L$2:$S$23,7,FALSE)-Raw!$U$2</f>
        <v>0.53189121448478383</v>
      </c>
    </row>
    <row r="81" spans="1:10" x14ac:dyDescent="0.25">
      <c r="A81" t="s">
        <v>454</v>
      </c>
      <c r="B81" t="s">
        <v>17</v>
      </c>
      <c r="C81" t="s">
        <v>18</v>
      </c>
      <c r="D81" t="str">
        <f>IF(LEFT(Table16[[#This Row],[Opponent]],1)="@","Away","Home")</f>
        <v>Away</v>
      </c>
      <c r="E81">
        <f>_xlfn.NUMBERVALUE(MID(LEFT(Table16[[#This Row],[Score]],FIND("-",Table16[[#This Row],[Score]])-1),FIND(" ",Table16[[#This Row],[Score]])+1,LEN(Table16[[#This Row],[Score]])))</f>
        <v>8</v>
      </c>
      <c r="F81">
        <f>_xlfn.NUMBERVALUE(RIGHT(Table16[[#This Row],[Score]],LEN(Table16[[#This Row],[Score]])-FIND("-",Table16[[#This Row],[Score]])))</f>
        <v>9</v>
      </c>
      <c r="G81">
        <f t="shared" si="12"/>
        <v>17</v>
      </c>
      <c r="H81" t="str">
        <f>LEFT(Table16[[#This Row],[Score]],1)</f>
        <v>L</v>
      </c>
      <c r="I81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81" s="33">
        <f>VLOOKUP(Table16[[#This Row],[OPP]],Raw!$L$2:$S$23,7,FALSE)-Raw!$U$2</f>
        <v>0.53189121448478383</v>
      </c>
    </row>
    <row r="82" spans="1:10" x14ac:dyDescent="0.25">
      <c r="A82" t="s">
        <v>455</v>
      </c>
      <c r="B82" t="s">
        <v>10</v>
      </c>
      <c r="C82" t="s">
        <v>50</v>
      </c>
      <c r="D82" t="str">
        <f>IF(LEFT(Table16[[#This Row],[Opponent]],1)="@","Away","Home")</f>
        <v>Away</v>
      </c>
      <c r="E82">
        <f>_xlfn.NUMBERVALUE(MID(LEFT(Table16[[#This Row],[Score]],FIND("-",Table16[[#This Row],[Score]])-1),FIND(" ",Table16[[#This Row],[Score]])+1,LEN(Table16[[#This Row],[Score]])))</f>
        <v>3</v>
      </c>
      <c r="F82">
        <f>_xlfn.NUMBERVALUE(RIGHT(Table16[[#This Row],[Score]],LEN(Table16[[#This Row],[Score]])-FIND("-",Table16[[#This Row],[Score]])))</f>
        <v>4</v>
      </c>
      <c r="G82">
        <f t="shared" si="12"/>
        <v>7</v>
      </c>
      <c r="H82" t="str">
        <f>LEFT(Table16[[#This Row],[Score]],1)</f>
        <v>L</v>
      </c>
      <c r="I82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82" s="33">
        <f>VLOOKUP(Table16[[#This Row],[OPP]],Raw!$L$2:$S$23,7,FALSE)-Raw!$U$2</f>
        <v>-3.1019116024166244</v>
      </c>
    </row>
    <row r="83" spans="1:10" x14ac:dyDescent="0.25">
      <c r="A83" t="s">
        <v>456</v>
      </c>
      <c r="B83" t="s">
        <v>10</v>
      </c>
      <c r="C83" t="s">
        <v>347</v>
      </c>
      <c r="D83" t="str">
        <f>IF(LEFT(Table16[[#This Row],[Opponent]],1)="@","Away","Home")</f>
        <v>Away</v>
      </c>
      <c r="E83">
        <f>_xlfn.NUMBERVALUE(MID(LEFT(Table16[[#This Row],[Score]],FIND("-",Table16[[#This Row],[Score]])-1),FIND(" ",Table16[[#This Row],[Score]])+1,LEN(Table16[[#This Row],[Score]])))</f>
        <v>9</v>
      </c>
      <c r="F83">
        <f>_xlfn.NUMBERVALUE(RIGHT(Table16[[#This Row],[Score]],LEN(Table16[[#This Row],[Score]])-FIND("-",Table16[[#This Row],[Score]])))</f>
        <v>5</v>
      </c>
      <c r="G83">
        <f t="shared" si="12"/>
        <v>14</v>
      </c>
      <c r="H83" t="str">
        <f>LEFT(Table16[[#This Row],[Score]],1)</f>
        <v>W</v>
      </c>
      <c r="I83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83" s="33">
        <f>VLOOKUP(Table16[[#This Row],[OPP]],Raw!$L$2:$S$23,7,FALSE)-Raw!$U$2</f>
        <v>-3.1019116024166244</v>
      </c>
    </row>
    <row r="84" spans="1:10" x14ac:dyDescent="0.25">
      <c r="A84" t="s">
        <v>470</v>
      </c>
      <c r="B84" t="s">
        <v>30</v>
      </c>
      <c r="C84" t="s">
        <v>55</v>
      </c>
      <c r="D84" t="str">
        <f>IF(LEFT(Table16[[#This Row],[Opponent]],1)="@","Away","Home")</f>
        <v>Away</v>
      </c>
      <c r="E84">
        <f>_xlfn.NUMBERVALUE(MID(LEFT(Table16[[#This Row],[Score]],FIND("-",Table16[[#This Row],[Score]])-1),FIND(" ",Table16[[#This Row],[Score]])+1,LEN(Table16[[#This Row],[Score]])))</f>
        <v>5</v>
      </c>
      <c r="F84">
        <f>_xlfn.NUMBERVALUE(RIGHT(Table16[[#This Row],[Score]],LEN(Table16[[#This Row],[Score]])-FIND("-",Table16[[#This Row],[Score]])))</f>
        <v>7</v>
      </c>
      <c r="G84">
        <f t="shared" si="12"/>
        <v>12</v>
      </c>
      <c r="H84" t="str">
        <f>LEFT(Table16[[#This Row],[Score]],1)</f>
        <v>L</v>
      </c>
      <c r="I84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84" s="33">
        <f>VLOOKUP(Table16[[#This Row],[OPP]],Raw!$L$2:$S$23,7,FALSE)-Raw!$U$2</f>
        <v>-3.3200531208499337E-3</v>
      </c>
    </row>
    <row r="85" spans="1:10" x14ac:dyDescent="0.25">
      <c r="A85" t="s">
        <v>457</v>
      </c>
      <c r="B85" t="s">
        <v>30</v>
      </c>
      <c r="C85" t="s">
        <v>295</v>
      </c>
      <c r="D85" t="str">
        <f>IF(LEFT(Table16[[#This Row],[Opponent]],1)="@","Away","Home")</f>
        <v>Away</v>
      </c>
      <c r="E85">
        <f>_xlfn.NUMBERVALUE(MID(LEFT(Table16[[#This Row],[Score]],FIND("-",Table16[[#This Row],[Score]])-1),FIND(" ",Table16[[#This Row],[Score]])+1,LEN(Table16[[#This Row],[Score]])))</f>
        <v>1</v>
      </c>
      <c r="F85">
        <f>_xlfn.NUMBERVALUE(RIGHT(Table16[[#This Row],[Score]],LEN(Table16[[#This Row],[Score]])-FIND("-",Table16[[#This Row],[Score]])))</f>
        <v>0</v>
      </c>
      <c r="G85">
        <f t="shared" si="12"/>
        <v>1</v>
      </c>
      <c r="H85" t="str">
        <f>LEFT(Table16[[#This Row],[Score]],1)</f>
        <v>W</v>
      </c>
      <c r="I85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85" s="33">
        <f>VLOOKUP(Table16[[#This Row],[OPP]],Raw!$L$2:$S$23,7,FALSE)-Raw!$U$2</f>
        <v>-3.3200531208499337E-3</v>
      </c>
    </row>
    <row r="86" spans="1:10" x14ac:dyDescent="0.25">
      <c r="A86" t="s">
        <v>458</v>
      </c>
      <c r="B86" t="s">
        <v>5</v>
      </c>
      <c r="C86" t="s">
        <v>35</v>
      </c>
      <c r="D86" t="str">
        <f>IF(LEFT(Table16[[#This Row],[Opponent]],1)="@","Away","Home")</f>
        <v>Home</v>
      </c>
      <c r="E86">
        <f>_xlfn.NUMBERVALUE(MID(LEFT(Table16[[#This Row],[Score]],FIND("-",Table16[[#This Row],[Score]])-1),FIND(" ",Table16[[#This Row],[Score]])+1,LEN(Table16[[#This Row],[Score]])))</f>
        <v>4</v>
      </c>
      <c r="F86">
        <f>_xlfn.NUMBERVALUE(RIGHT(Table16[[#This Row],[Score]],LEN(Table16[[#This Row],[Score]])-FIND("-",Table16[[#This Row],[Score]])))</f>
        <v>1</v>
      </c>
      <c r="G86">
        <f t="shared" si="12"/>
        <v>5</v>
      </c>
      <c r="H86" t="str">
        <f>LEFT(Table16[[#This Row],[Score]],1)</f>
        <v>W</v>
      </c>
      <c r="I86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86" s="33">
        <f>VLOOKUP(Table16[[#This Row],[OPP]],Raw!$L$2:$S$23,7,FALSE)-Raw!$U$2</f>
        <v>0.53189121448478383</v>
      </c>
    </row>
    <row r="87" spans="1:10" x14ac:dyDescent="0.25">
      <c r="A87" t="s">
        <v>459</v>
      </c>
      <c r="B87" t="s">
        <v>5</v>
      </c>
      <c r="C87" t="s">
        <v>307</v>
      </c>
      <c r="D87" t="str">
        <f>IF(LEFT(Table16[[#This Row],[Opponent]],1)="@","Away","Home")</f>
        <v>Home</v>
      </c>
      <c r="E87">
        <f>_xlfn.NUMBERVALUE(MID(LEFT(Table16[[#This Row],[Score]],FIND("-",Table16[[#This Row],[Score]])-1),FIND(" ",Table16[[#This Row],[Score]])+1,LEN(Table16[[#This Row],[Score]])))</f>
        <v>16</v>
      </c>
      <c r="F87">
        <f>_xlfn.NUMBERVALUE(RIGHT(Table16[[#This Row],[Score]],LEN(Table16[[#This Row],[Score]])-FIND("-",Table16[[#This Row],[Score]])))</f>
        <v>2</v>
      </c>
      <c r="G87">
        <f t="shared" si="12"/>
        <v>18</v>
      </c>
      <c r="H87" t="str">
        <f>LEFT(Table16[[#This Row],[Score]],1)</f>
        <v>W</v>
      </c>
      <c r="I87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87" s="33">
        <f>VLOOKUP(Table16[[#This Row],[OPP]],Raw!$L$2:$S$23,7,FALSE)-Raw!$U$2</f>
        <v>0.53189121448478383</v>
      </c>
    </row>
    <row r="88" spans="1:10" x14ac:dyDescent="0.25">
      <c r="A88" t="s">
        <v>460</v>
      </c>
      <c r="B88" t="s">
        <v>40</v>
      </c>
      <c r="C88" t="s">
        <v>56</v>
      </c>
      <c r="D88" t="str">
        <f>IF(LEFT(Table16[[#This Row],[Opponent]],1)="@","Away","Home")</f>
        <v>Away</v>
      </c>
      <c r="E88">
        <f>_xlfn.NUMBERVALUE(MID(LEFT(Table16[[#This Row],[Score]],FIND("-",Table16[[#This Row],[Score]])-1),FIND(" ",Table16[[#This Row],[Score]])+1,LEN(Table16[[#This Row],[Score]])))</f>
        <v>1</v>
      </c>
      <c r="F88">
        <f>_xlfn.NUMBERVALUE(RIGHT(Table16[[#This Row],[Score]],LEN(Table16[[#This Row],[Score]])-FIND("-",Table16[[#This Row],[Score]])))</f>
        <v>7</v>
      </c>
      <c r="G88">
        <f t="shared" si="12"/>
        <v>8</v>
      </c>
      <c r="H88" t="str">
        <f>LEFT(Table16[[#This Row],[Score]],1)</f>
        <v>L</v>
      </c>
      <c r="I88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88" s="33">
        <f>VLOOKUP(Table16[[#This Row],[OPP]],Raw!$L$2:$S$23,7,FALSE)-Raw!$U$2</f>
        <v>1.4411243913235945</v>
      </c>
    </row>
    <row r="89" spans="1:10" x14ac:dyDescent="0.25">
      <c r="A89" t="s">
        <v>471</v>
      </c>
      <c r="B89" t="s">
        <v>40</v>
      </c>
      <c r="C89" t="s">
        <v>89</v>
      </c>
      <c r="D89" t="str">
        <f>IF(LEFT(Table16[[#This Row],[Opponent]],1)="@","Away","Home")</f>
        <v>Away</v>
      </c>
      <c r="E89">
        <f>_xlfn.NUMBERVALUE(MID(LEFT(Table16[[#This Row],[Score]],FIND("-",Table16[[#This Row],[Score]])-1),FIND(" ",Table16[[#This Row],[Score]])+1,LEN(Table16[[#This Row],[Score]])))</f>
        <v>1</v>
      </c>
      <c r="F89">
        <f>_xlfn.NUMBERVALUE(RIGHT(Table16[[#This Row],[Score]],LEN(Table16[[#This Row],[Score]])-FIND("-",Table16[[#This Row],[Score]])))</f>
        <v>6</v>
      </c>
      <c r="G89">
        <f t="shared" si="12"/>
        <v>7</v>
      </c>
      <c r="H89" t="str">
        <f>LEFT(Table16[[#This Row],[Score]],1)</f>
        <v>L</v>
      </c>
      <c r="I89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89" s="33">
        <f>VLOOKUP(Table16[[#This Row],[OPP]],Raw!$L$2:$S$23,7,FALSE)-Raw!$U$2</f>
        <v>1.4411243913235945</v>
      </c>
    </row>
    <row r="90" spans="1:10" x14ac:dyDescent="0.25">
      <c r="A90" t="s">
        <v>461</v>
      </c>
      <c r="B90" t="s">
        <v>343</v>
      </c>
      <c r="C90" t="s">
        <v>288</v>
      </c>
      <c r="D90" t="str">
        <f>IF(LEFT(Table16[[#This Row],[Opponent]],1)="@","Away","Home")</f>
        <v>Home</v>
      </c>
      <c r="E90">
        <f>_xlfn.NUMBERVALUE(MID(LEFT(Table16[[#This Row],[Score]],FIND("-",Table16[[#This Row],[Score]])-1),FIND(" ",Table16[[#This Row],[Score]])+1,LEN(Table16[[#This Row],[Score]])))</f>
        <v>9</v>
      </c>
      <c r="F90">
        <f>_xlfn.NUMBERVALUE(RIGHT(Table16[[#This Row],[Score]],LEN(Table16[[#This Row],[Score]])-FIND("-",Table16[[#This Row],[Score]])))</f>
        <v>15</v>
      </c>
      <c r="G90">
        <f t="shared" si="12"/>
        <v>24</v>
      </c>
      <c r="H90" t="str">
        <f>LEFT(Table16[[#This Row],[Score]],1)</f>
        <v>L</v>
      </c>
      <c r="I90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90" s="33">
        <f>VLOOKUP(Table16[[#This Row],[OPP]],Raw!$L$2:$S$23,7,FALSE)-Raw!$U$2</f>
        <v>-0.61443116423196109</v>
      </c>
    </row>
    <row r="91" spans="1:10" x14ac:dyDescent="0.25">
      <c r="A91" t="s">
        <v>462</v>
      </c>
      <c r="B91" t="s">
        <v>343</v>
      </c>
      <c r="C91" t="s">
        <v>374</v>
      </c>
      <c r="D91" t="str">
        <f>IF(LEFT(Table16[[#This Row],[Opponent]],1)="@","Away","Home")</f>
        <v>Home</v>
      </c>
      <c r="E91">
        <f>_xlfn.NUMBERVALUE(MID(LEFT(Table16[[#This Row],[Score]],FIND("-",Table16[[#This Row],[Score]])-1),FIND(" ",Table16[[#This Row],[Score]])+1,LEN(Table16[[#This Row],[Score]])))</f>
        <v>6</v>
      </c>
      <c r="F91">
        <f>_xlfn.NUMBERVALUE(RIGHT(Table16[[#This Row],[Score]],LEN(Table16[[#This Row],[Score]])-FIND("-",Table16[[#This Row],[Score]])))</f>
        <v>9</v>
      </c>
      <c r="G91">
        <f t="shared" si="12"/>
        <v>15</v>
      </c>
      <c r="H91" t="str">
        <f>LEFT(Table16[[#This Row],[Score]],1)</f>
        <v>L</v>
      </c>
      <c r="I91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91" s="33">
        <f>VLOOKUP(Table16[[#This Row],[OPP]],Raw!$L$2:$S$23,7,FALSE)-Raw!$U$2</f>
        <v>-0.61443116423196109</v>
      </c>
    </row>
    <row r="92" spans="1:10" x14ac:dyDescent="0.25">
      <c r="A92" t="s">
        <v>462</v>
      </c>
      <c r="B92" t="s">
        <v>343</v>
      </c>
      <c r="C92" t="s">
        <v>412</v>
      </c>
      <c r="D92" t="str">
        <f>IF(LEFT(Table16[[#This Row],[Opponent]],1)="@","Away","Home")</f>
        <v>Home</v>
      </c>
      <c r="E92">
        <f>_xlfn.NUMBERVALUE(MID(LEFT(Table16[[#This Row],[Score]],FIND("-",Table16[[#This Row],[Score]])-1),FIND(" ",Table16[[#This Row],[Score]])+1,LEN(Table16[[#This Row],[Score]])))</f>
        <v>15</v>
      </c>
      <c r="F92">
        <f>_xlfn.NUMBERVALUE(RIGHT(Table16[[#This Row],[Score]],LEN(Table16[[#This Row],[Score]])-FIND("-",Table16[[#This Row],[Score]])))</f>
        <v>5</v>
      </c>
      <c r="G92">
        <f t="shared" si="12"/>
        <v>20</v>
      </c>
      <c r="H92" t="str">
        <f>LEFT(Table16[[#This Row],[Score]],1)</f>
        <v>W</v>
      </c>
      <c r="I92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92" s="33">
        <f>VLOOKUP(Table16[[#This Row],[OPP]],Raw!$L$2:$S$23,7,FALSE)-Raw!$U$2</f>
        <v>-0.61443116423196109</v>
      </c>
    </row>
    <row r="93" spans="1:10" x14ac:dyDescent="0.25">
      <c r="A93" t="s">
        <v>463</v>
      </c>
      <c r="B93" t="s">
        <v>343</v>
      </c>
      <c r="C93" t="s">
        <v>240</v>
      </c>
      <c r="D93" t="str">
        <f>IF(LEFT(Table16[[#This Row],[Opponent]],1)="@","Away","Home")</f>
        <v>Home</v>
      </c>
      <c r="E93">
        <f>_xlfn.NUMBERVALUE(MID(LEFT(Table16[[#This Row],[Score]],FIND("-",Table16[[#This Row],[Score]])-1),FIND(" ",Table16[[#This Row],[Score]])+1,LEN(Table16[[#This Row],[Score]])))</f>
        <v>1</v>
      </c>
      <c r="F93">
        <f>_xlfn.NUMBERVALUE(RIGHT(Table16[[#This Row],[Score]],LEN(Table16[[#This Row],[Score]])-FIND("-",Table16[[#This Row],[Score]])))</f>
        <v>3</v>
      </c>
      <c r="G93">
        <f t="shared" si="12"/>
        <v>4</v>
      </c>
      <c r="H93" t="str">
        <f>LEFT(Table16[[#This Row],[Score]],1)</f>
        <v>L</v>
      </c>
      <c r="I93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93" s="33">
        <f>VLOOKUP(Table16[[#This Row],[OPP]],Raw!$L$2:$S$23,7,FALSE)-Raw!$U$2</f>
        <v>-0.61443116423196109</v>
      </c>
    </row>
    <row r="94" spans="1:10" x14ac:dyDescent="0.25">
      <c r="A94" t="s">
        <v>464</v>
      </c>
      <c r="B94" t="s">
        <v>98</v>
      </c>
      <c r="C94" t="s">
        <v>347</v>
      </c>
      <c r="D94" t="str">
        <f>IF(LEFT(Table16[[#This Row],[Opponent]],1)="@","Away","Home")</f>
        <v>Home</v>
      </c>
      <c r="E94">
        <f>_xlfn.NUMBERVALUE(MID(LEFT(Table16[[#This Row],[Score]],FIND("-",Table16[[#This Row],[Score]])-1),FIND(" ",Table16[[#This Row],[Score]])+1,LEN(Table16[[#This Row],[Score]])))</f>
        <v>9</v>
      </c>
      <c r="F94">
        <f>_xlfn.NUMBERVALUE(RIGHT(Table16[[#This Row],[Score]],LEN(Table16[[#This Row],[Score]])-FIND("-",Table16[[#This Row],[Score]])))</f>
        <v>5</v>
      </c>
      <c r="G94">
        <f t="shared" si="12"/>
        <v>14</v>
      </c>
      <c r="H94" t="str">
        <f>LEFT(Table16[[#This Row],[Score]],1)</f>
        <v>W</v>
      </c>
      <c r="I94" s="17" t="str">
        <f>VLOOKUP(IF(Table16[[#This Row],[At]]="Home",Table16[[#This Row],[Opponent]],RIGHT(Table16[[#This Row],[Opponent]],LEN(Table16[[#This Row],[Opponent]])-1)),CHOOSE({1,2},[1]StandingsRAW!$J$1:$J$22,[1]StandingsRAW!$L$1:$L$22),2,FALSE)</f>
        <v>GB</v>
      </c>
      <c r="J94" s="33">
        <f>VLOOKUP(Table16[[#This Row],[OPP]],Raw!$L$2:$S$23,7,FALSE)-Raw!$U$2</f>
        <v>-1.4060978308986276</v>
      </c>
    </row>
    <row r="95" spans="1:10" x14ac:dyDescent="0.25">
      <c r="A95" t="s">
        <v>465</v>
      </c>
      <c r="B95" t="s">
        <v>98</v>
      </c>
      <c r="C95" t="s">
        <v>264</v>
      </c>
      <c r="D95" t="str">
        <f>IF(LEFT(Table16[[#This Row],[Opponent]],1)="@","Away","Home")</f>
        <v>Home</v>
      </c>
      <c r="E95">
        <f>_xlfn.NUMBERVALUE(MID(LEFT(Table16[[#This Row],[Score]],FIND("-",Table16[[#This Row],[Score]])-1),FIND(" ",Table16[[#This Row],[Score]])+1,LEN(Table16[[#This Row],[Score]])))</f>
        <v>6</v>
      </c>
      <c r="F95">
        <f>_xlfn.NUMBERVALUE(RIGHT(Table16[[#This Row],[Score]],LEN(Table16[[#This Row],[Score]])-FIND("-",Table16[[#This Row],[Score]])))</f>
        <v>2</v>
      </c>
      <c r="G95">
        <f t="shared" si="12"/>
        <v>8</v>
      </c>
      <c r="H95" t="str">
        <f>LEFT(Table16[[#This Row],[Score]],1)</f>
        <v>W</v>
      </c>
      <c r="I95" s="17" t="str">
        <f>VLOOKUP(IF(Table16[[#This Row],[At]]="Home",Table16[[#This Row],[Opponent]],RIGHT(Table16[[#This Row],[Opponent]],LEN(Table16[[#This Row],[Opponent]])-1)),CHOOSE({1,2},[1]StandingsRAW!$J$1:$J$22,[1]StandingsRAW!$L$1:$L$22),2,FALSE)</f>
        <v>GB</v>
      </c>
      <c r="J95" s="33">
        <f>VLOOKUP(Table16[[#This Row],[OPP]],Raw!$L$2:$S$23,7,FALSE)-Raw!$U$2</f>
        <v>-1.4060978308986276</v>
      </c>
    </row>
    <row r="96" spans="1:10" x14ac:dyDescent="0.25">
      <c r="A96" t="s">
        <v>466</v>
      </c>
      <c r="B96" t="s">
        <v>124</v>
      </c>
      <c r="C96" t="s">
        <v>48</v>
      </c>
      <c r="D96" t="str">
        <f>IF(LEFT(Table16[[#This Row],[Opponent]],1)="@","Away","Home")</f>
        <v>Away</v>
      </c>
      <c r="E96">
        <f>_xlfn.NUMBERVALUE(MID(LEFT(Table16[[#This Row],[Score]],FIND("-",Table16[[#This Row],[Score]])-1),FIND(" ",Table16[[#This Row],[Score]])+1,LEN(Table16[[#This Row],[Score]])))</f>
        <v>4</v>
      </c>
      <c r="F96">
        <f>_xlfn.NUMBERVALUE(RIGHT(Table16[[#This Row],[Score]],LEN(Table16[[#This Row],[Score]])-FIND("-",Table16[[#This Row],[Score]])))</f>
        <v>5</v>
      </c>
      <c r="G96">
        <f t="shared" si="12"/>
        <v>9</v>
      </c>
      <c r="H96" t="str">
        <f>LEFT(Table16[[#This Row],[Score]],1)</f>
        <v>L</v>
      </c>
      <c r="I96" s="17" t="str">
        <f>VLOOKUP(IF(Table16[[#This Row],[At]]="Home",Table16[[#This Row],[Opponent]],RIGHT(Table16[[#This Row],[Opponent]],LEN(Table16[[#This Row],[Opponent]])-1)),CHOOSE({1,2},[1]StandingsRAW!$J$1:$J$22,[1]StandingsRAW!$L$1:$L$22),2,FALSE)</f>
        <v>WIR</v>
      </c>
      <c r="J96" s="33">
        <f>VLOOKUP(Table16[[#This Row],[OPP]],Raw!$L$2:$S$23,7,FALSE)-Raw!$U$2</f>
        <v>2.7744577246569277</v>
      </c>
    </row>
    <row r="97" spans="1:10" x14ac:dyDescent="0.25">
      <c r="A97" t="s">
        <v>467</v>
      </c>
      <c r="B97" t="s">
        <v>124</v>
      </c>
      <c r="C97" t="s">
        <v>269</v>
      </c>
      <c r="D97" t="str">
        <f>IF(LEFT(Table16[[#This Row],[Opponent]],1)="@","Away","Home")</f>
        <v>Away</v>
      </c>
      <c r="E97">
        <f>_xlfn.NUMBERVALUE(MID(LEFT(Table16[[#This Row],[Score]],FIND("-",Table16[[#This Row],[Score]])-1),FIND(" ",Table16[[#This Row],[Score]])+1,LEN(Table16[[#This Row],[Score]])))</f>
        <v>2</v>
      </c>
      <c r="F97">
        <f>_xlfn.NUMBERVALUE(RIGHT(Table16[[#This Row],[Score]],LEN(Table16[[#This Row],[Score]])-FIND("-",Table16[[#This Row],[Score]])))</f>
        <v>3</v>
      </c>
      <c r="G97">
        <f t="shared" si="12"/>
        <v>5</v>
      </c>
      <c r="H97" t="str">
        <f>LEFT(Table16[[#This Row],[Score]],1)</f>
        <v>L</v>
      </c>
      <c r="I97" s="17" t="str">
        <f>VLOOKUP(IF(Table16[[#This Row],[At]]="Home",Table16[[#This Row],[Opponent]],RIGHT(Table16[[#This Row],[Opponent]],LEN(Table16[[#This Row],[Opponent]])-1)),CHOOSE({1,2},[1]StandingsRAW!$J$1:$J$22,[1]StandingsRAW!$L$1:$L$22),2,FALSE)</f>
        <v>WIR</v>
      </c>
      <c r="J97" s="33">
        <f>VLOOKUP(Table16[[#This Row],[OPP]],Raw!$L$2:$S$23,7,FALSE)-Raw!$U$2</f>
        <v>2.7744577246569277</v>
      </c>
    </row>
    <row r="98" spans="1:10" x14ac:dyDescent="0.25">
      <c r="A98" t="s">
        <v>468</v>
      </c>
      <c r="B98" t="s">
        <v>10</v>
      </c>
      <c r="C98" t="s">
        <v>61</v>
      </c>
      <c r="D98" t="str">
        <f>IF(LEFT(Table16[[#This Row],[Opponent]],1)="@","Away","Home")</f>
        <v>Away</v>
      </c>
      <c r="E98">
        <f>_xlfn.NUMBERVALUE(MID(LEFT(Table16[[#This Row],[Score]],FIND("-",Table16[[#This Row],[Score]])-1),FIND(" ",Table16[[#This Row],[Score]])+1,LEN(Table16[[#This Row],[Score]])))</f>
        <v>7</v>
      </c>
      <c r="F98">
        <f>_xlfn.NUMBERVALUE(RIGHT(Table16[[#This Row],[Score]],LEN(Table16[[#This Row],[Score]])-FIND("-",Table16[[#This Row],[Score]])))</f>
        <v>3</v>
      </c>
      <c r="G98">
        <f t="shared" si="12"/>
        <v>10</v>
      </c>
      <c r="H98" t="str">
        <f>LEFT(Table16[[#This Row],[Score]],1)</f>
        <v>W</v>
      </c>
      <c r="I98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98" s="33">
        <f>VLOOKUP(Table16[[#This Row],[OPP]],Raw!$L$2:$S$23,7,FALSE)-Raw!$U$2</f>
        <v>-3.1019116024166244</v>
      </c>
    </row>
    <row r="99" spans="1:10" x14ac:dyDescent="0.25">
      <c r="A99" t="s">
        <v>498</v>
      </c>
      <c r="B99" t="s">
        <v>10</v>
      </c>
      <c r="C99" t="s">
        <v>270</v>
      </c>
      <c r="D99" t="str">
        <f>IF(LEFT(Table16[[#This Row],[Opponent]],1)="@","Away","Home")</f>
        <v>Away</v>
      </c>
      <c r="E99">
        <f>_xlfn.NUMBERVALUE(MID(LEFT(Table16[[#This Row],[Score]],FIND("-",Table16[[#This Row],[Score]])-1),FIND(" ",Table16[[#This Row],[Score]])+1,LEN(Table16[[#This Row],[Score]])))</f>
        <v>4</v>
      </c>
      <c r="F99">
        <f>_xlfn.NUMBERVALUE(RIGHT(Table16[[#This Row],[Score]],LEN(Table16[[#This Row],[Score]])-FIND("-",Table16[[#This Row],[Score]])))</f>
        <v>3</v>
      </c>
      <c r="G99">
        <f t="shared" ref="G99:G101" si="13">E99+F99</f>
        <v>7</v>
      </c>
      <c r="H99" t="str">
        <f>LEFT(Table16[[#This Row],[Score]],1)</f>
        <v>W</v>
      </c>
      <c r="I99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99" s="33">
        <f>VLOOKUP(Table16[[#This Row],[OPP]],Raw!$L$2:$S$23,7,FALSE)-Raw!$U$2</f>
        <v>-3.1019116024166244</v>
      </c>
    </row>
    <row r="100" spans="1:10" x14ac:dyDescent="0.25">
      <c r="A100" t="s">
        <v>499</v>
      </c>
      <c r="B100" t="s">
        <v>30</v>
      </c>
      <c r="C100" t="s">
        <v>109</v>
      </c>
      <c r="D100" t="str">
        <f>IF(LEFT(Table16[[#This Row],[Opponent]],1)="@","Away","Home")</f>
        <v>Away</v>
      </c>
      <c r="E100">
        <f>_xlfn.NUMBERVALUE(MID(LEFT(Table16[[#This Row],[Score]],FIND("-",Table16[[#This Row],[Score]])-1),FIND(" ",Table16[[#This Row],[Score]])+1,LEN(Table16[[#This Row],[Score]])))</f>
        <v>3</v>
      </c>
      <c r="F100">
        <f>_xlfn.NUMBERVALUE(RIGHT(Table16[[#This Row],[Score]],LEN(Table16[[#This Row],[Score]])-FIND("-",Table16[[#This Row],[Score]])))</f>
        <v>13</v>
      </c>
      <c r="G100">
        <f t="shared" si="13"/>
        <v>16</v>
      </c>
      <c r="H100" t="str">
        <f>LEFT(Table16[[#This Row],[Score]],1)</f>
        <v>L</v>
      </c>
      <c r="I100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100" s="33">
        <f>VLOOKUP(Table16[[#This Row],[OPP]],Raw!$L$2:$S$23,7,FALSE)-Raw!$U$2</f>
        <v>-3.3200531208499337E-3</v>
      </c>
    </row>
    <row r="101" spans="1:10" x14ac:dyDescent="0.25">
      <c r="A101" t="s">
        <v>500</v>
      </c>
      <c r="B101" t="s">
        <v>52</v>
      </c>
      <c r="C101" t="s">
        <v>15</v>
      </c>
      <c r="D101" t="str">
        <f>IF(LEFT(Table16[[#This Row],[Opponent]],1)="@","Away","Home")</f>
        <v>Home</v>
      </c>
      <c r="E101">
        <f>_xlfn.NUMBERVALUE(MID(LEFT(Table16[[#This Row],[Score]],FIND("-",Table16[[#This Row],[Score]])-1),FIND(" ",Table16[[#This Row],[Score]])+1,LEN(Table16[[#This Row],[Score]])))</f>
        <v>3</v>
      </c>
      <c r="F101">
        <f>_xlfn.NUMBERVALUE(RIGHT(Table16[[#This Row],[Score]],LEN(Table16[[#This Row],[Score]])-FIND("-",Table16[[#This Row],[Score]])))</f>
        <v>1</v>
      </c>
      <c r="G101">
        <f t="shared" si="13"/>
        <v>4</v>
      </c>
      <c r="H101" t="str">
        <f>LEFT(Table16[[#This Row],[Score]],1)</f>
        <v>W</v>
      </c>
      <c r="I101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101" s="33">
        <f>VLOOKUP(Table16[[#This Row],[OPP]],Raw!$L$2:$S$23,7,FALSE)-Raw!$U$2</f>
        <v>-3.3200531208499337E-3</v>
      </c>
    </row>
    <row r="102" spans="1:10" x14ac:dyDescent="0.25">
      <c r="A102" t="s">
        <v>501</v>
      </c>
      <c r="B102" t="s">
        <v>23</v>
      </c>
      <c r="C102" t="s">
        <v>46</v>
      </c>
      <c r="D102" t="str">
        <f>IF(LEFT(Table16[[#This Row],[Opponent]],1)="@","Away","Home")</f>
        <v>Home</v>
      </c>
      <c r="E102">
        <f>_xlfn.NUMBERVALUE(MID(LEFT(Table16[[#This Row],[Score]],FIND("-",Table16[[#This Row],[Score]])-1),FIND(" ",Table16[[#This Row],[Score]])+1,LEN(Table16[[#This Row],[Score]])))</f>
        <v>6</v>
      </c>
      <c r="F102">
        <f>_xlfn.NUMBERVALUE(RIGHT(Table16[[#This Row],[Score]],LEN(Table16[[#This Row],[Score]])-FIND("-",Table16[[#This Row],[Score]])))</f>
        <v>8</v>
      </c>
      <c r="G102">
        <f t="shared" ref="G102:G103" si="14">E102+F102</f>
        <v>14</v>
      </c>
      <c r="H102" t="str">
        <f>LEFT(Table16[[#This Row],[Score]],1)</f>
        <v>L</v>
      </c>
      <c r="I102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102" s="33">
        <f>VLOOKUP(Table16[[#This Row],[OPP]],Raw!$L$2:$S$23,7,FALSE)-Raw!$U$2</f>
        <v>1.4411243913235945</v>
      </c>
    </row>
    <row r="103" spans="1:10" x14ac:dyDescent="0.25">
      <c r="A103" t="s">
        <v>502</v>
      </c>
      <c r="B103" t="s">
        <v>23</v>
      </c>
      <c r="C103" t="s">
        <v>254</v>
      </c>
      <c r="D103" t="str">
        <f>IF(LEFT(Table16[[#This Row],[Opponent]],1)="@","Away","Home")</f>
        <v>Home</v>
      </c>
      <c r="E103">
        <f>_xlfn.NUMBERVALUE(MID(LEFT(Table16[[#This Row],[Score]],FIND("-",Table16[[#This Row],[Score]])-1),FIND(" ",Table16[[#This Row],[Score]])+1,LEN(Table16[[#This Row],[Score]])))</f>
        <v>5</v>
      </c>
      <c r="F103">
        <f>_xlfn.NUMBERVALUE(RIGHT(Table16[[#This Row],[Score]],LEN(Table16[[#This Row],[Score]])-FIND("-",Table16[[#This Row],[Score]])))</f>
        <v>4</v>
      </c>
      <c r="G103">
        <f t="shared" si="14"/>
        <v>9</v>
      </c>
      <c r="H103" t="str">
        <f>LEFT(Table16[[#This Row],[Score]],1)</f>
        <v>W</v>
      </c>
      <c r="I103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103" s="33">
        <f>VLOOKUP(Table16[[#This Row],[OPP]],Raw!$L$2:$S$23,7,FALSE)-Raw!$U$2</f>
        <v>1.4411243913235945</v>
      </c>
    </row>
    <row r="104" spans="1:10" x14ac:dyDescent="0.25">
      <c r="A104" t="s">
        <v>505</v>
      </c>
      <c r="B104" t="s">
        <v>321</v>
      </c>
      <c r="C104" t="s">
        <v>405</v>
      </c>
      <c r="D104" t="str">
        <f>IF(LEFT(Table16[[#This Row],[Opponent]],1)="@","Away","Home")</f>
        <v>Home</v>
      </c>
      <c r="E104">
        <f>_xlfn.NUMBERVALUE(MID(LEFT(Table16[[#This Row],[Score]],FIND("-",Table16[[#This Row],[Score]])-1),FIND(" ",Table16[[#This Row],[Score]])+1,LEN(Table16[[#This Row],[Score]])))</f>
        <v>7</v>
      </c>
      <c r="F104">
        <f>_xlfn.NUMBERVALUE(RIGHT(Table16[[#This Row],[Score]],LEN(Table16[[#This Row],[Score]])-FIND("-",Table16[[#This Row],[Score]])))</f>
        <v>13</v>
      </c>
      <c r="G104">
        <f>E104+F104</f>
        <v>20</v>
      </c>
      <c r="H104" t="str">
        <f>LEFT(Table16[[#This Row],[Score]],1)</f>
        <v>L</v>
      </c>
      <c r="I104" s="17" t="str">
        <f>VLOOKUP(IF(Table16[[#This Row],[At]]="Home",Table16[[#This Row],[Opponent]],RIGHT(Table16[[#This Row],[Opponent]],LEN(Table16[[#This Row],[Opponent]])-1)),CHOOSE({1,2},[1]StandingsRAW!$J$1:$J$22,[1]StandingsRAW!$L$1:$L$22),2,FALSE)</f>
        <v>MAD</v>
      </c>
      <c r="J104" s="33">
        <f>VLOOKUP(Table16[[#This Row],[OPP]],Raw!$L$2:$S$23,7,FALSE)-Raw!$U$2</f>
        <v>-1.5172089420097388</v>
      </c>
    </row>
    <row r="105" spans="1:10" x14ac:dyDescent="0.25">
      <c r="A105" t="s">
        <v>508</v>
      </c>
      <c r="B105" t="s">
        <v>319</v>
      </c>
      <c r="C105" t="s">
        <v>28</v>
      </c>
      <c r="D105" t="str">
        <f>IF(LEFT(Table16[[#This Row],[Opponent]],1)="@","Away","Home")</f>
        <v>Away</v>
      </c>
      <c r="E105">
        <f>_xlfn.NUMBERVALUE(MID(LEFT(Table16[[#This Row],[Score]],FIND("-",Table16[[#This Row],[Score]])-1),FIND(" ",Table16[[#This Row],[Score]])+1,LEN(Table16[[#This Row],[Score]])))</f>
        <v>4</v>
      </c>
      <c r="F105">
        <f>_xlfn.NUMBERVALUE(RIGHT(Table16[[#This Row],[Score]],LEN(Table16[[#This Row],[Score]])-FIND("-",Table16[[#This Row],[Score]])))</f>
        <v>2</v>
      </c>
      <c r="G105">
        <f t="shared" ref="G105:G107" si="15">E105+F105</f>
        <v>6</v>
      </c>
      <c r="H105" t="str">
        <f>LEFT(Table16[[#This Row],[Score]],1)</f>
        <v>W</v>
      </c>
      <c r="I105" s="17" t="str">
        <f>VLOOKUP(IF(Table16[[#This Row],[At]]="Home",Table16[[#This Row],[Opponent]],RIGHT(Table16[[#This Row],[Opponent]],LEN(Table16[[#This Row],[Opponent]])-1)),CHOOSE({1,2},[1]StandingsRAW!$J$1:$J$22,[1]StandingsRAW!$L$1:$L$22),2,FALSE)</f>
        <v>MAD</v>
      </c>
      <c r="J105" s="33">
        <f>VLOOKUP(Table16[[#This Row],[OPP]],Raw!$L$2:$S$23,7,FALSE)-Raw!$U$2</f>
        <v>-1.5172089420097388</v>
      </c>
    </row>
    <row r="106" spans="1:10" x14ac:dyDescent="0.25">
      <c r="A106" t="s">
        <v>509</v>
      </c>
      <c r="B106" t="s">
        <v>319</v>
      </c>
      <c r="C106" t="s">
        <v>298</v>
      </c>
      <c r="D106" t="str">
        <f>IF(LEFT(Table16[[#This Row],[Opponent]],1)="@","Away","Home")</f>
        <v>Away</v>
      </c>
      <c r="E106">
        <f>_xlfn.NUMBERVALUE(MID(LEFT(Table16[[#This Row],[Score]],FIND("-",Table16[[#This Row],[Score]])-1),FIND(" ",Table16[[#This Row],[Score]])+1,LEN(Table16[[#This Row],[Score]])))</f>
        <v>1</v>
      </c>
      <c r="F106">
        <f>_xlfn.NUMBERVALUE(RIGHT(Table16[[#This Row],[Score]],LEN(Table16[[#This Row],[Score]])-FIND("-",Table16[[#This Row],[Score]])))</f>
        <v>2</v>
      </c>
      <c r="G106">
        <f t="shared" si="15"/>
        <v>3</v>
      </c>
      <c r="H106" t="str">
        <f>LEFT(Table16[[#This Row],[Score]],1)</f>
        <v>L</v>
      </c>
      <c r="I106" s="17" t="str">
        <f>VLOOKUP(IF(Table16[[#This Row],[At]]="Home",Table16[[#This Row],[Opponent]],RIGHT(Table16[[#This Row],[Opponent]],LEN(Table16[[#This Row],[Opponent]])-1)),CHOOSE({1,2},[1]StandingsRAW!$J$1:$J$22,[1]StandingsRAW!$L$1:$L$22),2,FALSE)</f>
        <v>MAD</v>
      </c>
      <c r="J106" s="33">
        <f>VLOOKUP(Table16[[#This Row],[OPP]],Raw!$L$2:$S$23,7,FALSE)-Raw!$U$2</f>
        <v>-1.5172089420097388</v>
      </c>
    </row>
    <row r="107" spans="1:10" x14ac:dyDescent="0.25">
      <c r="A107" t="s">
        <v>510</v>
      </c>
      <c r="B107" t="s">
        <v>321</v>
      </c>
      <c r="C107" t="s">
        <v>79</v>
      </c>
      <c r="D107" t="str">
        <f>IF(LEFT(Table16[[#This Row],[Opponent]],1)="@","Away","Home")</f>
        <v>Home</v>
      </c>
      <c r="E107">
        <f>_xlfn.NUMBERVALUE(MID(LEFT(Table16[[#This Row],[Score]],FIND("-",Table16[[#This Row],[Score]])-1),FIND(" ",Table16[[#This Row],[Score]])+1,LEN(Table16[[#This Row],[Score]])))</f>
        <v>8</v>
      </c>
      <c r="F107">
        <f>_xlfn.NUMBERVALUE(RIGHT(Table16[[#This Row],[Score]],LEN(Table16[[#This Row],[Score]])-FIND("-",Table16[[#This Row],[Score]])))</f>
        <v>15</v>
      </c>
      <c r="G107">
        <f t="shared" si="15"/>
        <v>23</v>
      </c>
      <c r="H107" t="str">
        <f>LEFT(Table16[[#This Row],[Score]],1)</f>
        <v>L</v>
      </c>
      <c r="I107" s="17" t="str">
        <f>VLOOKUP(IF(Table16[[#This Row],[At]]="Home",Table16[[#This Row],[Opponent]],RIGHT(Table16[[#This Row],[Opponent]],LEN(Table16[[#This Row],[Opponent]])-1)),CHOOSE({1,2},[1]StandingsRAW!$J$1:$J$22,[1]StandingsRAW!$L$1:$L$22),2,FALSE)</f>
        <v>MAD</v>
      </c>
      <c r="J107" s="33">
        <f>VLOOKUP(Table16[[#This Row],[OPP]],Raw!$L$2:$S$23,7,FALSE)-Raw!$U$2</f>
        <v>-1.5172089420097388</v>
      </c>
    </row>
    <row r="108" spans="1:10" x14ac:dyDescent="0.25">
      <c r="A108" t="s">
        <v>515</v>
      </c>
      <c r="B108" t="s">
        <v>341</v>
      </c>
      <c r="C108" t="s">
        <v>298</v>
      </c>
      <c r="D108" t="str">
        <f>IF(LEFT(Table16[[#This Row],[Opponent]],1)="@","Away","Home")</f>
        <v>Away</v>
      </c>
      <c r="E108">
        <f>_xlfn.NUMBERVALUE(MID(LEFT(Table16[[#This Row],[Score]],FIND("-",Table16[[#This Row],[Score]])-1),FIND(" ",Table16[[#This Row],[Score]])+1,LEN(Table16[[#This Row],[Score]])))</f>
        <v>1</v>
      </c>
      <c r="F108">
        <f>_xlfn.NUMBERVALUE(RIGHT(Table16[[#This Row],[Score]],LEN(Table16[[#This Row],[Score]])-FIND("-",Table16[[#This Row],[Score]])))</f>
        <v>2</v>
      </c>
      <c r="G108">
        <f>E108+F108</f>
        <v>3</v>
      </c>
      <c r="H108" t="str">
        <f>LEFT(Table16[[#This Row],[Score]],1)</f>
        <v>L</v>
      </c>
      <c r="I108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108" s="33">
        <f>VLOOKUP(Table16[[#This Row],[OPP]],Raw!$L$2:$S$23,7,FALSE)-Raw!$U$2</f>
        <v>-0.61443116423196109</v>
      </c>
    </row>
    <row r="109" spans="1:10" x14ac:dyDescent="0.25">
      <c r="A109" t="s">
        <v>518</v>
      </c>
      <c r="B109" t="s">
        <v>341</v>
      </c>
      <c r="C109" t="s">
        <v>326</v>
      </c>
      <c r="D109" t="str">
        <f>IF(LEFT(Table16[[#This Row],[Opponent]],1)="@","Away","Home")</f>
        <v>Away</v>
      </c>
      <c r="E109">
        <f>_xlfn.NUMBERVALUE(MID(LEFT(Table16[[#This Row],[Score]],FIND("-",Table16[[#This Row],[Score]])-1),FIND(" ",Table16[[#This Row],[Score]])+1,LEN(Table16[[#This Row],[Score]])))</f>
        <v>10</v>
      </c>
      <c r="F109">
        <f>_xlfn.NUMBERVALUE(RIGHT(Table16[[#This Row],[Score]],LEN(Table16[[#This Row],[Score]])-FIND("-",Table16[[#This Row],[Score]])))</f>
        <v>9</v>
      </c>
      <c r="G109">
        <f t="shared" ref="G109:G112" si="16">E109+F109</f>
        <v>19</v>
      </c>
      <c r="H109" t="str">
        <f>LEFT(Table16[[#This Row],[Score]],1)</f>
        <v>W</v>
      </c>
      <c r="I109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109" s="33">
        <f>VLOOKUP(Table16[[#This Row],[OPP]],Raw!$L$2:$S$23,7,FALSE)-Raw!$U$2</f>
        <v>-0.61443116423196109</v>
      </c>
    </row>
    <row r="110" spans="1:10" x14ac:dyDescent="0.25">
      <c r="A110" t="s">
        <v>519</v>
      </c>
      <c r="B110" t="s">
        <v>40</v>
      </c>
      <c r="C110" t="s">
        <v>276</v>
      </c>
      <c r="D110" t="str">
        <f>IF(LEFT(Table16[[#This Row],[Opponent]],1)="@","Away","Home")</f>
        <v>Away</v>
      </c>
      <c r="E110">
        <f>_xlfn.NUMBERVALUE(MID(LEFT(Table16[[#This Row],[Score]],FIND("-",Table16[[#This Row],[Score]])-1),FIND(" ",Table16[[#This Row],[Score]])+1,LEN(Table16[[#This Row],[Score]])))</f>
        <v>2</v>
      </c>
      <c r="F110">
        <f>_xlfn.NUMBERVALUE(RIGHT(Table16[[#This Row],[Score]],LEN(Table16[[#This Row],[Score]])-FIND("-",Table16[[#This Row],[Score]])))</f>
        <v>4</v>
      </c>
      <c r="G110">
        <f t="shared" si="16"/>
        <v>6</v>
      </c>
      <c r="H110" t="str">
        <f>LEFT(Table16[[#This Row],[Score]],1)</f>
        <v>L</v>
      </c>
      <c r="I110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110" s="33">
        <f>VLOOKUP(Table16[[#This Row],[OPP]],Raw!$L$2:$S$23,7,FALSE)-Raw!$U$2</f>
        <v>1.4411243913235945</v>
      </c>
    </row>
    <row r="111" spans="1:10" x14ac:dyDescent="0.25">
      <c r="A111" t="s">
        <v>520</v>
      </c>
      <c r="B111" t="s">
        <v>40</v>
      </c>
      <c r="C111" t="s">
        <v>320</v>
      </c>
      <c r="D111" t="str">
        <f>IF(LEFT(Table16[[#This Row],[Opponent]],1)="@","Away","Home")</f>
        <v>Away</v>
      </c>
      <c r="E111">
        <f>_xlfn.NUMBERVALUE(MID(LEFT(Table16[[#This Row],[Score]],FIND("-",Table16[[#This Row],[Score]])-1),FIND(" ",Table16[[#This Row],[Score]])+1,LEN(Table16[[#This Row],[Score]])))</f>
        <v>5</v>
      </c>
      <c r="F111">
        <f>_xlfn.NUMBERVALUE(RIGHT(Table16[[#This Row],[Score]],LEN(Table16[[#This Row],[Score]])-FIND("-",Table16[[#This Row],[Score]])))</f>
        <v>1</v>
      </c>
      <c r="G111">
        <f t="shared" si="16"/>
        <v>6</v>
      </c>
      <c r="H111" t="str">
        <f>LEFT(Table16[[#This Row],[Score]],1)</f>
        <v>W</v>
      </c>
      <c r="I111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111" s="33">
        <f>VLOOKUP(Table16[[#This Row],[OPP]],Raw!$L$2:$S$23,7,FALSE)-Raw!$U$2</f>
        <v>1.4411243913235945</v>
      </c>
    </row>
    <row r="112" spans="1:10" x14ac:dyDescent="0.25">
      <c r="A112" t="s">
        <v>521</v>
      </c>
      <c r="B112" t="s">
        <v>52</v>
      </c>
      <c r="C112" t="s">
        <v>264</v>
      </c>
      <c r="D112" t="str">
        <f>IF(LEFT(Table16[[#This Row],[Opponent]],1)="@","Away","Home")</f>
        <v>Home</v>
      </c>
      <c r="E112">
        <f>_xlfn.NUMBERVALUE(MID(LEFT(Table16[[#This Row],[Score]],FIND("-",Table16[[#This Row],[Score]])-1),FIND(" ",Table16[[#This Row],[Score]])+1,LEN(Table16[[#This Row],[Score]])))</f>
        <v>6</v>
      </c>
      <c r="F112">
        <f>_xlfn.NUMBERVALUE(RIGHT(Table16[[#This Row],[Score]],LEN(Table16[[#This Row],[Score]])-FIND("-",Table16[[#This Row],[Score]])))</f>
        <v>2</v>
      </c>
      <c r="G112">
        <f t="shared" si="16"/>
        <v>8</v>
      </c>
      <c r="H112" t="str">
        <f>LEFT(Table16[[#This Row],[Score]],1)</f>
        <v>W</v>
      </c>
      <c r="I112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112" s="33">
        <f>VLOOKUP(Table16[[#This Row],[OPP]],Raw!$L$2:$S$23,7,FALSE)-Raw!$U$2</f>
        <v>-3.3200531208499337E-3</v>
      </c>
    </row>
    <row r="113" spans="1:10" x14ac:dyDescent="0.25">
      <c r="A113" t="s">
        <v>524</v>
      </c>
      <c r="B113" t="s">
        <v>52</v>
      </c>
      <c r="C113" t="s">
        <v>383</v>
      </c>
      <c r="D113" t="str">
        <f>IF(LEFT(Table16[[#This Row],[Opponent]],1)="@","Away","Home")</f>
        <v>Home</v>
      </c>
      <c r="E113">
        <f>_xlfn.NUMBERVALUE(MID(LEFT(Table16[[#This Row],[Score]],FIND("-",Table16[[#This Row],[Score]])-1),FIND(" ",Table16[[#This Row],[Score]])+1,LEN(Table16[[#This Row],[Score]])))</f>
        <v>10</v>
      </c>
      <c r="F113">
        <f>_xlfn.NUMBERVALUE(RIGHT(Table16[[#This Row],[Score]],LEN(Table16[[#This Row],[Score]])-FIND("-",Table16[[#This Row],[Score]])))</f>
        <v>12</v>
      </c>
      <c r="G113">
        <f t="shared" ref="G113:G119" si="17">E113+F113</f>
        <v>22</v>
      </c>
      <c r="H113" t="str">
        <f>LEFT(Table16[[#This Row],[Score]],1)</f>
        <v>L</v>
      </c>
      <c r="I113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113" s="33">
        <f>VLOOKUP(Table16[[#This Row],[OPP]],Raw!$L$2:$S$23,7,FALSE)-Raw!$U$2</f>
        <v>-3.3200531208499337E-3</v>
      </c>
    </row>
    <row r="114" spans="1:10" x14ac:dyDescent="0.25">
      <c r="A114" t="s">
        <v>525</v>
      </c>
      <c r="B114" t="s">
        <v>103</v>
      </c>
      <c r="C114" t="s">
        <v>234</v>
      </c>
      <c r="D114" t="str">
        <f>IF(LEFT(Table16[[#This Row],[Opponent]],1)="@","Away","Home")</f>
        <v>Home</v>
      </c>
      <c r="E114">
        <f>_xlfn.NUMBERVALUE(MID(LEFT(Table16[[#This Row],[Score]],FIND("-",Table16[[#This Row],[Score]])-1),FIND(" ",Table16[[#This Row],[Score]])+1,LEN(Table16[[#This Row],[Score]])))</f>
        <v>2</v>
      </c>
      <c r="F114">
        <f>_xlfn.NUMBERVALUE(RIGHT(Table16[[#This Row],[Score]],LEN(Table16[[#This Row],[Score]])-FIND("-",Table16[[#This Row],[Score]])))</f>
        <v>5</v>
      </c>
      <c r="G114">
        <f t="shared" si="17"/>
        <v>7</v>
      </c>
      <c r="H114" t="str">
        <f>LEFT(Table16[[#This Row],[Score]],1)</f>
        <v>L</v>
      </c>
      <c r="I114" s="17" t="str">
        <f>VLOOKUP(IF(Table16[[#This Row],[At]]="Home",Table16[[#This Row],[Opponent]],RIGHT(Table16[[#This Row],[Opponent]],LEN(Table16[[#This Row],[Opponent]])-1)),CHOOSE({1,2},[1]StandingsRAW!$J$1:$J$22,[1]StandingsRAW!$L$1:$L$22),2,FALSE)</f>
        <v>WIR</v>
      </c>
      <c r="J114" s="33">
        <f>VLOOKUP(Table16[[#This Row],[OPP]],Raw!$L$2:$S$23,7,FALSE)-Raw!$U$2</f>
        <v>2.7744577246569277</v>
      </c>
    </row>
    <row r="115" spans="1:10" x14ac:dyDescent="0.25">
      <c r="A115" t="s">
        <v>526</v>
      </c>
      <c r="B115" t="s">
        <v>103</v>
      </c>
      <c r="C115" t="s">
        <v>351</v>
      </c>
      <c r="D115" t="str">
        <f>IF(LEFT(Table16[[#This Row],[Opponent]],1)="@","Away","Home")</f>
        <v>Home</v>
      </c>
      <c r="E115">
        <f>_xlfn.NUMBERVALUE(MID(LEFT(Table16[[#This Row],[Score]],FIND("-",Table16[[#This Row],[Score]])-1),FIND(" ",Table16[[#This Row],[Score]])+1,LEN(Table16[[#This Row],[Score]])))</f>
        <v>2</v>
      </c>
      <c r="F115">
        <f>_xlfn.NUMBERVALUE(RIGHT(Table16[[#This Row],[Score]],LEN(Table16[[#This Row],[Score]])-FIND("-",Table16[[#This Row],[Score]])))</f>
        <v>1</v>
      </c>
      <c r="G115">
        <f t="shared" si="17"/>
        <v>3</v>
      </c>
      <c r="H115" t="str">
        <f>LEFT(Table16[[#This Row],[Score]],1)</f>
        <v>W</v>
      </c>
      <c r="I115" s="17" t="str">
        <f>VLOOKUP(IF(Table16[[#This Row],[At]]="Home",Table16[[#This Row],[Opponent]],RIGHT(Table16[[#This Row],[Opponent]],LEN(Table16[[#This Row],[Opponent]])-1)),CHOOSE({1,2},[1]StandingsRAW!$J$1:$J$22,[1]StandingsRAW!$L$1:$L$22),2,FALSE)</f>
        <v>WIR</v>
      </c>
      <c r="J115" s="33">
        <f>VLOOKUP(Table16[[#This Row],[OPP]],Raw!$L$2:$S$23,7,FALSE)-Raw!$U$2</f>
        <v>2.7744577246569277</v>
      </c>
    </row>
    <row r="116" spans="1:10" x14ac:dyDescent="0.25">
      <c r="A116" t="s">
        <v>527</v>
      </c>
      <c r="B116" t="s">
        <v>115</v>
      </c>
      <c r="C116" t="s">
        <v>50</v>
      </c>
      <c r="D116" t="str">
        <f>IF(LEFT(Table16[[#This Row],[Opponent]],1)="@","Away","Home")</f>
        <v>Away</v>
      </c>
      <c r="E116">
        <f>_xlfn.NUMBERVALUE(MID(LEFT(Table16[[#This Row],[Score]],FIND("-",Table16[[#This Row],[Score]])-1),FIND(" ",Table16[[#This Row],[Score]])+1,LEN(Table16[[#This Row],[Score]])))</f>
        <v>3</v>
      </c>
      <c r="F116">
        <f>_xlfn.NUMBERVALUE(RIGHT(Table16[[#This Row],[Score]],LEN(Table16[[#This Row],[Score]])-FIND("-",Table16[[#This Row],[Score]])))</f>
        <v>4</v>
      </c>
      <c r="G116">
        <f t="shared" si="17"/>
        <v>7</v>
      </c>
      <c r="H116" t="str">
        <f>LEFT(Table16[[#This Row],[Score]],1)</f>
        <v>L</v>
      </c>
      <c r="I116" s="17" t="str">
        <f>VLOOKUP(IF(Table16[[#This Row],[At]]="Home",Table16[[#This Row],[Opponent]],RIGHT(Table16[[#This Row],[Opponent]],LEN(Table16[[#This Row],[Opponent]])-1)),CHOOSE({1,2},[1]StandingsRAW!$J$1:$J$22,[1]StandingsRAW!$L$1:$L$22),2,FALSE)</f>
        <v>GB</v>
      </c>
      <c r="J116" s="33">
        <f>VLOOKUP(Table16[[#This Row],[OPP]],Raw!$L$2:$S$23,7,FALSE)-Raw!$U$2</f>
        <v>-1.4060978308986276</v>
      </c>
    </row>
    <row r="117" spans="1:10" x14ac:dyDescent="0.25">
      <c r="A117" t="s">
        <v>528</v>
      </c>
      <c r="B117" t="s">
        <v>115</v>
      </c>
      <c r="C117" t="s">
        <v>77</v>
      </c>
      <c r="D117" t="str">
        <f>IF(LEFT(Table16[[#This Row],[Opponent]],1)="@","Away","Home")</f>
        <v>Away</v>
      </c>
      <c r="E117">
        <f>_xlfn.NUMBERVALUE(MID(LEFT(Table16[[#This Row],[Score]],FIND("-",Table16[[#This Row],[Score]])-1),FIND(" ",Table16[[#This Row],[Score]])+1,LEN(Table16[[#This Row],[Score]])))</f>
        <v>1</v>
      </c>
      <c r="F117">
        <f>_xlfn.NUMBERVALUE(RIGHT(Table16[[#This Row],[Score]],LEN(Table16[[#This Row],[Score]])-FIND("-",Table16[[#This Row],[Score]])))</f>
        <v>9</v>
      </c>
      <c r="G117">
        <f t="shared" si="17"/>
        <v>10</v>
      </c>
      <c r="H117" t="str">
        <f>LEFT(Table16[[#This Row],[Score]],1)</f>
        <v>L</v>
      </c>
      <c r="I117" s="17" t="str">
        <f>VLOOKUP(IF(Table16[[#This Row],[At]]="Home",Table16[[#This Row],[Opponent]],RIGHT(Table16[[#This Row],[Opponent]],LEN(Table16[[#This Row],[Opponent]])-1)),CHOOSE({1,2},[1]StandingsRAW!$J$1:$J$22,[1]StandingsRAW!$L$1:$L$22),2,FALSE)</f>
        <v>GB</v>
      </c>
      <c r="J117" s="33">
        <f>VLOOKUP(Table16[[#This Row],[OPP]],Raw!$L$2:$S$23,7,FALSE)-Raw!$U$2</f>
        <v>-1.4060978308986276</v>
      </c>
    </row>
    <row r="118" spans="1:10" x14ac:dyDescent="0.25">
      <c r="A118" t="s">
        <v>529</v>
      </c>
      <c r="B118" t="s">
        <v>69</v>
      </c>
      <c r="C118" t="s">
        <v>316</v>
      </c>
      <c r="D118" t="str">
        <f>IF(LEFT(Table16[[#This Row],[Opponent]],1)="@","Away","Home")</f>
        <v>Home</v>
      </c>
      <c r="E118">
        <f>_xlfn.NUMBERVALUE(MID(LEFT(Table16[[#This Row],[Score]],FIND("-",Table16[[#This Row],[Score]])-1),FIND(" ",Table16[[#This Row],[Score]])+1,LEN(Table16[[#This Row],[Score]])))</f>
        <v>9</v>
      </c>
      <c r="F118">
        <f>_xlfn.NUMBERVALUE(RIGHT(Table16[[#This Row],[Score]],LEN(Table16[[#This Row],[Score]])-FIND("-",Table16[[#This Row],[Score]])))</f>
        <v>6</v>
      </c>
      <c r="G118">
        <f t="shared" si="17"/>
        <v>15</v>
      </c>
      <c r="H118" t="str">
        <f>LEFT(Table16[[#This Row],[Score]],1)</f>
        <v>W</v>
      </c>
      <c r="I118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118" s="33">
        <f>VLOOKUP(Table16[[#This Row],[OPP]],Raw!$L$2:$S$23,7,FALSE)-Raw!$U$2</f>
        <v>-3.1019116024166244</v>
      </c>
    </row>
    <row r="119" spans="1:10" x14ac:dyDescent="0.25">
      <c r="A119" t="s">
        <v>530</v>
      </c>
      <c r="B119" t="s">
        <v>69</v>
      </c>
      <c r="C119" t="s">
        <v>308</v>
      </c>
      <c r="D119" t="str">
        <f>IF(LEFT(Table16[[#This Row],[Opponent]],1)="@","Away","Home")</f>
        <v>Home</v>
      </c>
      <c r="E119">
        <f>_xlfn.NUMBERVALUE(MID(LEFT(Table16[[#This Row],[Score]],FIND("-",Table16[[#This Row],[Score]])-1),FIND(" ",Table16[[#This Row],[Score]])+1,LEN(Table16[[#This Row],[Score]])))</f>
        <v>11</v>
      </c>
      <c r="F119">
        <f>_xlfn.NUMBERVALUE(RIGHT(Table16[[#This Row],[Score]],LEN(Table16[[#This Row],[Score]])-FIND("-",Table16[[#This Row],[Score]])))</f>
        <v>10</v>
      </c>
      <c r="G119">
        <f t="shared" si="17"/>
        <v>21</v>
      </c>
      <c r="H119" t="str">
        <f>LEFT(Table16[[#This Row],[Score]],1)</f>
        <v>W</v>
      </c>
      <c r="I119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119" s="33">
        <f>VLOOKUP(Table16[[#This Row],[OPP]],Raw!$L$2:$S$23,7,FALSE)-Raw!$U$2</f>
        <v>-3.1019116024166244</v>
      </c>
    </row>
    <row r="120" spans="1:10" x14ac:dyDescent="0.25">
      <c r="A120" t="s">
        <v>541</v>
      </c>
      <c r="B120" t="s">
        <v>30</v>
      </c>
      <c r="C120" t="s">
        <v>280</v>
      </c>
      <c r="D120" t="str">
        <f>IF(LEFT(Table16[[#This Row],[Opponent]],1)="@","Away","Home")</f>
        <v>Away</v>
      </c>
      <c r="E120">
        <f>_xlfn.NUMBERVALUE(MID(LEFT(Table16[[#This Row],[Score]],FIND("-",Table16[[#This Row],[Score]])-1),FIND(" ",Table16[[#This Row],[Score]])+1,LEN(Table16[[#This Row],[Score]])))</f>
        <v>8</v>
      </c>
      <c r="F120">
        <f>_xlfn.NUMBERVALUE(RIGHT(Table16[[#This Row],[Score]],LEN(Table16[[#This Row],[Score]])-FIND("-",Table16[[#This Row],[Score]])))</f>
        <v>3</v>
      </c>
      <c r="G120">
        <f>E120+F120</f>
        <v>11</v>
      </c>
      <c r="H120" t="str">
        <f>LEFT(Table16[[#This Row],[Score]],1)</f>
        <v>W</v>
      </c>
      <c r="I120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120" s="33">
        <f>VLOOKUP(Table16[[#This Row],[OPP]],Raw!$L$2:$S$23,7,FALSE)-Raw!$U$2</f>
        <v>-3.3200531208499337E-3</v>
      </c>
    </row>
    <row r="121" spans="1:10" x14ac:dyDescent="0.25">
      <c r="A121" t="s">
        <v>542</v>
      </c>
      <c r="B121" t="s">
        <v>52</v>
      </c>
      <c r="C121" t="s">
        <v>48</v>
      </c>
      <c r="D121" t="str">
        <f>IF(LEFT(Table16[[#This Row],[Opponent]],1)="@","Away","Home")</f>
        <v>Home</v>
      </c>
      <c r="E121">
        <f>_xlfn.NUMBERVALUE(MID(LEFT(Table16[[#This Row],[Score]],FIND("-",Table16[[#This Row],[Score]])-1),FIND(" ",Table16[[#This Row],[Score]])+1,LEN(Table16[[#This Row],[Score]])))</f>
        <v>4</v>
      </c>
      <c r="F121">
        <f>_xlfn.NUMBERVALUE(RIGHT(Table16[[#This Row],[Score]],LEN(Table16[[#This Row],[Score]])-FIND("-",Table16[[#This Row],[Score]])))</f>
        <v>5</v>
      </c>
      <c r="G121">
        <f>E121+F121</f>
        <v>9</v>
      </c>
      <c r="H121" t="str">
        <f>LEFT(Table16[[#This Row],[Score]],1)</f>
        <v>L</v>
      </c>
      <c r="I121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121" s="33">
        <f>VLOOKUP(Table16[[#This Row],[OPP]],Raw!$L$2:$S$23,7,FALSE)-Raw!$U$2</f>
        <v>-3.3200531208499337E-3</v>
      </c>
    </row>
    <row r="122" spans="1:10" x14ac:dyDescent="0.25">
      <c r="A122" t="s">
        <v>543</v>
      </c>
      <c r="B122" t="s">
        <v>23</v>
      </c>
      <c r="C122" t="s">
        <v>269</v>
      </c>
      <c r="D122" t="str">
        <f>IF(LEFT(Table16[[#This Row],[Opponent]],1)="@","Away","Home")</f>
        <v>Home</v>
      </c>
      <c r="E122">
        <f>_xlfn.NUMBERVALUE(MID(LEFT(Table16[[#This Row],[Score]],FIND("-",Table16[[#This Row],[Score]])-1),FIND(" ",Table16[[#This Row],[Score]])+1,LEN(Table16[[#This Row],[Score]])))</f>
        <v>2</v>
      </c>
      <c r="F122">
        <f>_xlfn.NUMBERVALUE(RIGHT(Table16[[#This Row],[Score]],LEN(Table16[[#This Row],[Score]])-FIND("-",Table16[[#This Row],[Score]])))</f>
        <v>3</v>
      </c>
      <c r="G122">
        <f>E122+F122</f>
        <v>5</v>
      </c>
      <c r="H122" t="str">
        <f>LEFT(Table16[[#This Row],[Score]],1)</f>
        <v>L</v>
      </c>
      <c r="I122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122" s="33">
        <f>VLOOKUP(Table16[[#This Row],[OPP]],Raw!$L$2:$S$23,7,FALSE)-Raw!$U$2</f>
        <v>1.4411243913235945</v>
      </c>
    </row>
    <row r="123" spans="1:10" x14ac:dyDescent="0.25">
      <c r="A123" t="s">
        <v>546</v>
      </c>
      <c r="B123" t="s">
        <v>23</v>
      </c>
      <c r="C123" t="s">
        <v>212</v>
      </c>
      <c r="D123" t="str">
        <f>IF(LEFT(Table16[[#This Row],[Opponent]],1)="@","Away","Home")</f>
        <v>Home</v>
      </c>
      <c r="E123">
        <f>_xlfn.NUMBERVALUE(MID(LEFT(Table16[[#This Row],[Score]],FIND("-",Table16[[#This Row],[Score]])-1),FIND(" ",Table16[[#This Row],[Score]])+1,LEN(Table16[[#This Row],[Score]])))</f>
        <v>6</v>
      </c>
      <c r="F123">
        <f>_xlfn.NUMBERVALUE(RIGHT(Table16[[#This Row],[Score]],LEN(Table16[[#This Row],[Score]])-FIND("-",Table16[[#This Row],[Score]])))</f>
        <v>10</v>
      </c>
      <c r="G123">
        <f>E123+F123</f>
        <v>16</v>
      </c>
      <c r="H123" t="str">
        <f>LEFT(Table16[[#This Row],[Score]],1)</f>
        <v>L</v>
      </c>
      <c r="I123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123" s="33">
        <f>VLOOKUP(Table16[[#This Row],[OPP]],Raw!$L$2:$S$23,7,FALSE)-Raw!$U$2</f>
        <v>1.4411243913235945</v>
      </c>
    </row>
    <row r="124" spans="1:10" x14ac:dyDescent="0.25">
      <c r="A124" t="s">
        <v>549</v>
      </c>
      <c r="B124" t="s">
        <v>69</v>
      </c>
      <c r="C124" t="s">
        <v>106</v>
      </c>
      <c r="D124" t="str">
        <f>IF(LEFT(Table16[[#This Row],[Opponent]],1)="@","Away","Home")</f>
        <v>Home</v>
      </c>
      <c r="E124">
        <f>_xlfn.NUMBERVALUE(MID(LEFT(Table16[[#This Row],[Score]],FIND("-",Table16[[#This Row],[Score]])-1),FIND(" ",Table16[[#This Row],[Score]])+1,LEN(Table16[[#This Row],[Score]])))</f>
        <v>12</v>
      </c>
      <c r="F124">
        <f>_xlfn.NUMBERVALUE(RIGHT(Table16[[#This Row],[Score]],LEN(Table16[[#This Row],[Score]])-FIND("-",Table16[[#This Row],[Score]])))</f>
        <v>5</v>
      </c>
      <c r="G124">
        <f t="shared" ref="G124:G127" si="18">E124+F124</f>
        <v>17</v>
      </c>
      <c r="H124" t="str">
        <f>LEFT(Table16[[#This Row],[Score]],1)</f>
        <v>W</v>
      </c>
      <c r="I124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124" s="33">
        <f>VLOOKUP(Table16[[#This Row],[OPP]],Raw!$L$2:$S$23,7,FALSE)-Raw!$U$2</f>
        <v>-3.1019116024166244</v>
      </c>
    </row>
    <row r="125" spans="1:10" x14ac:dyDescent="0.25">
      <c r="A125" t="s">
        <v>550</v>
      </c>
      <c r="B125" t="s">
        <v>69</v>
      </c>
      <c r="C125" t="s">
        <v>256</v>
      </c>
      <c r="D125" t="str">
        <f>IF(LEFT(Table16[[#This Row],[Opponent]],1)="@","Away","Home")</f>
        <v>Home</v>
      </c>
      <c r="E125">
        <f>_xlfn.NUMBERVALUE(MID(LEFT(Table16[[#This Row],[Score]],FIND("-",Table16[[#This Row],[Score]])-1),FIND(" ",Table16[[#This Row],[Score]])+1,LEN(Table16[[#This Row],[Score]])))</f>
        <v>11</v>
      </c>
      <c r="F125">
        <f>_xlfn.NUMBERVALUE(RIGHT(Table16[[#This Row],[Score]],LEN(Table16[[#This Row],[Score]])-FIND("-",Table16[[#This Row],[Score]])))</f>
        <v>6</v>
      </c>
      <c r="G125">
        <f t="shared" si="18"/>
        <v>17</v>
      </c>
      <c r="H125" t="str">
        <f>LEFT(Table16[[#This Row],[Score]],1)</f>
        <v>W</v>
      </c>
      <c r="I125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125" s="33">
        <f>VLOOKUP(Table16[[#This Row],[OPP]],Raw!$L$2:$S$23,7,FALSE)-Raw!$U$2</f>
        <v>-3.1019116024166244</v>
      </c>
    </row>
    <row r="126" spans="1:10" x14ac:dyDescent="0.25">
      <c r="A126" t="s">
        <v>551</v>
      </c>
      <c r="B126" t="s">
        <v>5</v>
      </c>
      <c r="C126" t="s">
        <v>324</v>
      </c>
      <c r="D126" t="str">
        <f>IF(LEFT(Table16[[#This Row],[Opponent]],1)="@","Away","Home")</f>
        <v>Home</v>
      </c>
      <c r="E126">
        <f>_xlfn.NUMBERVALUE(MID(LEFT(Table16[[#This Row],[Score]],FIND("-",Table16[[#This Row],[Score]])-1),FIND(" ",Table16[[#This Row],[Score]])+1,LEN(Table16[[#This Row],[Score]])))</f>
        <v>14</v>
      </c>
      <c r="F126">
        <f>_xlfn.NUMBERVALUE(RIGHT(Table16[[#This Row],[Score]],LEN(Table16[[#This Row],[Score]])-FIND("-",Table16[[#This Row],[Score]])))</f>
        <v>4</v>
      </c>
      <c r="G126">
        <f t="shared" si="18"/>
        <v>18</v>
      </c>
      <c r="H126" t="str">
        <f>LEFT(Table16[[#This Row],[Score]],1)</f>
        <v>W</v>
      </c>
      <c r="I126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126" s="33">
        <f>VLOOKUP(Table16[[#This Row],[OPP]],Raw!$L$2:$S$23,7,FALSE)-Raw!$U$2</f>
        <v>0.53189121448478383</v>
      </c>
    </row>
    <row r="127" spans="1:10" x14ac:dyDescent="0.25">
      <c r="A127" t="s">
        <v>552</v>
      </c>
      <c r="B127" t="s">
        <v>5</v>
      </c>
      <c r="C127" t="s">
        <v>18</v>
      </c>
      <c r="D127" t="str">
        <f>IF(LEFT(Table16[[#This Row],[Opponent]],1)="@","Away","Home")</f>
        <v>Home</v>
      </c>
      <c r="E127">
        <f>_xlfn.NUMBERVALUE(MID(LEFT(Table16[[#This Row],[Score]],FIND("-",Table16[[#This Row],[Score]])-1),FIND(" ",Table16[[#This Row],[Score]])+1,LEN(Table16[[#This Row],[Score]])))</f>
        <v>8</v>
      </c>
      <c r="F127">
        <f>_xlfn.NUMBERVALUE(RIGHT(Table16[[#This Row],[Score]],LEN(Table16[[#This Row],[Score]])-FIND("-",Table16[[#This Row],[Score]])))</f>
        <v>9</v>
      </c>
      <c r="G127">
        <f t="shared" si="18"/>
        <v>17</v>
      </c>
      <c r="H127" t="str">
        <f>LEFT(Table16[[#This Row],[Score]],1)</f>
        <v>L</v>
      </c>
      <c r="I127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127" s="33">
        <f>VLOOKUP(Table16[[#This Row],[OPP]],Raw!$L$2:$S$23,7,FALSE)-Raw!$U$2</f>
        <v>0.53189121448478383</v>
      </c>
    </row>
    <row r="128" spans="1:10" x14ac:dyDescent="0.25">
      <c r="A128" t="s">
        <v>555</v>
      </c>
      <c r="B128" t="s">
        <v>17</v>
      </c>
      <c r="C128" t="s">
        <v>113</v>
      </c>
      <c r="D128" t="str">
        <f>IF(LEFT(Table16[[#This Row],[Opponent]],1)="@","Away","Home")</f>
        <v>Away</v>
      </c>
      <c r="E128">
        <f>_xlfn.NUMBERVALUE(MID(LEFT(Table16[[#This Row],[Score]],FIND("-",Table16[[#This Row],[Score]])-1),FIND(" ",Table16[[#This Row],[Score]])+1,LEN(Table16[[#This Row],[Score]])))</f>
        <v>7</v>
      </c>
      <c r="F128">
        <f>_xlfn.NUMBERVALUE(RIGHT(Table16[[#This Row],[Score]],LEN(Table16[[#This Row],[Score]])-FIND("-",Table16[[#This Row],[Score]])))</f>
        <v>9</v>
      </c>
      <c r="G128">
        <f>E128+F128</f>
        <v>16</v>
      </c>
      <c r="H128" t="str">
        <f>LEFT(Table16[[#This Row],[Score]],1)</f>
        <v>L</v>
      </c>
      <c r="I128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128" s="33">
        <f>VLOOKUP(Table16[[#This Row],[OPP]],Raw!$L$2:$S$23,7,FALSE)-Raw!$U$2</f>
        <v>0.53189121448478383</v>
      </c>
    </row>
    <row r="129" spans="1:10" x14ac:dyDescent="0.25">
      <c r="A129" t="s">
        <v>557</v>
      </c>
      <c r="B129" t="s">
        <v>17</v>
      </c>
      <c r="C129" t="s">
        <v>320</v>
      </c>
      <c r="D129" t="str">
        <f>IF(LEFT(Table16[[#This Row],[Opponent]],1)="@","Away","Home")</f>
        <v>Away</v>
      </c>
      <c r="E129">
        <f>_xlfn.NUMBERVALUE(MID(LEFT(Table16[[#This Row],[Score]],FIND("-",Table16[[#This Row],[Score]])-1),FIND(" ",Table16[[#This Row],[Score]])+1,LEN(Table16[[#This Row],[Score]])))</f>
        <v>5</v>
      </c>
      <c r="F129">
        <f>_xlfn.NUMBERVALUE(RIGHT(Table16[[#This Row],[Score]],LEN(Table16[[#This Row],[Score]])-FIND("-",Table16[[#This Row],[Score]])))</f>
        <v>1</v>
      </c>
      <c r="G129">
        <f>E129+F129</f>
        <v>6</v>
      </c>
      <c r="H129" t="str">
        <f>LEFT(Table16[[#This Row],[Score]],1)</f>
        <v>W</v>
      </c>
      <c r="I129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129" s="33">
        <f>VLOOKUP(Table16[[#This Row],[OPP]],Raw!$L$2:$S$23,7,FALSE)-Raw!$U$2</f>
        <v>0.53189121448478383</v>
      </c>
    </row>
    <row r="130" spans="1:10" x14ac:dyDescent="0.25">
      <c r="A130" t="s">
        <v>558</v>
      </c>
      <c r="B130" t="s">
        <v>341</v>
      </c>
      <c r="C130" t="s">
        <v>230</v>
      </c>
      <c r="D130" t="str">
        <f>IF(LEFT(Table16[[#This Row],[Opponent]],1)="@","Away","Home")</f>
        <v>Away</v>
      </c>
      <c r="E130">
        <f>_xlfn.NUMBERVALUE(MID(LEFT(Table16[[#This Row],[Score]],FIND("-",Table16[[#This Row],[Score]])-1),FIND(" ",Table16[[#This Row],[Score]])+1,LEN(Table16[[#This Row],[Score]])))</f>
        <v>4</v>
      </c>
      <c r="F130">
        <f>_xlfn.NUMBERVALUE(RIGHT(Table16[[#This Row],[Score]],LEN(Table16[[#This Row],[Score]])-FIND("-",Table16[[#This Row],[Score]])))</f>
        <v>9</v>
      </c>
      <c r="G130">
        <f>E130+F130</f>
        <v>13</v>
      </c>
      <c r="H130" t="str">
        <f>LEFT(Table16[[#This Row],[Score]],1)</f>
        <v>L</v>
      </c>
      <c r="I130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130" s="33">
        <f>VLOOKUP(Table16[[#This Row],[OPP]],Raw!$L$2:$S$23,7,FALSE)-Raw!$U$2</f>
        <v>-0.61443116423196109</v>
      </c>
    </row>
    <row r="131" spans="1:10" x14ac:dyDescent="0.25">
      <c r="A131" t="s">
        <v>563</v>
      </c>
      <c r="B131" t="s">
        <v>341</v>
      </c>
      <c r="C131" t="s">
        <v>326</v>
      </c>
      <c r="D131" t="str">
        <f>IF(LEFT(Table16[[#This Row],[Opponent]],1)="@","Away","Home")</f>
        <v>Away</v>
      </c>
      <c r="E131">
        <f>_xlfn.NUMBERVALUE(MID(LEFT(Table16[[#This Row],[Score]],FIND("-",Table16[[#This Row],[Score]])-1),FIND(" ",Table16[[#This Row],[Score]])+1,LEN(Table16[[#This Row],[Score]])))</f>
        <v>10</v>
      </c>
      <c r="F131">
        <f>_xlfn.NUMBERVALUE(RIGHT(Table16[[#This Row],[Score]],LEN(Table16[[#This Row],[Score]])-FIND("-",Table16[[#This Row],[Score]])))</f>
        <v>9</v>
      </c>
      <c r="G131">
        <f t="shared" ref="G131:G132" si="19">E131+F131</f>
        <v>19</v>
      </c>
      <c r="H131" t="str">
        <f>LEFT(Table16[[#This Row],[Score]],1)</f>
        <v>W</v>
      </c>
      <c r="I131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131" s="33">
        <f>VLOOKUP(Table16[[#This Row],[OPP]],Raw!$L$2:$S$23,7,FALSE)-Raw!$U$2</f>
        <v>-0.61443116423196109</v>
      </c>
    </row>
    <row r="132" spans="1:10" x14ac:dyDescent="0.25">
      <c r="A132" t="s">
        <v>563</v>
      </c>
      <c r="B132" t="s">
        <v>341</v>
      </c>
      <c r="C132" t="s">
        <v>303</v>
      </c>
      <c r="D132" t="str">
        <f>IF(LEFT(Table16[[#This Row],[Opponent]],1)="@","Away","Home")</f>
        <v>Away</v>
      </c>
      <c r="E132">
        <f>_xlfn.NUMBERVALUE(MID(LEFT(Table16[[#This Row],[Score]],FIND("-",Table16[[#This Row],[Score]])-1),FIND(" ",Table16[[#This Row],[Score]])+1,LEN(Table16[[#This Row],[Score]])))</f>
        <v>8</v>
      </c>
      <c r="F132">
        <f>_xlfn.NUMBERVALUE(RIGHT(Table16[[#This Row],[Score]],LEN(Table16[[#This Row],[Score]])-FIND("-",Table16[[#This Row],[Score]])))</f>
        <v>2</v>
      </c>
      <c r="G132">
        <f t="shared" si="19"/>
        <v>10</v>
      </c>
      <c r="H132" t="str">
        <f>LEFT(Table16[[#This Row],[Score]],1)</f>
        <v>W</v>
      </c>
      <c r="I132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132" s="33">
        <f>VLOOKUP(Table16[[#This Row],[OPP]],Raw!$L$2:$S$23,7,FALSE)-Raw!$U$2</f>
        <v>-0.61443116423196109</v>
      </c>
    </row>
    <row r="133" spans="1:10" x14ac:dyDescent="0.25">
      <c r="A133" t="s">
        <v>564</v>
      </c>
      <c r="B133" t="s">
        <v>341</v>
      </c>
      <c r="C133" t="s">
        <v>287</v>
      </c>
      <c r="D133" t="str">
        <f>IF(LEFT(Table16[[#This Row],[Opponent]],1)="@","Away","Home")</f>
        <v>Away</v>
      </c>
      <c r="E133">
        <f>_xlfn.NUMBERVALUE(MID(LEFT(Table16[[#This Row],[Score]],FIND("-",Table16[[#This Row],[Score]])-1),FIND(" ",Table16[[#This Row],[Score]])+1,LEN(Table16[[#This Row],[Score]])))</f>
        <v>11</v>
      </c>
      <c r="F133">
        <f>_xlfn.NUMBERVALUE(RIGHT(Table16[[#This Row],[Score]],LEN(Table16[[#This Row],[Score]])-FIND("-",Table16[[#This Row],[Score]])))</f>
        <v>2</v>
      </c>
      <c r="G133">
        <f t="shared" ref="G133:G136" si="20">E133+F133</f>
        <v>13</v>
      </c>
      <c r="H133" t="str">
        <f>LEFT(Table16[[#This Row],[Score]],1)</f>
        <v>W</v>
      </c>
      <c r="I133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133" s="33">
        <f>VLOOKUP(Table16[[#This Row],[OPP]],Raw!$L$2:$S$23,7,FALSE)-Raw!$U$2</f>
        <v>-0.61443116423196109</v>
      </c>
    </row>
    <row r="134" spans="1:10" x14ac:dyDescent="0.25">
      <c r="A134" t="s">
        <v>565</v>
      </c>
      <c r="B134" t="s">
        <v>17</v>
      </c>
      <c r="C134" t="s">
        <v>118</v>
      </c>
      <c r="D134" t="str">
        <f>IF(LEFT(Table16[[#This Row],[Opponent]],1)="@","Away","Home")</f>
        <v>Away</v>
      </c>
      <c r="E134">
        <f>_xlfn.NUMBERVALUE(MID(LEFT(Table16[[#This Row],[Score]],FIND("-",Table16[[#This Row],[Score]])-1),FIND(" ",Table16[[#This Row],[Score]])+1,LEN(Table16[[#This Row],[Score]])))</f>
        <v>9</v>
      </c>
      <c r="F134">
        <f>_xlfn.NUMBERVALUE(RIGHT(Table16[[#This Row],[Score]],LEN(Table16[[#This Row],[Score]])-FIND("-",Table16[[#This Row],[Score]])))</f>
        <v>8</v>
      </c>
      <c r="G134">
        <f t="shared" si="20"/>
        <v>17</v>
      </c>
      <c r="H134" t="str">
        <f>LEFT(Table16[[#This Row],[Score]],1)</f>
        <v>W</v>
      </c>
      <c r="I134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134" s="33">
        <f>VLOOKUP(Table16[[#This Row],[OPP]],Raw!$L$2:$S$23,7,FALSE)-Raw!$U$2</f>
        <v>0.53189121448478383</v>
      </c>
    </row>
    <row r="135" spans="1:10" x14ac:dyDescent="0.25">
      <c r="A135" t="s">
        <v>566</v>
      </c>
      <c r="B135" t="s">
        <v>17</v>
      </c>
      <c r="C135" t="s">
        <v>320</v>
      </c>
      <c r="D135" t="str">
        <f>IF(LEFT(Table16[[#This Row],[Opponent]],1)="@","Away","Home")</f>
        <v>Away</v>
      </c>
      <c r="E135">
        <f>_xlfn.NUMBERVALUE(MID(LEFT(Table16[[#This Row],[Score]],FIND("-",Table16[[#This Row],[Score]])-1),FIND(" ",Table16[[#This Row],[Score]])+1,LEN(Table16[[#This Row],[Score]])))</f>
        <v>5</v>
      </c>
      <c r="F135">
        <f>_xlfn.NUMBERVALUE(RIGHT(Table16[[#This Row],[Score]],LEN(Table16[[#This Row],[Score]])-FIND("-",Table16[[#This Row],[Score]])))</f>
        <v>1</v>
      </c>
      <c r="G135">
        <f t="shared" si="20"/>
        <v>6</v>
      </c>
      <c r="H135" t="str">
        <f>LEFT(Table16[[#This Row],[Score]],1)</f>
        <v>W</v>
      </c>
      <c r="I135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135" s="33">
        <f>VLOOKUP(Table16[[#This Row],[OPP]],Raw!$L$2:$S$23,7,FALSE)-Raw!$U$2</f>
        <v>0.53189121448478383</v>
      </c>
    </row>
    <row r="136" spans="1:10" x14ac:dyDescent="0.25">
      <c r="A136" t="s">
        <v>568</v>
      </c>
      <c r="B136" t="s">
        <v>5</v>
      </c>
      <c r="C136" t="s">
        <v>372</v>
      </c>
      <c r="D136" t="str">
        <f>IF(LEFT(Table16[[#This Row],[Opponent]],1)="@","Away","Home")</f>
        <v>Home</v>
      </c>
      <c r="E136">
        <f>_xlfn.NUMBERVALUE(MID(LEFT(Table16[[#This Row],[Score]],FIND("-",Table16[[#This Row],[Score]])-1),FIND(" ",Table16[[#This Row],[Score]])+1,LEN(Table16[[#This Row],[Score]])))</f>
        <v>9</v>
      </c>
      <c r="F136">
        <f>_xlfn.NUMBERVALUE(RIGHT(Table16[[#This Row],[Score]],LEN(Table16[[#This Row],[Score]])-FIND("-",Table16[[#This Row],[Score]])))</f>
        <v>1</v>
      </c>
      <c r="G136">
        <f t="shared" si="20"/>
        <v>10</v>
      </c>
      <c r="H136" t="str">
        <f>LEFT(Table16[[#This Row],[Score]],1)</f>
        <v>W</v>
      </c>
      <c r="I136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136" s="33">
        <f>VLOOKUP(Table16[[#This Row],[OPP]],Raw!$L$2:$S$23,7,FALSE)-Raw!$U$2</f>
        <v>0.53189121448478383</v>
      </c>
    </row>
    <row r="137" spans="1:10" x14ac:dyDescent="0.25">
      <c r="A137" t="s">
        <v>589</v>
      </c>
      <c r="B137" t="s">
        <v>5</v>
      </c>
      <c r="C137" t="s">
        <v>283</v>
      </c>
      <c r="D137" t="str">
        <f>IF(LEFT(Table16[[#This Row],[Opponent]],1)="@","Away","Home")</f>
        <v>Home</v>
      </c>
      <c r="E137">
        <f>_xlfn.NUMBERVALUE(MID(LEFT(Table16[[#This Row],[Score]],FIND("-",Table16[[#This Row],[Score]])-1),FIND(" ",Table16[[#This Row],[Score]])+1,LEN(Table16[[#This Row],[Score]])))</f>
        <v>10</v>
      </c>
      <c r="F137">
        <f>_xlfn.NUMBERVALUE(RIGHT(Table16[[#This Row],[Score]],LEN(Table16[[#This Row],[Score]])-FIND("-",Table16[[#This Row],[Score]])))</f>
        <v>8</v>
      </c>
      <c r="G137">
        <f>E137+F137</f>
        <v>18</v>
      </c>
      <c r="H137" t="str">
        <f>LEFT(Table16[[#This Row],[Score]],1)</f>
        <v>W</v>
      </c>
      <c r="I137" s="17" t="str">
        <f>VLOOKUP(IF(Table16[[#This Row],[At]]="Home",Table16[[#This Row],[Opponent]],RIGHT(Table16[[#This Row],[Opponent]],LEN(Table16[[#This Row],[Opponent]])-1)),CHOOSE({1,2},[1]StandingsRAW!$J$1:$J$22,[1]StandingsRAW!$L$1:$L$22),2,FALSE)</f>
        <v>KZO</v>
      </c>
      <c r="J137" s="33">
        <f>VLOOKUP(Table16[[#This Row],[OPP]],Raw!$L$2:$S$23,7,FALSE)-Raw!$U$2</f>
        <v>0.53189121448478383</v>
      </c>
    </row>
    <row r="138" spans="1:10" x14ac:dyDescent="0.25">
      <c r="A138" t="s">
        <v>592</v>
      </c>
      <c r="B138" t="s">
        <v>40</v>
      </c>
      <c r="C138" t="s">
        <v>50</v>
      </c>
      <c r="D138" t="str">
        <f>IF(LEFT(Table16[[#This Row],[Opponent]],1)="@","Away","Home")</f>
        <v>Away</v>
      </c>
      <c r="E138">
        <f>_xlfn.NUMBERVALUE(MID(LEFT(Table16[[#This Row],[Score]],FIND("-",Table16[[#This Row],[Score]])-1),FIND(" ",Table16[[#This Row],[Score]])+1,LEN(Table16[[#This Row],[Score]])))</f>
        <v>3</v>
      </c>
      <c r="F138">
        <f>_xlfn.NUMBERVALUE(RIGHT(Table16[[#This Row],[Score]],LEN(Table16[[#This Row],[Score]])-FIND("-",Table16[[#This Row],[Score]])))</f>
        <v>4</v>
      </c>
      <c r="G138">
        <f>E138+F138</f>
        <v>7</v>
      </c>
      <c r="H138" t="str">
        <f>LEFT(Table16[[#This Row],[Score]],1)</f>
        <v>L</v>
      </c>
      <c r="I138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138" s="33">
        <f>VLOOKUP(Table16[[#This Row],[OPP]],Raw!$L$2:$S$23,7,FALSE)-Raw!$U$2</f>
        <v>1.4411243913235945</v>
      </c>
    </row>
    <row r="139" spans="1:10" x14ac:dyDescent="0.25">
      <c r="A139" t="s">
        <v>595</v>
      </c>
      <c r="B139" t="s">
        <v>40</v>
      </c>
      <c r="C139" t="s">
        <v>254</v>
      </c>
      <c r="D139" t="str">
        <f>IF(LEFT(Table16[[#This Row],[Opponent]],1)="@","Away","Home")</f>
        <v>Away</v>
      </c>
      <c r="E139">
        <f>_xlfn.NUMBERVALUE(MID(LEFT(Table16[[#This Row],[Score]],FIND("-",Table16[[#This Row],[Score]])-1),FIND(" ",Table16[[#This Row],[Score]])+1,LEN(Table16[[#This Row],[Score]])))</f>
        <v>5</v>
      </c>
      <c r="F139">
        <f>_xlfn.NUMBERVALUE(RIGHT(Table16[[#This Row],[Score]],LEN(Table16[[#This Row],[Score]])-FIND("-",Table16[[#This Row],[Score]])))</f>
        <v>4</v>
      </c>
      <c r="G139">
        <f>E139+F139</f>
        <v>9</v>
      </c>
      <c r="H139" t="str">
        <f>LEFT(Table16[[#This Row],[Score]],1)</f>
        <v>W</v>
      </c>
      <c r="I139" s="17" t="str">
        <f>VLOOKUP(IF(Table16[[#This Row],[At]]="Home",Table16[[#This Row],[Opponent]],RIGHT(Table16[[#This Row],[Opponent]],LEN(Table16[[#This Row],[Opponent]])-1)),CHOOSE({1,2},[1]StandingsRAW!$J$1:$J$22,[1]StandingsRAW!$L$1:$L$22),2,FALSE)</f>
        <v>TVC</v>
      </c>
      <c r="J139" s="33">
        <f>VLOOKUP(Table16[[#This Row],[OPP]],Raw!$L$2:$S$23,7,FALSE)-Raw!$U$2</f>
        <v>1.4411243913235945</v>
      </c>
    </row>
    <row r="140" spans="1:10" x14ac:dyDescent="0.25">
      <c r="A140" t="s">
        <v>598</v>
      </c>
      <c r="B140" t="s">
        <v>30</v>
      </c>
      <c r="C140" t="s">
        <v>339</v>
      </c>
      <c r="D140" t="str">
        <f>IF(LEFT(Table16[[#This Row],[Opponent]],1)="@","Away","Home")</f>
        <v>Away</v>
      </c>
      <c r="E140">
        <f>_xlfn.NUMBERVALUE(MID(LEFT(Table16[[#This Row],[Score]],FIND("-",Table16[[#This Row],[Score]])-1),FIND(" ",Table16[[#This Row],[Score]])+1,LEN(Table16[[#This Row],[Score]])))</f>
        <v>15</v>
      </c>
      <c r="F140">
        <f>_xlfn.NUMBERVALUE(RIGHT(Table16[[#This Row],[Score]],LEN(Table16[[#This Row],[Score]])-FIND("-",Table16[[#This Row],[Score]])))</f>
        <v>8</v>
      </c>
      <c r="G140">
        <f>E140+F140</f>
        <v>23</v>
      </c>
      <c r="H140" t="str">
        <f>LEFT(Table16[[#This Row],[Score]],1)</f>
        <v>W</v>
      </c>
      <c r="I140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140" s="33">
        <f>VLOOKUP(Table16[[#This Row],[OPP]],Raw!$L$2:$S$23,7,FALSE)-Raw!$U$2</f>
        <v>-3.3200531208499337E-3</v>
      </c>
    </row>
    <row r="141" spans="1:10" x14ac:dyDescent="0.25">
      <c r="A141" t="s">
        <v>600</v>
      </c>
      <c r="B141" t="s">
        <v>52</v>
      </c>
      <c r="C141" t="s">
        <v>90</v>
      </c>
      <c r="D141" t="str">
        <f>IF(LEFT(Table16[[#This Row],[Opponent]],1)="@","Away","Home")</f>
        <v>Home</v>
      </c>
      <c r="E141">
        <f>_xlfn.NUMBERVALUE(MID(LEFT(Table16[[#This Row],[Score]],FIND("-",Table16[[#This Row],[Score]])-1),FIND(" ",Table16[[#This Row],[Score]])+1,LEN(Table16[[#This Row],[Score]])))</f>
        <v>0</v>
      </c>
      <c r="F141">
        <f>_xlfn.NUMBERVALUE(RIGHT(Table16[[#This Row],[Score]],LEN(Table16[[#This Row],[Score]])-FIND("-",Table16[[#This Row],[Score]])))</f>
        <v>8</v>
      </c>
      <c r="G141">
        <f t="shared" ref="G141:G145" si="21">E141+F141</f>
        <v>8</v>
      </c>
      <c r="H141" t="str">
        <f>LEFT(Table16[[#This Row],[Score]],1)</f>
        <v>L</v>
      </c>
      <c r="I141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141" s="33">
        <f>VLOOKUP(Table16[[#This Row],[OPP]],Raw!$L$2:$S$23,7,FALSE)-Raw!$U$2</f>
        <v>-3.3200531208499337E-3</v>
      </c>
    </row>
    <row r="142" spans="1:10" x14ac:dyDescent="0.25">
      <c r="A142" t="s">
        <v>600</v>
      </c>
      <c r="B142" t="s">
        <v>52</v>
      </c>
      <c r="C142" t="s">
        <v>197</v>
      </c>
      <c r="D142" t="str">
        <f>IF(LEFT(Table16[[#This Row],[Opponent]],1)="@","Away","Home")</f>
        <v>Home</v>
      </c>
      <c r="E142">
        <f>_xlfn.NUMBERVALUE(MID(LEFT(Table16[[#This Row],[Score]],FIND("-",Table16[[#This Row],[Score]])-1),FIND(" ",Table16[[#This Row],[Score]])+1,LEN(Table16[[#This Row],[Score]])))</f>
        <v>0</v>
      </c>
      <c r="F142">
        <f>_xlfn.NUMBERVALUE(RIGHT(Table16[[#This Row],[Score]],LEN(Table16[[#This Row],[Score]])-FIND("-",Table16[[#This Row],[Score]])))</f>
        <v>1</v>
      </c>
      <c r="G142">
        <f t="shared" si="21"/>
        <v>1</v>
      </c>
      <c r="H142" t="str">
        <f>LEFT(Table16[[#This Row],[Score]],1)</f>
        <v>L</v>
      </c>
      <c r="I142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142" s="33">
        <f>VLOOKUP(Table16[[#This Row],[OPP]],Raw!$L$2:$S$23,7,FALSE)-Raw!$U$2</f>
        <v>-3.3200531208499337E-3</v>
      </c>
    </row>
    <row r="143" spans="1:10" x14ac:dyDescent="0.25">
      <c r="A143" t="s">
        <v>601</v>
      </c>
      <c r="B143" t="s">
        <v>30</v>
      </c>
      <c r="C143" t="s">
        <v>322</v>
      </c>
      <c r="D143" t="str">
        <f>IF(LEFT(Table16[[#This Row],[Opponent]],1)="@","Away","Home")</f>
        <v>Away</v>
      </c>
      <c r="E143">
        <f>_xlfn.NUMBERVALUE(MID(LEFT(Table16[[#This Row],[Score]],FIND("-",Table16[[#This Row],[Score]])-1),FIND(" ",Table16[[#This Row],[Score]])+1,LEN(Table16[[#This Row],[Score]])))</f>
        <v>6</v>
      </c>
      <c r="F143">
        <f>_xlfn.NUMBERVALUE(RIGHT(Table16[[#This Row],[Score]],LEN(Table16[[#This Row],[Score]])-FIND("-",Table16[[#This Row],[Score]])))</f>
        <v>7</v>
      </c>
      <c r="G143">
        <f t="shared" si="21"/>
        <v>13</v>
      </c>
      <c r="H143" t="str">
        <f>LEFT(Table16[[#This Row],[Score]],1)</f>
        <v>L</v>
      </c>
      <c r="I143" s="17" t="str">
        <f>VLOOKUP(IF(Table16[[#This Row],[At]]="Home",Table16[[#This Row],[Opponent]],RIGHT(Table16[[#This Row],[Opponent]],LEN(Table16[[#This Row],[Opponent]])-1)),CHOOSE({1,2},[1]StandingsRAW!$J$1:$J$22,[1]StandingsRAW!$L$1:$L$22),2,FALSE)</f>
        <v>KEN</v>
      </c>
      <c r="J143" s="33">
        <f>VLOOKUP(Table16[[#This Row],[OPP]],Raw!$L$2:$S$23,7,FALSE)-Raw!$U$2</f>
        <v>-3.3200531208499337E-3</v>
      </c>
    </row>
    <row r="144" spans="1:10" x14ac:dyDescent="0.25">
      <c r="A144" t="s">
        <v>602</v>
      </c>
      <c r="B144" t="s">
        <v>10</v>
      </c>
      <c r="C144" t="s">
        <v>94</v>
      </c>
      <c r="D144" t="str">
        <f>IF(LEFT(Table16[[#This Row],[Opponent]],1)="@","Away","Home")</f>
        <v>Away</v>
      </c>
      <c r="E144">
        <f>_xlfn.NUMBERVALUE(MID(LEFT(Table16[[#This Row],[Score]],FIND("-",Table16[[#This Row],[Score]])-1),FIND(" ",Table16[[#This Row],[Score]])+1,LEN(Table16[[#This Row],[Score]])))</f>
        <v>4</v>
      </c>
      <c r="F144">
        <f>_xlfn.NUMBERVALUE(RIGHT(Table16[[#This Row],[Score]],LEN(Table16[[#This Row],[Score]])-FIND("-",Table16[[#This Row],[Score]])))</f>
        <v>8</v>
      </c>
      <c r="G144">
        <f t="shared" si="21"/>
        <v>12</v>
      </c>
      <c r="H144" t="str">
        <f>LEFT(Table16[[#This Row],[Score]],1)</f>
        <v>L</v>
      </c>
      <c r="I144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144" s="33">
        <f>VLOOKUP(Table16[[#This Row],[OPP]],Raw!$L$2:$S$23,7,FALSE)-Raw!$U$2</f>
        <v>-3.1019116024166244</v>
      </c>
    </row>
    <row r="145" spans="1:10" x14ac:dyDescent="0.25">
      <c r="A145" t="s">
        <v>603</v>
      </c>
      <c r="B145" t="s">
        <v>10</v>
      </c>
      <c r="C145" t="s">
        <v>372</v>
      </c>
      <c r="D145" t="str">
        <f>IF(LEFT(Table16[[#This Row],[Opponent]],1)="@","Away","Home")</f>
        <v>Away</v>
      </c>
      <c r="E145">
        <f>_xlfn.NUMBERVALUE(MID(LEFT(Table16[[#This Row],[Score]],FIND("-",Table16[[#This Row],[Score]])-1),FIND(" ",Table16[[#This Row],[Score]])+1,LEN(Table16[[#This Row],[Score]])))</f>
        <v>9</v>
      </c>
      <c r="F145">
        <f>_xlfn.NUMBERVALUE(RIGHT(Table16[[#This Row],[Score]],LEN(Table16[[#This Row],[Score]])-FIND("-",Table16[[#This Row],[Score]])))</f>
        <v>1</v>
      </c>
      <c r="G145">
        <f t="shared" si="21"/>
        <v>10</v>
      </c>
      <c r="H145" t="str">
        <f>LEFT(Table16[[#This Row],[Score]],1)</f>
        <v>W</v>
      </c>
      <c r="I145" s="17" t="str">
        <f>VLOOKUP(IF(Table16[[#This Row],[At]]="Home",Table16[[#This Row],[Opponent]],RIGHT(Table16[[#This Row],[Opponent]],LEN(Table16[[#This Row],[Opponent]])-1)),CHOOSE({1,2},[1]StandingsRAW!$J$1:$J$22,[1]StandingsRAW!$L$1:$L$22),2,FALSE)</f>
        <v>KMO</v>
      </c>
      <c r="J145" s="33">
        <f>VLOOKUP(Table16[[#This Row],[OPP]],Raw!$L$2:$S$23,7,FALSE)-Raw!$U$2</f>
        <v>-3.1019116024166244</v>
      </c>
    </row>
    <row r="146" spans="1:10" x14ac:dyDescent="0.25">
      <c r="A146" t="s">
        <v>608</v>
      </c>
      <c r="B146" t="s">
        <v>343</v>
      </c>
      <c r="C146" t="s">
        <v>15</v>
      </c>
      <c r="D146" t="str">
        <f>IF(LEFT(Table16[[#This Row],[Opponent]],1)="@","Away","Home")</f>
        <v>Home</v>
      </c>
      <c r="E146">
        <f>_xlfn.NUMBERVALUE(MID(LEFT(Table16[[#This Row],[Score]],FIND("-",Table16[[#This Row],[Score]])-1),FIND(" ",Table16[[#This Row],[Score]])+1,LEN(Table16[[#This Row],[Score]])))</f>
        <v>3</v>
      </c>
      <c r="F146">
        <f>_xlfn.NUMBERVALUE(RIGHT(Table16[[#This Row],[Score]],LEN(Table16[[#This Row],[Score]])-FIND("-",Table16[[#This Row],[Score]])))</f>
        <v>1</v>
      </c>
      <c r="G146">
        <f t="shared" ref="G146:G147" si="22">E146+F146</f>
        <v>4</v>
      </c>
      <c r="H146" t="str">
        <f>LEFT(Table16[[#This Row],[Score]],1)</f>
        <v>W</v>
      </c>
      <c r="I146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146" s="33">
        <f>VLOOKUP(Table16[[#This Row],[OPP]],Raw!$L$2:$S$23,7,FALSE)-Raw!$U$2</f>
        <v>-0.61443116423196109</v>
      </c>
    </row>
    <row r="147" spans="1:10" x14ac:dyDescent="0.25">
      <c r="A147" t="s">
        <v>609</v>
      </c>
      <c r="B147" t="s">
        <v>343</v>
      </c>
      <c r="C147" t="s">
        <v>205</v>
      </c>
      <c r="D147" t="str">
        <f>IF(LEFT(Table16[[#This Row],[Opponent]],1)="@","Away","Home")</f>
        <v>Home</v>
      </c>
      <c r="E147">
        <f>_xlfn.NUMBERVALUE(MID(LEFT(Table16[[#This Row],[Score]],FIND("-",Table16[[#This Row],[Score]])-1),FIND(" ",Table16[[#This Row],[Score]])+1,LEN(Table16[[#This Row],[Score]])))</f>
        <v>5</v>
      </c>
      <c r="F147">
        <f>_xlfn.NUMBERVALUE(RIGHT(Table16[[#This Row],[Score]],LEN(Table16[[#This Row],[Score]])-FIND("-",Table16[[#This Row],[Score]])))</f>
        <v>6</v>
      </c>
      <c r="G147">
        <f t="shared" si="22"/>
        <v>11</v>
      </c>
      <c r="H147" t="str">
        <f>LEFT(Table16[[#This Row],[Score]],1)</f>
        <v>L</v>
      </c>
      <c r="I147" s="17" t="str">
        <f>VLOOKUP(IF(Table16[[#This Row],[At]]="Home",Table16[[#This Row],[Opponent]],RIGHT(Table16[[#This Row],[Opponent]],LEN(Table16[[#This Row],[Opponent]])-1)),CHOOSE({1,2},[1]StandingsRAW!$J$1:$J$22,[1]StandingsRAW!$L$1:$L$22),2,FALSE)</f>
        <v>BC</v>
      </c>
      <c r="J147" s="33">
        <f>VLOOKUP(Table16[[#This Row],[OPP]],Raw!$L$2:$S$23,7,FALSE)-Raw!$U$2</f>
        <v>-0.61443116423196109</v>
      </c>
    </row>
  </sheetData>
  <conditionalFormatting sqref="L17">
    <cfRule type="cellIs" dxfId="39" priority="4" operator="greaterThan">
      <formula>100</formula>
    </cfRule>
    <cfRule type="cellIs" dxfId="38" priority="5" operator="lessThan">
      <formula>100</formula>
    </cfRule>
  </conditionalFormatting>
  <conditionalFormatting sqref="L18">
    <cfRule type="cellIs" dxfId="37" priority="2" operator="greaterThan">
      <formula>100</formula>
    </cfRule>
    <cfRule type="cellIs" dxfId="36" priority="3" operator="lessThan">
      <formula>100</formula>
    </cfRule>
  </conditionalFormatting>
  <conditionalFormatting sqref="L17:L18">
    <cfRule type="cellIs" dxfId="35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4792-BD71-428C-94E5-879C184F155C}">
  <sheetPr codeName="Sheet18"/>
  <dimension ref="A1:P142"/>
  <sheetViews>
    <sheetView topLeftCell="A71" workbookViewId="0">
      <selection activeCell="A72" sqref="A72"/>
    </sheetView>
  </sheetViews>
  <sheetFormatPr defaultRowHeight="15" x14ac:dyDescent="0.25"/>
  <cols>
    <col min="2" max="2" width="12.140625" customWidth="1"/>
    <col min="6" max="6" width="10.5703125" customWidth="1"/>
    <col min="9" max="10" width="11" customWidth="1"/>
    <col min="11" max="11" width="9.140625" style="4"/>
    <col min="12" max="12" width="9.140625" style="1"/>
  </cols>
  <sheetData>
    <row r="1" spans="1:16" x14ac:dyDescent="0.25">
      <c r="A1" t="s">
        <v>414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194</v>
      </c>
      <c r="C3" t="s">
        <v>128</v>
      </c>
      <c r="E3" s="1" t="str">
        <f>IF(LEFT(B3,1)="@","Away","Home")</f>
        <v>Away</v>
      </c>
      <c r="F3" s="3">
        <f>_xlfn.NUMBERVALUE(MID(LEFT(C3,FIND("-",C3)-1),FIND(" ",C3)+1,LEN(C3)))</f>
        <v>6</v>
      </c>
      <c r="G3" s="3">
        <f>_xlfn.NUMBERVALUE(RIGHT(C3,LEN(C3)-FIND("-",C3)))</f>
        <v>5</v>
      </c>
      <c r="H3" s="3">
        <f t="shared" ref="H3:H66" si="0">F3+G3</f>
        <v>11</v>
      </c>
      <c r="I3" s="3" t="str">
        <f>LEFT(C3,1)</f>
        <v>W</v>
      </c>
      <c r="K3" s="4" t="s">
        <v>139</v>
      </c>
      <c r="L3" s="5">
        <f>(SUMIF($E$3:$E$141,$K3,F$3:F$141) + SUMIF(ROC!$D$72:$D$139,$K3,ROC!$E$72:$E$139))/(COUNTIF($E$3:$E$141,$K3) + COUNTIF(ROC!$D$72:$D$139,$K3))</f>
        <v>6.5138888888888893</v>
      </c>
      <c r="M3" s="5">
        <f>(SUMIF($E$3:$E$141,$K3,G$3:G$141) + SUMIF(ROC!$D$72:$D$139,$K3,ROC!$F$72:$F$139))/(COUNTIF($E$3:$E$141,$K3) + COUNTIF(ROC!$D$72:$D$139,$K3))</f>
        <v>6.333333333333333</v>
      </c>
      <c r="N3" s="5">
        <f>L3+M3</f>
        <v>12.847222222222221</v>
      </c>
      <c r="O3" s="5">
        <f>(COUNTIFS($E$3:$E$74,$K3,$I$3:$I$74,O$2) + COUNTIFS(ROC!$D$72:$D$139,$K3,ROC!$H$72:$H$139,O$2))/(COUNTIF($E$3:$E$74,$K3) + COUNTIF(ROC!$D$72:$D$139,$K3))</f>
        <v>0.59722222222222221</v>
      </c>
      <c r="P3" s="5">
        <f>(COUNTIFS($E$3:$E$74,$K3,$I$3:$I$74,P$2) + COUNTIFS(ROC!$D$72:$D$139,$K3,ROC!$H$72:$H$139,P$2))/(COUNTIF($E$3:$E$74,$K3) + COUNTIF(ROC!$D$72:$D$139,$K3))</f>
        <v>0.40277777777777779</v>
      </c>
    </row>
    <row r="4" spans="1:16" x14ac:dyDescent="0.25">
      <c r="A4" t="s">
        <v>7</v>
      </c>
      <c r="B4" t="s">
        <v>235</v>
      </c>
      <c r="C4" t="s">
        <v>267</v>
      </c>
      <c r="E4" s="1" t="str">
        <f t="shared" ref="E4:E67" si="1">IF(LEFT(B4,1)="@","Away","Home")</f>
        <v>Home</v>
      </c>
      <c r="F4" s="3">
        <f t="shared" ref="F4:F67" si="2">_xlfn.NUMBERVALUE(MID(LEFT(C4,FIND("-",C4)-1),FIND(" ",C4)+1,LEN(C4)))</f>
        <v>8</v>
      </c>
      <c r="G4" s="3">
        <f t="shared" ref="G4:G67" si="3">_xlfn.NUMBERVALUE(RIGHT(C4,LEN(C4)-FIND("-",C4)))</f>
        <v>7</v>
      </c>
      <c r="H4" s="3">
        <f t="shared" si="0"/>
        <v>15</v>
      </c>
      <c r="I4" s="3" t="str">
        <f t="shared" ref="I4:I67" si="4">LEFT(C4,1)</f>
        <v>W</v>
      </c>
      <c r="K4" s="4" t="s">
        <v>140</v>
      </c>
      <c r="L4" s="5">
        <f>(SUMIF($E$3:$E$141,$K4,F$3:F$141) + SUMIF(ROC!$D$72:$D$139,$K4,ROC!$E$72:$E$139))/(COUNTIF($E$3:$E$141,$K4) + COUNTIF(ROC!$D$72:$D$139,$K4))</f>
        <v>5.5238095238095237</v>
      </c>
      <c r="M4" s="5">
        <f>(SUMIF($E$3:$E$141,$K4,G$3:G$141) + SUMIF(ROC!$D$72:$D$139,$K4,ROC!$F$72:$F$139))/(COUNTIF($E$3:$E$141,$K4) + COUNTIF(ROC!$D$72:$D$139,$K4))</f>
        <v>6.5238095238095237</v>
      </c>
      <c r="N4" s="5">
        <f>L4+M4</f>
        <v>12.047619047619047</v>
      </c>
      <c r="O4" s="5">
        <f>(COUNTIFS($E$3:$E$74,$K4,$I$3:$I$74,O$2) + COUNTIFS(ROC!$D$72:$D$139,$K4,ROC!$H$72:$H$139,O$2))/(COUNTIF($E$3:$E$74,$K4) + COUNTIF(ROC!$D$72:$D$139,$K4))</f>
        <v>0.30158730158730157</v>
      </c>
      <c r="P4" s="5">
        <f>(COUNTIFS($E$3:$E$74,$K4,$I$3:$I$74,P$2) + COUNTIFS(ROC!$D$72:$D$139,$K4,ROC!$H$72:$H$139,P$2))/(COUNTIF($E$3:$E$74,$K4) + COUNTIF(ROC!$D$72:$D$139,$K4))</f>
        <v>0.69841269841269837</v>
      </c>
    </row>
    <row r="5" spans="1:16" x14ac:dyDescent="0.25">
      <c r="A5" t="s">
        <v>9</v>
      </c>
      <c r="B5" t="s">
        <v>258</v>
      </c>
      <c r="C5" t="s">
        <v>397</v>
      </c>
      <c r="E5" s="1" t="str">
        <f t="shared" si="1"/>
        <v>Home</v>
      </c>
      <c r="F5" s="3">
        <f t="shared" si="2"/>
        <v>8</v>
      </c>
      <c r="G5" s="3">
        <f t="shared" si="3"/>
        <v>14</v>
      </c>
      <c r="H5" s="3">
        <f t="shared" si="0"/>
        <v>22</v>
      </c>
      <c r="I5" s="3" t="str">
        <f t="shared" si="4"/>
        <v>L</v>
      </c>
    </row>
    <row r="6" spans="1:16" x14ac:dyDescent="0.25">
      <c r="A6" t="s">
        <v>12</v>
      </c>
      <c r="B6" t="s">
        <v>192</v>
      </c>
      <c r="C6" t="s">
        <v>277</v>
      </c>
      <c r="E6" s="1" t="str">
        <f t="shared" si="1"/>
        <v>Away</v>
      </c>
      <c r="F6" s="3">
        <f t="shared" si="2"/>
        <v>5</v>
      </c>
      <c r="G6" s="3">
        <f t="shared" si="3"/>
        <v>8</v>
      </c>
      <c r="H6" s="3">
        <f t="shared" si="0"/>
        <v>13</v>
      </c>
      <c r="I6" s="3" t="str">
        <f t="shared" si="4"/>
        <v>L</v>
      </c>
      <c r="K6" s="4" t="s">
        <v>144</v>
      </c>
      <c r="L6" s="5">
        <f>N3/N4</f>
        <v>1.0663702239789197</v>
      </c>
      <c r="O6" s="4" t="s">
        <v>178</v>
      </c>
      <c r="P6" s="1" t="s">
        <v>180</v>
      </c>
    </row>
    <row r="7" spans="1:16" x14ac:dyDescent="0.25">
      <c r="A7" t="s">
        <v>14</v>
      </c>
      <c r="B7" t="s">
        <v>222</v>
      </c>
      <c r="C7" t="s">
        <v>404</v>
      </c>
      <c r="E7" s="1" t="str">
        <f t="shared" si="1"/>
        <v>Home</v>
      </c>
      <c r="F7" s="3">
        <f t="shared" si="2"/>
        <v>3</v>
      </c>
      <c r="G7" s="3">
        <f t="shared" si="3"/>
        <v>16</v>
      </c>
      <c r="H7" s="3">
        <f t="shared" si="0"/>
        <v>19</v>
      </c>
      <c r="I7" s="3" t="str">
        <f t="shared" si="4"/>
        <v>L</v>
      </c>
      <c r="K7" s="7" t="s">
        <v>143</v>
      </c>
      <c r="L7" s="5">
        <f>(18.5 - O3)/(18.5-P4)</f>
        <v>1.005684351315203</v>
      </c>
      <c r="O7" s="4" t="s">
        <v>147</v>
      </c>
      <c r="P7" s="1">
        <f>VLOOKUP($P$6,'Full League'!$L$4:$N$5,2,FALSE)</f>
        <v>10</v>
      </c>
    </row>
    <row r="8" spans="1:16" x14ac:dyDescent="0.25">
      <c r="A8" t="s">
        <v>16</v>
      </c>
      <c r="B8" t="s">
        <v>222</v>
      </c>
      <c r="C8" t="s">
        <v>415</v>
      </c>
      <c r="E8" s="1" t="str">
        <f t="shared" si="1"/>
        <v>Home</v>
      </c>
      <c r="F8" s="3">
        <f t="shared" si="2"/>
        <v>17</v>
      </c>
      <c r="G8" s="3">
        <f t="shared" si="3"/>
        <v>8</v>
      </c>
      <c r="H8" s="3">
        <f t="shared" si="0"/>
        <v>25</v>
      </c>
      <c r="I8" s="3" t="str">
        <f t="shared" si="4"/>
        <v>W</v>
      </c>
      <c r="K8" s="7" t="s">
        <v>146</v>
      </c>
      <c r="L8" s="5">
        <f>L6/L7</f>
        <v>1.0603428626331448</v>
      </c>
      <c r="O8" s="4" t="s">
        <v>151</v>
      </c>
      <c r="P8" s="2">
        <f>VLOOKUP($P$6,'Full League'!$L$4:$N$5,3,FALSE)</f>
        <v>11.586233565351895</v>
      </c>
    </row>
    <row r="9" spans="1:16" x14ac:dyDescent="0.25">
      <c r="A9" t="s">
        <v>19</v>
      </c>
      <c r="B9" t="s">
        <v>278</v>
      </c>
      <c r="C9" t="s">
        <v>118</v>
      </c>
      <c r="E9" s="1" t="str">
        <f t="shared" si="1"/>
        <v>Home</v>
      </c>
      <c r="F9" s="3">
        <f t="shared" si="2"/>
        <v>9</v>
      </c>
      <c r="G9" s="3">
        <f t="shared" si="3"/>
        <v>8</v>
      </c>
      <c r="H9" s="3">
        <f t="shared" si="0"/>
        <v>17</v>
      </c>
      <c r="I9" s="3" t="str">
        <f t="shared" si="4"/>
        <v>W</v>
      </c>
      <c r="K9" s="7" t="s">
        <v>145</v>
      </c>
      <c r="L9" s="5">
        <f>(P7)/(P7-1+L8)</f>
        <v>0.99400190794120191</v>
      </c>
      <c r="O9" s="4"/>
      <c r="P9" s="1"/>
    </row>
    <row r="10" spans="1:16" x14ac:dyDescent="0.25">
      <c r="A10" t="s">
        <v>193</v>
      </c>
      <c r="B10" t="s">
        <v>278</v>
      </c>
      <c r="C10" t="s">
        <v>56</v>
      </c>
      <c r="E10" s="1" t="str">
        <f t="shared" si="1"/>
        <v>Home</v>
      </c>
      <c r="F10" s="3">
        <f t="shared" si="2"/>
        <v>1</v>
      </c>
      <c r="G10" s="3">
        <f t="shared" si="3"/>
        <v>7</v>
      </c>
      <c r="H10" s="3">
        <f t="shared" si="0"/>
        <v>8</v>
      </c>
      <c r="I10" s="3" t="str">
        <f t="shared" si="4"/>
        <v>L</v>
      </c>
      <c r="K10" s="4" t="s">
        <v>149</v>
      </c>
      <c r="L10" s="5">
        <f>L8*L9</f>
        <v>1.0539828285291817</v>
      </c>
      <c r="O10" s="4"/>
      <c r="P10" s="1"/>
    </row>
    <row r="11" spans="1:16" x14ac:dyDescent="0.25">
      <c r="A11" t="s">
        <v>22</v>
      </c>
      <c r="B11" t="s">
        <v>245</v>
      </c>
      <c r="C11" t="s">
        <v>292</v>
      </c>
      <c r="E11" s="1" t="str">
        <f t="shared" si="1"/>
        <v>Home</v>
      </c>
      <c r="F11" s="3">
        <f t="shared" si="2"/>
        <v>7</v>
      </c>
      <c r="G11" s="3">
        <f t="shared" si="3"/>
        <v>8</v>
      </c>
      <c r="H11" s="3">
        <f t="shared" si="0"/>
        <v>15</v>
      </c>
      <c r="I11" s="3" t="str">
        <f t="shared" si="4"/>
        <v>L</v>
      </c>
      <c r="K11" s="4" t="s">
        <v>148</v>
      </c>
      <c r="L11" s="5">
        <f>1 - ((L10-1)/(P7-1))</f>
        <v>0.99400190794120202</v>
      </c>
      <c r="O11" s="4"/>
      <c r="P11" s="1"/>
    </row>
    <row r="12" spans="1:16" x14ac:dyDescent="0.25">
      <c r="A12" t="s">
        <v>196</v>
      </c>
      <c r="B12" t="s">
        <v>201</v>
      </c>
      <c r="C12" t="s">
        <v>298</v>
      </c>
      <c r="E12" s="1" t="str">
        <f t="shared" si="1"/>
        <v>Away</v>
      </c>
      <c r="F12" s="3">
        <f t="shared" si="2"/>
        <v>1</v>
      </c>
      <c r="G12" s="3">
        <f t="shared" si="3"/>
        <v>2</v>
      </c>
      <c r="H12" s="3">
        <f t="shared" si="0"/>
        <v>3</v>
      </c>
      <c r="I12" s="3" t="str">
        <f t="shared" si="4"/>
        <v>L</v>
      </c>
      <c r="K12" s="4" t="s">
        <v>150</v>
      </c>
      <c r="L12" s="5">
        <f>(($L4/$L11)+($L3/$L10)) * (1 + (L13-1)/($P7-1)) / $P8</f>
        <v>1.0130473055580589</v>
      </c>
      <c r="M12" s="5">
        <f t="shared" ref="M12:O12" si="5">(($L4/$L11)+($L3/$L10)) * (1 + (M13-1)/($P7-1)) / $P8</f>
        <v>1.0228023925342997</v>
      </c>
      <c r="N12" s="5">
        <f t="shared" si="5"/>
        <v>1.0229347786396858</v>
      </c>
      <c r="O12" s="8">
        <f t="shared" si="5"/>
        <v>1.0229365752490798</v>
      </c>
      <c r="P12" s="5"/>
    </row>
    <row r="13" spans="1:16" x14ac:dyDescent="0.25">
      <c r="A13" t="s">
        <v>34</v>
      </c>
      <c r="B13" t="s">
        <v>250</v>
      </c>
      <c r="C13" t="s">
        <v>270</v>
      </c>
      <c r="E13" s="1" t="str">
        <f t="shared" si="1"/>
        <v>Home</v>
      </c>
      <c r="F13" s="3">
        <f t="shared" si="2"/>
        <v>4</v>
      </c>
      <c r="G13" s="3">
        <f t="shared" si="3"/>
        <v>3</v>
      </c>
      <c r="H13" s="3">
        <f t="shared" si="0"/>
        <v>7</v>
      </c>
      <c r="I13" s="3" t="str">
        <f t="shared" si="4"/>
        <v>W</v>
      </c>
      <c r="K13" s="4" t="s">
        <v>182</v>
      </c>
      <c r="L13" s="5">
        <v>1</v>
      </c>
      <c r="M13" s="5">
        <f>(($M4/$L11)+($M3/$L10)) * (1 + (L12-1)/($P7-1)) / $P8</f>
        <v>1.0866650375599243</v>
      </c>
      <c r="N13" s="5">
        <f>(($M4/$L11)+($M3/$L10)) * (1 + (M12-1)/($P7-1)) / $P8</f>
        <v>1.0878411671857948</v>
      </c>
      <c r="O13" s="5">
        <f>(($M4/$L11)+($M3/$L10)) * (1 + (N12-1)/($P7-1)) / $P8</f>
        <v>1.0878571284192495</v>
      </c>
      <c r="P13" s="8">
        <f>(($M4/$L11)+($M3/$L10)) * (1 + (O12-1)/($P7-1)) / $P8</f>
        <v>1.0878573450288542</v>
      </c>
    </row>
    <row r="14" spans="1:16" x14ac:dyDescent="0.25">
      <c r="A14" t="s">
        <v>37</v>
      </c>
      <c r="B14" t="s">
        <v>250</v>
      </c>
      <c r="C14" t="s">
        <v>50</v>
      </c>
      <c r="E14" s="1" t="str">
        <f t="shared" si="1"/>
        <v>Home</v>
      </c>
      <c r="F14" s="3">
        <f t="shared" si="2"/>
        <v>3</v>
      </c>
      <c r="G14" s="3">
        <f t="shared" si="3"/>
        <v>4</v>
      </c>
      <c r="H14" s="3">
        <f t="shared" si="0"/>
        <v>7</v>
      </c>
      <c r="I14" s="3" t="str">
        <f t="shared" si="4"/>
        <v>L</v>
      </c>
      <c r="K14" s="4" t="s">
        <v>183</v>
      </c>
      <c r="L14" s="5">
        <f xml:space="preserve"> (L10+L11) / (2 * (1 + ((P13-1)/(P7-1))))</f>
        <v>1.0140928674631904</v>
      </c>
      <c r="N14" s="5"/>
    </row>
    <row r="15" spans="1:16" x14ac:dyDescent="0.25">
      <c r="A15" t="s">
        <v>39</v>
      </c>
      <c r="B15" t="s">
        <v>245</v>
      </c>
      <c r="C15" t="s">
        <v>207</v>
      </c>
      <c r="E15" s="1" t="str">
        <f t="shared" si="1"/>
        <v>Home</v>
      </c>
      <c r="F15" s="3">
        <f t="shared" si="2"/>
        <v>3</v>
      </c>
      <c r="G15" s="3">
        <f t="shared" si="3"/>
        <v>8</v>
      </c>
      <c r="H15" s="3">
        <f t="shared" si="0"/>
        <v>11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1.021389348939574</v>
      </c>
    </row>
    <row r="16" spans="1:16" ht="15.75" thickBot="1" x14ac:dyDescent="0.3">
      <c r="A16" t="s">
        <v>41</v>
      </c>
      <c r="B16" t="s">
        <v>245</v>
      </c>
      <c r="C16" t="s">
        <v>42</v>
      </c>
      <c r="E16" s="1" t="str">
        <f t="shared" si="1"/>
        <v>Home</v>
      </c>
      <c r="F16" s="3">
        <f t="shared" si="2"/>
        <v>0</v>
      </c>
      <c r="G16" s="3">
        <f t="shared" si="3"/>
        <v>3</v>
      </c>
      <c r="H16" s="3">
        <f t="shared" si="0"/>
        <v>3</v>
      </c>
      <c r="I16" s="3" t="str">
        <f t="shared" si="4"/>
        <v>L</v>
      </c>
    </row>
    <row r="17" spans="1:14" x14ac:dyDescent="0.25">
      <c r="A17" t="s">
        <v>43</v>
      </c>
      <c r="B17" t="s">
        <v>206</v>
      </c>
      <c r="C17" t="s">
        <v>46</v>
      </c>
      <c r="E17" s="1" t="str">
        <f t="shared" si="1"/>
        <v>Away</v>
      </c>
      <c r="F17" s="3">
        <f t="shared" si="2"/>
        <v>6</v>
      </c>
      <c r="G17" s="3">
        <f t="shared" si="3"/>
        <v>8</v>
      </c>
      <c r="H17" s="3">
        <f t="shared" si="0"/>
        <v>14</v>
      </c>
      <c r="I17" s="3" t="str">
        <f t="shared" si="4"/>
        <v>L</v>
      </c>
      <c r="K17" s="9" t="s">
        <v>185</v>
      </c>
      <c r="L17" s="10">
        <f>L14*100</f>
        <v>101.40928674631904</v>
      </c>
    </row>
    <row r="18" spans="1:14" ht="15.75" thickBot="1" x14ac:dyDescent="0.3">
      <c r="A18" t="s">
        <v>45</v>
      </c>
      <c r="B18" t="s">
        <v>206</v>
      </c>
      <c r="C18" t="s">
        <v>50</v>
      </c>
      <c r="E18" s="1" t="str">
        <f t="shared" si="1"/>
        <v>Away</v>
      </c>
      <c r="F18" s="3">
        <f t="shared" si="2"/>
        <v>3</v>
      </c>
      <c r="G18" s="3">
        <f t="shared" si="3"/>
        <v>4</v>
      </c>
      <c r="H18" s="3">
        <f t="shared" si="0"/>
        <v>7</v>
      </c>
      <c r="I18" s="3" t="str">
        <f t="shared" si="4"/>
        <v>L</v>
      </c>
      <c r="K18" s="11" t="s">
        <v>186</v>
      </c>
      <c r="L18" s="12">
        <f>L15*100</f>
        <v>102.1389348939574</v>
      </c>
    </row>
    <row r="19" spans="1:14" x14ac:dyDescent="0.25">
      <c r="A19" t="s">
        <v>47</v>
      </c>
      <c r="B19" t="s">
        <v>225</v>
      </c>
      <c r="C19" t="s">
        <v>28</v>
      </c>
      <c r="E19" s="1" t="str">
        <f t="shared" si="1"/>
        <v>Home</v>
      </c>
      <c r="F19" s="3">
        <f t="shared" si="2"/>
        <v>4</v>
      </c>
      <c r="G19" s="3">
        <f t="shared" si="3"/>
        <v>2</v>
      </c>
      <c r="H19" s="3">
        <f t="shared" si="0"/>
        <v>6</v>
      </c>
      <c r="I19" s="3" t="str">
        <f t="shared" si="4"/>
        <v>W</v>
      </c>
    </row>
    <row r="20" spans="1:14" x14ac:dyDescent="0.25">
      <c r="A20" t="s">
        <v>49</v>
      </c>
      <c r="B20" t="s">
        <v>225</v>
      </c>
      <c r="C20" t="s">
        <v>128</v>
      </c>
      <c r="E20" s="1" t="str">
        <f t="shared" si="1"/>
        <v>Home</v>
      </c>
      <c r="F20" s="3">
        <f t="shared" si="2"/>
        <v>6</v>
      </c>
      <c r="G20" s="3">
        <f t="shared" si="3"/>
        <v>5</v>
      </c>
      <c r="H20" s="3">
        <f t="shared" si="0"/>
        <v>11</v>
      </c>
      <c r="I20" s="3" t="str">
        <f t="shared" si="4"/>
        <v>W</v>
      </c>
    </row>
    <row r="21" spans="1:14" x14ac:dyDescent="0.25">
      <c r="A21" t="s">
        <v>51</v>
      </c>
      <c r="B21" t="s">
        <v>250</v>
      </c>
      <c r="C21" t="s">
        <v>132</v>
      </c>
      <c r="E21" s="1" t="str">
        <f t="shared" si="1"/>
        <v>Home</v>
      </c>
      <c r="F21" s="3">
        <f t="shared" si="2"/>
        <v>3</v>
      </c>
      <c r="G21" s="3">
        <f t="shared" si="3"/>
        <v>6</v>
      </c>
      <c r="H21" s="3">
        <f t="shared" si="0"/>
        <v>9</v>
      </c>
      <c r="I21" s="3" t="str">
        <f t="shared" si="4"/>
        <v>L</v>
      </c>
    </row>
    <row r="22" spans="1:14" x14ac:dyDescent="0.25">
      <c r="A22" t="s">
        <v>51</v>
      </c>
      <c r="B22" t="s">
        <v>250</v>
      </c>
      <c r="C22" t="s">
        <v>239</v>
      </c>
      <c r="E22" s="1" t="str">
        <f t="shared" si="1"/>
        <v>Home</v>
      </c>
      <c r="F22" s="3">
        <f t="shared" si="2"/>
        <v>8</v>
      </c>
      <c r="G22" s="3">
        <f t="shared" si="3"/>
        <v>5</v>
      </c>
      <c r="H22" s="3">
        <f t="shared" si="0"/>
        <v>13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53</v>
      </c>
      <c r="B23" t="s">
        <v>211</v>
      </c>
      <c r="C23" t="s">
        <v>128</v>
      </c>
      <c r="E23" s="1" t="str">
        <f t="shared" si="1"/>
        <v>Away</v>
      </c>
      <c r="F23" s="3">
        <f t="shared" si="2"/>
        <v>6</v>
      </c>
      <c r="G23" s="3">
        <f t="shared" si="3"/>
        <v>5</v>
      </c>
      <c r="H23" s="3">
        <f t="shared" si="0"/>
        <v>11</v>
      </c>
      <c r="I23" s="3" t="str">
        <f t="shared" si="4"/>
        <v>W</v>
      </c>
      <c r="K23" s="1">
        <f>COUNTIFS(Table26[At], "Home",Table26[Result], "W")</f>
        <v>23</v>
      </c>
      <c r="L23" s="1">
        <f>COUNTIFS(Table26[At], "Home",Table26[Result], "L")</f>
        <v>13</v>
      </c>
      <c r="M23" s="1">
        <f>COUNTIFS(Table26[At], "Away",Table26[Result], "W")</f>
        <v>9</v>
      </c>
      <c r="N23" s="1">
        <f>COUNTIFS(Table26[At], "Away",Table26[Result], "L")</f>
        <v>23</v>
      </c>
    </row>
    <row r="24" spans="1:14" x14ac:dyDescent="0.25">
      <c r="A24" t="s">
        <v>208</v>
      </c>
      <c r="B24" t="s">
        <v>211</v>
      </c>
      <c r="C24" t="s">
        <v>246</v>
      </c>
      <c r="E24" s="1" t="str">
        <f t="shared" si="1"/>
        <v>Away</v>
      </c>
      <c r="F24" s="3">
        <f t="shared" si="2"/>
        <v>4</v>
      </c>
      <c r="G24" s="3">
        <f t="shared" si="3"/>
        <v>6</v>
      </c>
      <c r="H24" s="3">
        <f t="shared" si="0"/>
        <v>10</v>
      </c>
      <c r="I24" s="3" t="str">
        <f t="shared" si="4"/>
        <v>L</v>
      </c>
      <c r="K24" s="1"/>
      <c r="M24" s="1"/>
      <c r="N24" s="1"/>
    </row>
    <row r="25" spans="1:14" x14ac:dyDescent="0.25">
      <c r="A25" t="s">
        <v>247</v>
      </c>
      <c r="B25" t="s">
        <v>235</v>
      </c>
      <c r="C25" t="s">
        <v>116</v>
      </c>
      <c r="E25" s="1" t="str">
        <f t="shared" si="1"/>
        <v>Home</v>
      </c>
      <c r="F25" s="3">
        <f t="shared" si="2"/>
        <v>9</v>
      </c>
      <c r="G25" s="3">
        <f t="shared" si="3"/>
        <v>3</v>
      </c>
      <c r="H25" s="3">
        <f t="shared" si="0"/>
        <v>12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54</v>
      </c>
      <c r="B26" t="s">
        <v>235</v>
      </c>
      <c r="C26" t="s">
        <v>290</v>
      </c>
      <c r="E26" s="1" t="str">
        <f t="shared" si="1"/>
        <v>Home</v>
      </c>
      <c r="F26" s="3">
        <f t="shared" si="2"/>
        <v>5</v>
      </c>
      <c r="G26" s="3">
        <f t="shared" si="3"/>
        <v>0</v>
      </c>
      <c r="H26" s="3">
        <f t="shared" si="0"/>
        <v>5</v>
      </c>
      <c r="I26" s="3" t="str">
        <f t="shared" si="4"/>
        <v>W</v>
      </c>
      <c r="K26" s="1">
        <f>COUNTIFS(Table26[oR/G], "&gt;0",Table26[Result], "W")</f>
        <v>10</v>
      </c>
      <c r="L26" s="1">
        <f>COUNTIFS(Table26[oR/G], "&gt;0",Table26[Result], "l")</f>
        <v>22</v>
      </c>
      <c r="M26" s="1">
        <f>COUNTIFS(Table26[oR/G], "&lt;0",Table26[Result], "W")</f>
        <v>22</v>
      </c>
      <c r="N26" s="1">
        <f>COUNTIFS(Table26[oR/G], "&lt;0",Table26[Result], "l")</f>
        <v>14</v>
      </c>
    </row>
    <row r="27" spans="1:14" x14ac:dyDescent="0.25">
      <c r="A27" t="s">
        <v>57</v>
      </c>
      <c r="B27" t="s">
        <v>211</v>
      </c>
      <c r="C27" t="s">
        <v>31</v>
      </c>
      <c r="E27" s="1" t="str">
        <f t="shared" si="1"/>
        <v>Away</v>
      </c>
      <c r="F27" s="3">
        <f t="shared" si="2"/>
        <v>5</v>
      </c>
      <c r="G27" s="3">
        <f t="shared" si="3"/>
        <v>9</v>
      </c>
      <c r="H27" s="3">
        <f t="shared" si="0"/>
        <v>14</v>
      </c>
      <c r="I27" s="3" t="str">
        <f t="shared" si="4"/>
        <v>L</v>
      </c>
    </row>
    <row r="28" spans="1:14" x14ac:dyDescent="0.25">
      <c r="A28" t="s">
        <v>60</v>
      </c>
      <c r="B28" t="s">
        <v>211</v>
      </c>
      <c r="C28" t="s">
        <v>351</v>
      </c>
      <c r="E28" s="1" t="str">
        <f t="shared" si="1"/>
        <v>Away</v>
      </c>
      <c r="F28" s="3">
        <f t="shared" si="2"/>
        <v>2</v>
      </c>
      <c r="G28" s="3">
        <f t="shared" si="3"/>
        <v>1</v>
      </c>
      <c r="H28" s="3">
        <f t="shared" si="0"/>
        <v>3</v>
      </c>
      <c r="I28" s="3" t="str">
        <f t="shared" si="4"/>
        <v>W</v>
      </c>
    </row>
    <row r="29" spans="1:14" x14ac:dyDescent="0.25">
      <c r="A29" t="s">
        <v>62</v>
      </c>
      <c r="B29" t="s">
        <v>258</v>
      </c>
      <c r="C29" t="s">
        <v>304</v>
      </c>
      <c r="E29" s="1" t="str">
        <f t="shared" si="1"/>
        <v>Home</v>
      </c>
      <c r="F29" s="3">
        <f t="shared" si="2"/>
        <v>2</v>
      </c>
      <c r="G29" s="3">
        <f t="shared" si="3"/>
        <v>0</v>
      </c>
      <c r="H29" s="3">
        <f t="shared" si="0"/>
        <v>2</v>
      </c>
      <c r="I29" s="3" t="str">
        <f t="shared" si="4"/>
        <v>W</v>
      </c>
    </row>
    <row r="30" spans="1:14" x14ac:dyDescent="0.25">
      <c r="A30" t="s">
        <v>64</v>
      </c>
      <c r="B30" t="s">
        <v>258</v>
      </c>
      <c r="C30" t="s">
        <v>44</v>
      </c>
      <c r="E30" s="1" t="str">
        <f t="shared" si="1"/>
        <v>Home</v>
      </c>
      <c r="F30" s="3">
        <f t="shared" si="2"/>
        <v>2</v>
      </c>
      <c r="G30" s="3">
        <f t="shared" si="3"/>
        <v>12</v>
      </c>
      <c r="H30" s="3">
        <f t="shared" si="0"/>
        <v>14</v>
      </c>
      <c r="I30" s="3" t="str">
        <f t="shared" si="4"/>
        <v>L</v>
      </c>
    </row>
    <row r="31" spans="1:14" x14ac:dyDescent="0.25">
      <c r="A31" t="s">
        <v>66</v>
      </c>
      <c r="B31" t="s">
        <v>190</v>
      </c>
      <c r="C31" t="s">
        <v>38</v>
      </c>
      <c r="E31" s="1" t="str">
        <f t="shared" si="1"/>
        <v>Away</v>
      </c>
      <c r="F31" s="3">
        <f t="shared" si="2"/>
        <v>3</v>
      </c>
      <c r="G31" s="3">
        <f t="shared" si="3"/>
        <v>5</v>
      </c>
      <c r="H31" s="3">
        <f t="shared" si="0"/>
        <v>8</v>
      </c>
      <c r="I31" s="3" t="str">
        <f t="shared" si="4"/>
        <v>L</v>
      </c>
    </row>
    <row r="32" spans="1:14" x14ac:dyDescent="0.25">
      <c r="A32" t="s">
        <v>67</v>
      </c>
      <c r="B32" t="s">
        <v>231</v>
      </c>
      <c r="C32" t="s">
        <v>116</v>
      </c>
      <c r="E32" s="1" t="str">
        <f t="shared" si="1"/>
        <v>Home</v>
      </c>
      <c r="F32" s="3">
        <f t="shared" si="2"/>
        <v>9</v>
      </c>
      <c r="G32" s="3">
        <f t="shared" si="3"/>
        <v>3</v>
      </c>
      <c r="H32" s="3">
        <f t="shared" si="0"/>
        <v>12</v>
      </c>
      <c r="I32" s="3" t="str">
        <f t="shared" si="4"/>
        <v>W</v>
      </c>
    </row>
    <row r="33" spans="1:9" x14ac:dyDescent="0.25">
      <c r="A33" t="s">
        <v>68</v>
      </c>
      <c r="B33" t="s">
        <v>198</v>
      </c>
      <c r="C33" t="s">
        <v>276</v>
      </c>
      <c r="E33" s="1" t="str">
        <f t="shared" si="1"/>
        <v>Away</v>
      </c>
      <c r="F33" s="3">
        <f t="shared" si="2"/>
        <v>2</v>
      </c>
      <c r="G33" s="3">
        <f t="shared" si="3"/>
        <v>4</v>
      </c>
      <c r="H33" s="3">
        <f t="shared" si="0"/>
        <v>6</v>
      </c>
      <c r="I33" s="3" t="str">
        <f t="shared" si="4"/>
        <v>L</v>
      </c>
    </row>
    <row r="34" spans="1:9" x14ac:dyDescent="0.25">
      <c r="A34" t="s">
        <v>71</v>
      </c>
      <c r="B34" t="s">
        <v>198</v>
      </c>
      <c r="C34" t="s">
        <v>239</v>
      </c>
      <c r="E34" s="1" t="str">
        <f t="shared" si="1"/>
        <v>Away</v>
      </c>
      <c r="F34" s="3">
        <f t="shared" si="2"/>
        <v>8</v>
      </c>
      <c r="G34" s="3">
        <f t="shared" si="3"/>
        <v>5</v>
      </c>
      <c r="H34" s="3">
        <f t="shared" si="0"/>
        <v>13</v>
      </c>
      <c r="I34" s="3" t="str">
        <f t="shared" si="4"/>
        <v>W</v>
      </c>
    </row>
    <row r="35" spans="1:9" x14ac:dyDescent="0.25">
      <c r="A35" t="s">
        <v>209</v>
      </c>
      <c r="B35" t="s">
        <v>241</v>
      </c>
      <c r="C35" t="s">
        <v>254</v>
      </c>
      <c r="E35" s="1" t="str">
        <f t="shared" si="1"/>
        <v>Home</v>
      </c>
      <c r="F35" s="3">
        <f t="shared" si="2"/>
        <v>5</v>
      </c>
      <c r="G35" s="3">
        <f t="shared" si="3"/>
        <v>4</v>
      </c>
      <c r="H35" s="3">
        <f t="shared" si="0"/>
        <v>9</v>
      </c>
      <c r="I35" s="3" t="str">
        <f t="shared" si="4"/>
        <v>W</v>
      </c>
    </row>
    <row r="36" spans="1:9" x14ac:dyDescent="0.25">
      <c r="A36" t="s">
        <v>209</v>
      </c>
      <c r="B36" t="s">
        <v>241</v>
      </c>
      <c r="C36" t="s">
        <v>287</v>
      </c>
      <c r="E36" s="1" t="str">
        <f t="shared" si="1"/>
        <v>Home</v>
      </c>
      <c r="F36" s="3">
        <f t="shared" si="2"/>
        <v>11</v>
      </c>
      <c r="G36" s="3">
        <f t="shared" si="3"/>
        <v>2</v>
      </c>
      <c r="H36" s="3">
        <f t="shared" si="0"/>
        <v>13</v>
      </c>
      <c r="I36" s="3" t="str">
        <f t="shared" si="4"/>
        <v>W</v>
      </c>
    </row>
    <row r="37" spans="1:9" x14ac:dyDescent="0.25">
      <c r="A37" t="s">
        <v>76</v>
      </c>
      <c r="B37" t="s">
        <v>198</v>
      </c>
      <c r="C37" t="s">
        <v>224</v>
      </c>
      <c r="E37" s="1" t="str">
        <f t="shared" si="1"/>
        <v>Away</v>
      </c>
      <c r="F37" s="3">
        <f t="shared" si="2"/>
        <v>0</v>
      </c>
      <c r="G37" s="3">
        <f t="shared" si="3"/>
        <v>6</v>
      </c>
      <c r="H37" s="3">
        <f t="shared" si="0"/>
        <v>6</v>
      </c>
      <c r="I37" s="3" t="str">
        <f t="shared" si="4"/>
        <v>L</v>
      </c>
    </row>
    <row r="38" spans="1:9" x14ac:dyDescent="0.25">
      <c r="A38" t="s">
        <v>78</v>
      </c>
      <c r="B38" t="s">
        <v>198</v>
      </c>
      <c r="C38" t="s">
        <v>266</v>
      </c>
      <c r="E38" s="1" t="str">
        <f t="shared" si="1"/>
        <v>Away</v>
      </c>
      <c r="F38" s="3">
        <f t="shared" si="2"/>
        <v>8</v>
      </c>
      <c r="G38" s="3">
        <f t="shared" si="3"/>
        <v>10</v>
      </c>
      <c r="H38" s="3">
        <f t="shared" si="0"/>
        <v>18</v>
      </c>
      <c r="I38" s="3" t="str">
        <f t="shared" si="4"/>
        <v>L</v>
      </c>
    </row>
    <row r="39" spans="1:9" x14ac:dyDescent="0.25">
      <c r="A39" t="s">
        <v>80</v>
      </c>
      <c r="B39" t="s">
        <v>190</v>
      </c>
      <c r="C39" t="s">
        <v>232</v>
      </c>
      <c r="E39" s="1" t="str">
        <f t="shared" si="1"/>
        <v>Away</v>
      </c>
      <c r="F39" s="3">
        <f t="shared" si="2"/>
        <v>8</v>
      </c>
      <c r="G39" s="3">
        <f t="shared" si="3"/>
        <v>6</v>
      </c>
      <c r="H39" s="3">
        <f t="shared" si="0"/>
        <v>14</v>
      </c>
      <c r="I39" s="3" t="str">
        <f t="shared" si="4"/>
        <v>W</v>
      </c>
    </row>
    <row r="40" spans="1:9" x14ac:dyDescent="0.25">
      <c r="A40" t="s">
        <v>81</v>
      </c>
      <c r="B40" t="s">
        <v>190</v>
      </c>
      <c r="C40" t="s">
        <v>409</v>
      </c>
      <c r="E40" s="1" t="str">
        <f t="shared" si="1"/>
        <v>Away</v>
      </c>
      <c r="F40" s="3">
        <f t="shared" si="2"/>
        <v>9</v>
      </c>
      <c r="G40" s="3">
        <f t="shared" si="3"/>
        <v>0</v>
      </c>
      <c r="H40" s="3">
        <f t="shared" si="0"/>
        <v>9</v>
      </c>
      <c r="I40" s="3" t="str">
        <f t="shared" si="4"/>
        <v>W</v>
      </c>
    </row>
    <row r="41" spans="1:9" x14ac:dyDescent="0.25">
      <c r="A41" t="s">
        <v>82</v>
      </c>
      <c r="B41" t="s">
        <v>192</v>
      </c>
      <c r="C41" t="s">
        <v>379</v>
      </c>
      <c r="E41" s="1" t="str">
        <f t="shared" si="1"/>
        <v>Away</v>
      </c>
      <c r="F41" s="3">
        <f t="shared" si="2"/>
        <v>7</v>
      </c>
      <c r="G41" s="3">
        <f t="shared" si="3"/>
        <v>12</v>
      </c>
      <c r="H41" s="3">
        <f t="shared" si="0"/>
        <v>19</v>
      </c>
      <c r="I41" s="3" t="str">
        <f t="shared" si="4"/>
        <v>L</v>
      </c>
    </row>
    <row r="42" spans="1:9" x14ac:dyDescent="0.25">
      <c r="A42" t="s">
        <v>84</v>
      </c>
      <c r="B42" t="s">
        <v>258</v>
      </c>
      <c r="C42" t="s">
        <v>322</v>
      </c>
      <c r="E42" s="1" t="str">
        <f t="shared" si="1"/>
        <v>Home</v>
      </c>
      <c r="F42" s="3">
        <f t="shared" si="2"/>
        <v>6</v>
      </c>
      <c r="G42" s="3">
        <f t="shared" si="3"/>
        <v>7</v>
      </c>
      <c r="H42" s="3">
        <f t="shared" si="0"/>
        <v>13</v>
      </c>
      <c r="I42" s="3" t="str">
        <f t="shared" si="4"/>
        <v>L</v>
      </c>
    </row>
    <row r="43" spans="1:9" x14ac:dyDescent="0.25">
      <c r="A43" t="s">
        <v>86</v>
      </c>
      <c r="B43" t="s">
        <v>192</v>
      </c>
      <c r="C43" t="s">
        <v>397</v>
      </c>
      <c r="E43" s="1" t="str">
        <f t="shared" si="1"/>
        <v>Away</v>
      </c>
      <c r="F43" s="3">
        <f t="shared" si="2"/>
        <v>8</v>
      </c>
      <c r="G43" s="3">
        <f t="shared" si="3"/>
        <v>14</v>
      </c>
      <c r="H43" s="3">
        <f t="shared" si="0"/>
        <v>22</v>
      </c>
      <c r="I43" s="3" t="str">
        <f t="shared" si="4"/>
        <v>L</v>
      </c>
    </row>
    <row r="44" spans="1:9" x14ac:dyDescent="0.25">
      <c r="A44" t="s">
        <v>88</v>
      </c>
      <c r="B44" t="s">
        <v>222</v>
      </c>
      <c r="C44" t="s">
        <v>38</v>
      </c>
      <c r="E44" s="1" t="str">
        <f t="shared" si="1"/>
        <v>Home</v>
      </c>
      <c r="F44" s="3">
        <f t="shared" si="2"/>
        <v>3</v>
      </c>
      <c r="G44" s="3">
        <f t="shared" si="3"/>
        <v>5</v>
      </c>
      <c r="H44" s="3">
        <f t="shared" si="0"/>
        <v>8</v>
      </c>
      <c r="I44" s="3" t="str">
        <f t="shared" si="4"/>
        <v>L</v>
      </c>
    </row>
    <row r="45" spans="1:9" x14ac:dyDescent="0.25">
      <c r="A45" t="s">
        <v>91</v>
      </c>
      <c r="B45" t="s">
        <v>222</v>
      </c>
      <c r="C45" t="s">
        <v>299</v>
      </c>
      <c r="E45" s="1" t="str">
        <f t="shared" si="1"/>
        <v>Home</v>
      </c>
      <c r="F45" s="3">
        <f t="shared" si="2"/>
        <v>11</v>
      </c>
      <c r="G45" s="3">
        <f t="shared" si="3"/>
        <v>3</v>
      </c>
      <c r="H45" s="3">
        <f t="shared" si="0"/>
        <v>14</v>
      </c>
      <c r="I45" s="3" t="str">
        <f t="shared" si="4"/>
        <v>W</v>
      </c>
    </row>
    <row r="46" spans="1:9" x14ac:dyDescent="0.25">
      <c r="A46" t="s">
        <v>93</v>
      </c>
      <c r="B46" t="s">
        <v>194</v>
      </c>
      <c r="C46" t="s">
        <v>277</v>
      </c>
      <c r="E46" s="1" t="str">
        <f t="shared" si="1"/>
        <v>Away</v>
      </c>
      <c r="F46" s="3">
        <f t="shared" si="2"/>
        <v>5</v>
      </c>
      <c r="G46" s="3">
        <f t="shared" si="3"/>
        <v>8</v>
      </c>
      <c r="H46" s="3">
        <f t="shared" si="0"/>
        <v>13</v>
      </c>
      <c r="I46" s="3" t="str">
        <f t="shared" si="4"/>
        <v>L</v>
      </c>
    </row>
    <row r="47" spans="1:9" x14ac:dyDescent="0.25">
      <c r="A47" t="s">
        <v>96</v>
      </c>
      <c r="B47" t="s">
        <v>194</v>
      </c>
      <c r="C47" t="s">
        <v>21</v>
      </c>
      <c r="E47" s="1" t="str">
        <f t="shared" si="1"/>
        <v>Away</v>
      </c>
      <c r="F47" s="3">
        <f t="shared" si="2"/>
        <v>6</v>
      </c>
      <c r="G47" s="3">
        <f t="shared" si="3"/>
        <v>1</v>
      </c>
      <c r="H47" s="3">
        <f t="shared" si="0"/>
        <v>7</v>
      </c>
      <c r="I47" s="3" t="str">
        <f t="shared" si="4"/>
        <v>W</v>
      </c>
    </row>
    <row r="48" spans="1:9" x14ac:dyDescent="0.25">
      <c r="A48" t="s">
        <v>97</v>
      </c>
      <c r="B48" t="s">
        <v>231</v>
      </c>
      <c r="C48" t="s">
        <v>264</v>
      </c>
      <c r="E48" s="1" t="str">
        <f t="shared" si="1"/>
        <v>Home</v>
      </c>
      <c r="F48" s="3">
        <f t="shared" si="2"/>
        <v>6</v>
      </c>
      <c r="G48" s="3">
        <f t="shared" si="3"/>
        <v>2</v>
      </c>
      <c r="H48" s="3">
        <f t="shared" si="0"/>
        <v>8</v>
      </c>
      <c r="I48" s="3" t="str">
        <f t="shared" si="4"/>
        <v>W</v>
      </c>
    </row>
    <row r="49" spans="1:9" x14ac:dyDescent="0.25">
      <c r="A49" t="s">
        <v>100</v>
      </c>
      <c r="B49" t="s">
        <v>231</v>
      </c>
      <c r="C49" t="s">
        <v>416</v>
      </c>
      <c r="E49" s="1" t="str">
        <f t="shared" si="1"/>
        <v>Home</v>
      </c>
      <c r="F49" s="3">
        <f t="shared" si="2"/>
        <v>12</v>
      </c>
      <c r="G49" s="3">
        <f t="shared" si="3"/>
        <v>10</v>
      </c>
      <c r="H49" s="3">
        <f t="shared" si="0"/>
        <v>22</v>
      </c>
      <c r="I49" s="3" t="str">
        <f t="shared" si="4"/>
        <v>W</v>
      </c>
    </row>
    <row r="50" spans="1:9" x14ac:dyDescent="0.25">
      <c r="A50" t="s">
        <v>215</v>
      </c>
      <c r="B50" t="s">
        <v>241</v>
      </c>
      <c r="C50" t="s">
        <v>229</v>
      </c>
      <c r="E50" s="1" t="str">
        <f t="shared" si="1"/>
        <v>Home</v>
      </c>
      <c r="F50" s="3">
        <f t="shared" si="2"/>
        <v>7</v>
      </c>
      <c r="G50" s="3">
        <f t="shared" si="3"/>
        <v>1</v>
      </c>
      <c r="H50" s="3">
        <f t="shared" si="0"/>
        <v>8</v>
      </c>
      <c r="I50" s="3" t="str">
        <f t="shared" si="4"/>
        <v>W</v>
      </c>
    </row>
    <row r="51" spans="1:9" x14ac:dyDescent="0.25">
      <c r="A51" t="s">
        <v>102</v>
      </c>
      <c r="B51" t="s">
        <v>241</v>
      </c>
      <c r="C51" t="s">
        <v>367</v>
      </c>
      <c r="E51" s="1" t="str">
        <f t="shared" si="1"/>
        <v>Home</v>
      </c>
      <c r="F51" s="3">
        <f t="shared" si="2"/>
        <v>9</v>
      </c>
      <c r="G51" s="3">
        <f t="shared" si="3"/>
        <v>13</v>
      </c>
      <c r="H51" s="3">
        <f t="shared" si="0"/>
        <v>22</v>
      </c>
      <c r="I51" s="3" t="str">
        <f t="shared" si="4"/>
        <v>L</v>
      </c>
    </row>
    <row r="52" spans="1:9" x14ac:dyDescent="0.25">
      <c r="A52" t="s">
        <v>105</v>
      </c>
      <c r="B52" t="s">
        <v>194</v>
      </c>
      <c r="C52" t="s">
        <v>269</v>
      </c>
      <c r="E52" s="1" t="str">
        <f t="shared" si="1"/>
        <v>Away</v>
      </c>
      <c r="F52" s="3">
        <f t="shared" si="2"/>
        <v>2</v>
      </c>
      <c r="G52" s="3">
        <f t="shared" si="3"/>
        <v>3</v>
      </c>
      <c r="H52" s="3">
        <f t="shared" si="0"/>
        <v>5</v>
      </c>
      <c r="I52" s="3" t="str">
        <f t="shared" si="4"/>
        <v>L</v>
      </c>
    </row>
    <row r="53" spans="1:9" x14ac:dyDescent="0.25">
      <c r="A53" t="s">
        <v>107</v>
      </c>
      <c r="B53" t="s">
        <v>235</v>
      </c>
      <c r="C53" t="s">
        <v>253</v>
      </c>
      <c r="E53" s="1" t="str">
        <f t="shared" si="1"/>
        <v>Home</v>
      </c>
      <c r="F53" s="3">
        <f t="shared" si="2"/>
        <v>4</v>
      </c>
      <c r="G53" s="3">
        <f t="shared" si="3"/>
        <v>0</v>
      </c>
      <c r="H53" s="3">
        <f t="shared" si="0"/>
        <v>4</v>
      </c>
      <c r="I53" s="3" t="str">
        <f t="shared" si="4"/>
        <v>W</v>
      </c>
    </row>
    <row r="54" spans="1:9" x14ac:dyDescent="0.25">
      <c r="A54" t="s">
        <v>108</v>
      </c>
      <c r="B54" t="s">
        <v>278</v>
      </c>
      <c r="C54" t="s">
        <v>21</v>
      </c>
      <c r="E54" s="1" t="str">
        <f t="shared" si="1"/>
        <v>Home</v>
      </c>
      <c r="F54" s="3">
        <f t="shared" si="2"/>
        <v>6</v>
      </c>
      <c r="G54" s="3">
        <f t="shared" si="3"/>
        <v>1</v>
      </c>
      <c r="H54" s="3">
        <f t="shared" si="0"/>
        <v>7</v>
      </c>
      <c r="I54" s="3" t="str">
        <f t="shared" si="4"/>
        <v>W</v>
      </c>
    </row>
    <row r="55" spans="1:9" x14ac:dyDescent="0.25">
      <c r="A55" t="s">
        <v>110</v>
      </c>
      <c r="B55" t="s">
        <v>278</v>
      </c>
      <c r="C55" t="s">
        <v>205</v>
      </c>
      <c r="E55" s="1" t="str">
        <f t="shared" si="1"/>
        <v>Home</v>
      </c>
      <c r="F55" s="3">
        <f t="shared" si="2"/>
        <v>5</v>
      </c>
      <c r="G55" s="3">
        <f t="shared" si="3"/>
        <v>6</v>
      </c>
      <c r="H55" s="3">
        <f t="shared" si="0"/>
        <v>11</v>
      </c>
      <c r="I55" s="3" t="str">
        <f t="shared" si="4"/>
        <v>L</v>
      </c>
    </row>
    <row r="56" spans="1:9" x14ac:dyDescent="0.25">
      <c r="A56" t="s">
        <v>111</v>
      </c>
      <c r="B56" t="s">
        <v>201</v>
      </c>
      <c r="C56" t="s">
        <v>240</v>
      </c>
      <c r="E56" s="1" t="str">
        <f t="shared" si="1"/>
        <v>Away</v>
      </c>
      <c r="F56" s="3">
        <f t="shared" si="2"/>
        <v>1</v>
      </c>
      <c r="G56" s="3">
        <f t="shared" si="3"/>
        <v>3</v>
      </c>
      <c r="H56" s="3">
        <f t="shared" si="0"/>
        <v>4</v>
      </c>
      <c r="I56" s="3" t="str">
        <f t="shared" si="4"/>
        <v>L</v>
      </c>
    </row>
    <row r="57" spans="1:9" x14ac:dyDescent="0.25">
      <c r="A57" t="s">
        <v>112</v>
      </c>
      <c r="B57" t="s">
        <v>245</v>
      </c>
      <c r="C57" t="s">
        <v>6</v>
      </c>
      <c r="E57" s="1" t="str">
        <f t="shared" si="1"/>
        <v>Home</v>
      </c>
      <c r="F57" s="3">
        <f t="shared" si="2"/>
        <v>2</v>
      </c>
      <c r="G57" s="3">
        <f t="shared" si="3"/>
        <v>6</v>
      </c>
      <c r="H57" s="3">
        <f t="shared" si="0"/>
        <v>8</v>
      </c>
      <c r="I57" s="3" t="str">
        <f t="shared" si="4"/>
        <v>L</v>
      </c>
    </row>
    <row r="58" spans="1:9" x14ac:dyDescent="0.25">
      <c r="A58" t="s">
        <v>114</v>
      </c>
      <c r="B58" t="s">
        <v>225</v>
      </c>
      <c r="C58" t="s">
        <v>232</v>
      </c>
      <c r="E58" s="1" t="str">
        <f t="shared" si="1"/>
        <v>Home</v>
      </c>
      <c r="F58" s="3">
        <f t="shared" si="2"/>
        <v>8</v>
      </c>
      <c r="G58" s="3">
        <f t="shared" si="3"/>
        <v>6</v>
      </c>
      <c r="H58" s="3">
        <f t="shared" si="0"/>
        <v>14</v>
      </c>
      <c r="I58" s="3" t="str">
        <f t="shared" si="4"/>
        <v>W</v>
      </c>
    </row>
    <row r="59" spans="1:9" x14ac:dyDescent="0.25">
      <c r="A59" t="s">
        <v>117</v>
      </c>
      <c r="B59" t="s">
        <v>225</v>
      </c>
      <c r="C59" t="s">
        <v>251</v>
      </c>
      <c r="E59" s="1" t="str">
        <f t="shared" si="1"/>
        <v>Home</v>
      </c>
      <c r="F59" s="3">
        <f t="shared" si="2"/>
        <v>2</v>
      </c>
      <c r="G59" s="3">
        <f t="shared" si="3"/>
        <v>7</v>
      </c>
      <c r="H59" s="3">
        <f t="shared" si="0"/>
        <v>9</v>
      </c>
      <c r="I59" s="3" t="str">
        <f t="shared" si="4"/>
        <v>L</v>
      </c>
    </row>
    <row r="60" spans="1:9" x14ac:dyDescent="0.25">
      <c r="A60" t="s">
        <v>119</v>
      </c>
      <c r="B60" t="s">
        <v>203</v>
      </c>
      <c r="C60" t="s">
        <v>270</v>
      </c>
      <c r="E60" s="1" t="str">
        <f t="shared" si="1"/>
        <v>Away</v>
      </c>
      <c r="F60" s="3">
        <f t="shared" si="2"/>
        <v>4</v>
      </c>
      <c r="G60" s="3">
        <f t="shared" si="3"/>
        <v>3</v>
      </c>
      <c r="H60" s="3">
        <f t="shared" si="0"/>
        <v>7</v>
      </c>
      <c r="I60" s="3" t="str">
        <f t="shared" si="4"/>
        <v>W</v>
      </c>
    </row>
    <row r="61" spans="1:9" x14ac:dyDescent="0.25">
      <c r="A61" t="s">
        <v>122</v>
      </c>
      <c r="B61" t="s">
        <v>203</v>
      </c>
      <c r="C61" t="s">
        <v>6</v>
      </c>
      <c r="E61" s="1" t="str">
        <f t="shared" si="1"/>
        <v>Away</v>
      </c>
      <c r="F61" s="3">
        <f t="shared" si="2"/>
        <v>2</v>
      </c>
      <c r="G61" s="3">
        <f t="shared" si="3"/>
        <v>6</v>
      </c>
      <c r="H61" s="3">
        <f t="shared" si="0"/>
        <v>8</v>
      </c>
      <c r="I61" s="3" t="str">
        <f t="shared" si="4"/>
        <v>L</v>
      </c>
    </row>
    <row r="62" spans="1:9" x14ac:dyDescent="0.25">
      <c r="A62" t="s">
        <v>218</v>
      </c>
      <c r="B62" t="s">
        <v>203</v>
      </c>
      <c r="C62" t="s">
        <v>48</v>
      </c>
      <c r="E62" s="1" t="str">
        <f t="shared" si="1"/>
        <v>Away</v>
      </c>
      <c r="F62" s="3">
        <f t="shared" si="2"/>
        <v>4</v>
      </c>
      <c r="G62" s="3">
        <f t="shared" si="3"/>
        <v>5</v>
      </c>
      <c r="H62" s="3">
        <f t="shared" si="0"/>
        <v>9</v>
      </c>
      <c r="I62" s="3" t="str">
        <f t="shared" si="4"/>
        <v>L</v>
      </c>
    </row>
    <row r="63" spans="1:9" x14ac:dyDescent="0.25">
      <c r="A63" t="s">
        <v>123</v>
      </c>
      <c r="B63" t="s">
        <v>203</v>
      </c>
      <c r="C63" t="s">
        <v>417</v>
      </c>
      <c r="E63" s="1" t="str">
        <f t="shared" si="1"/>
        <v>Away</v>
      </c>
      <c r="F63" s="3">
        <f t="shared" si="2"/>
        <v>15</v>
      </c>
      <c r="G63" s="3">
        <f t="shared" si="3"/>
        <v>2</v>
      </c>
      <c r="H63" s="3">
        <f t="shared" si="0"/>
        <v>17</v>
      </c>
      <c r="I63" s="3" t="str">
        <f t="shared" si="4"/>
        <v>W</v>
      </c>
    </row>
    <row r="64" spans="1:9" x14ac:dyDescent="0.25">
      <c r="A64" t="s">
        <v>126</v>
      </c>
      <c r="B64" t="s">
        <v>201</v>
      </c>
      <c r="C64" t="s">
        <v>382</v>
      </c>
      <c r="E64" s="1" t="str">
        <f t="shared" si="1"/>
        <v>Away</v>
      </c>
      <c r="F64" s="3">
        <f t="shared" si="2"/>
        <v>0</v>
      </c>
      <c r="G64" s="3">
        <f t="shared" si="3"/>
        <v>15</v>
      </c>
      <c r="H64" s="3">
        <f t="shared" si="0"/>
        <v>15</v>
      </c>
      <c r="I64" s="3" t="str">
        <f t="shared" si="4"/>
        <v>L</v>
      </c>
    </row>
    <row r="65" spans="1:10" x14ac:dyDescent="0.25">
      <c r="A65" t="s">
        <v>127</v>
      </c>
      <c r="B65" t="s">
        <v>201</v>
      </c>
      <c r="C65" t="s">
        <v>269</v>
      </c>
      <c r="E65" s="1" t="str">
        <f t="shared" si="1"/>
        <v>Away</v>
      </c>
      <c r="F65" s="3">
        <f t="shared" si="2"/>
        <v>2</v>
      </c>
      <c r="G65" s="3">
        <f t="shared" si="3"/>
        <v>3</v>
      </c>
      <c r="H65" s="3">
        <f t="shared" si="0"/>
        <v>5</v>
      </c>
      <c r="I65" s="3" t="str">
        <f t="shared" si="4"/>
        <v>L</v>
      </c>
    </row>
    <row r="66" spans="1:10" x14ac:dyDescent="0.25">
      <c r="A66" t="s">
        <v>129</v>
      </c>
      <c r="B66" t="s">
        <v>190</v>
      </c>
      <c r="C66" t="s">
        <v>418</v>
      </c>
      <c r="E66" s="1" t="str">
        <f t="shared" si="1"/>
        <v>Away</v>
      </c>
      <c r="F66" s="3">
        <f t="shared" si="2"/>
        <v>5</v>
      </c>
      <c r="G66" s="3">
        <f t="shared" si="3"/>
        <v>18</v>
      </c>
      <c r="H66" s="3">
        <f t="shared" si="0"/>
        <v>23</v>
      </c>
      <c r="I66" s="3" t="str">
        <f t="shared" si="4"/>
        <v>L</v>
      </c>
    </row>
    <row r="67" spans="1:10" x14ac:dyDescent="0.25">
      <c r="A67" t="s">
        <v>131</v>
      </c>
      <c r="B67" t="s">
        <v>231</v>
      </c>
      <c r="C67" t="s">
        <v>419</v>
      </c>
      <c r="E67" s="1" t="str">
        <f t="shared" si="1"/>
        <v>Home</v>
      </c>
      <c r="F67" s="3">
        <f t="shared" si="2"/>
        <v>4</v>
      </c>
      <c r="G67" s="3">
        <f t="shared" si="3"/>
        <v>14</v>
      </c>
      <c r="H67" s="3">
        <f t="shared" ref="H67:H69" si="6">F67+G67</f>
        <v>18</v>
      </c>
      <c r="I67" s="3" t="str">
        <f t="shared" si="4"/>
        <v>L</v>
      </c>
    </row>
    <row r="68" spans="1:10" x14ac:dyDescent="0.25">
      <c r="A68" t="s">
        <v>133</v>
      </c>
      <c r="B68" t="s">
        <v>206</v>
      </c>
      <c r="C68" t="s">
        <v>246</v>
      </c>
      <c r="E68" s="1" t="str">
        <f t="shared" ref="E68:E69" si="7">IF(LEFT(B68,1)="@","Away","Home")</f>
        <v>Away</v>
      </c>
      <c r="F68" s="3">
        <f t="shared" ref="F68:F69" si="8">_xlfn.NUMBERVALUE(MID(LEFT(C68,FIND("-",C68)-1),FIND(" ",C68)+1,LEN(C68)))</f>
        <v>4</v>
      </c>
      <c r="G68" s="3">
        <f t="shared" ref="G68:G69" si="9">_xlfn.NUMBERVALUE(RIGHT(C68,LEN(C68)-FIND("-",C68)))</f>
        <v>6</v>
      </c>
      <c r="H68" s="3">
        <f t="shared" si="6"/>
        <v>10</v>
      </c>
      <c r="I68" s="3" t="str">
        <f t="shared" ref="I68:I70" si="10">LEFT(C68,1)</f>
        <v>L</v>
      </c>
    </row>
    <row r="69" spans="1:10" x14ac:dyDescent="0.25">
      <c r="A69" t="s">
        <v>134</v>
      </c>
      <c r="B69" t="s">
        <v>206</v>
      </c>
      <c r="C69" t="s">
        <v>316</v>
      </c>
      <c r="E69" s="1" t="str">
        <f t="shared" si="7"/>
        <v>Away</v>
      </c>
      <c r="F69" s="3">
        <f t="shared" si="8"/>
        <v>9</v>
      </c>
      <c r="G69" s="3">
        <f t="shared" si="9"/>
        <v>6</v>
      </c>
      <c r="H69" s="3">
        <f t="shared" si="6"/>
        <v>15</v>
      </c>
      <c r="I69" s="3" t="str">
        <f t="shared" si="10"/>
        <v>W</v>
      </c>
    </row>
    <row r="70" spans="1:10" x14ac:dyDescent="0.25">
      <c r="E70" s="1"/>
      <c r="F70" s="3"/>
      <c r="G70" s="3"/>
      <c r="H70" s="3"/>
      <c r="I70" s="3" t="str">
        <f t="shared" si="10"/>
        <v/>
      </c>
    </row>
    <row r="71" spans="1:10" x14ac:dyDescent="0.25">
      <c r="A71" s="18" t="s">
        <v>1</v>
      </c>
      <c r="B71" s="18" t="s">
        <v>2</v>
      </c>
      <c r="C71" s="18" t="s">
        <v>469</v>
      </c>
      <c r="D71" s="18" t="s">
        <v>135</v>
      </c>
      <c r="E71" s="19" t="s">
        <v>136</v>
      </c>
      <c r="F71" s="60" t="s">
        <v>137</v>
      </c>
      <c r="G71" s="60" t="s">
        <v>138</v>
      </c>
      <c r="H71" s="61" t="s">
        <v>3</v>
      </c>
      <c r="I71" t="s">
        <v>494</v>
      </c>
      <c r="J71" t="s">
        <v>495</v>
      </c>
    </row>
    <row r="72" spans="1:10" x14ac:dyDescent="0.25">
      <c r="A72" s="15" t="s">
        <v>448</v>
      </c>
      <c r="B72" s="15" t="s">
        <v>222</v>
      </c>
      <c r="C72" s="15" t="s">
        <v>329</v>
      </c>
      <c r="D72" s="15" t="str">
        <f>IF(LEFT(ROC!$B72,1)="@","Away","Home")</f>
        <v>Home</v>
      </c>
      <c r="E72" s="54">
        <f>_xlfn.NUMBERVALUE(MID(LEFT(ROC!$C72,FIND("-",ROC!$C72)-1),FIND(" ",ROC!$C72)+1,LEN(ROC!$C72)))</f>
        <v>5</v>
      </c>
      <c r="F72" s="55">
        <f>_xlfn.NUMBERVALUE(RIGHT(ROC!$C72,LEN(ROC!$C72)-FIND("-",ROC!$C72)))</f>
        <v>2</v>
      </c>
      <c r="G72" s="55">
        <f t="shared" ref="G72" si="11">E72+F72</f>
        <v>7</v>
      </c>
      <c r="H72" s="56" t="str">
        <f>LEFT(ROC!$C72,1)</f>
        <v>W</v>
      </c>
      <c r="I72" s="17" t="str">
        <f>VLOOKUP(IF(Table26[[#This Row],[At]]="Home",Table26[[#This Row],[Opponent]],RIGHT(Table26[[#This Row],[Opponent]],LEN(Table26[[#This Row],[Opponent]])-1)),CHOOSE({1,2},[1]StandingsRAW!$J$1:$J$22,[1]StandingsRAW!$L$1:$L$22),2,FALSE)</f>
        <v>WIL</v>
      </c>
      <c r="J72" s="33">
        <f>VLOOKUP(Table26[[#This Row],[OPP]],Raw!$L$2:$S$23,7,FALSE)-Raw!$U$2</f>
        <v>3.0407975939379734</v>
      </c>
    </row>
    <row r="73" spans="1:10" x14ac:dyDescent="0.25">
      <c r="A73" s="15" t="s">
        <v>449</v>
      </c>
      <c r="B73" s="15" t="s">
        <v>222</v>
      </c>
      <c r="C73" s="15" t="s">
        <v>485</v>
      </c>
      <c r="D73" s="15" t="str">
        <f>IF(LEFT(ROC!$B73,1)="@","Away","Home")</f>
        <v>Home</v>
      </c>
      <c r="E73" s="54">
        <f>_xlfn.NUMBERVALUE(MID(LEFT(ROC!$C73,FIND("-",ROC!$C73)-1),FIND(" ",ROC!$C73)+1,LEN(ROC!$C73)))</f>
        <v>7</v>
      </c>
      <c r="F73" s="55">
        <f>_xlfn.NUMBERVALUE(RIGHT(ROC!$C73,LEN(ROC!$C73)-FIND("-",ROC!$C73)))</f>
        <v>18</v>
      </c>
      <c r="G73" s="55">
        <f t="shared" ref="G73:G92" si="12">E73+F73</f>
        <v>25</v>
      </c>
      <c r="H73" s="56" t="str">
        <f>LEFT(ROC!$C73,1)</f>
        <v>L</v>
      </c>
      <c r="I73" s="17" t="str">
        <f>VLOOKUP(IF(Table26[[#This Row],[At]]="Home",Table26[[#This Row],[Opponent]],RIGHT(Table26[[#This Row],[Opponent]],LEN(Table26[[#This Row],[Opponent]])-1)),CHOOSE({1,2},[1]StandingsRAW!$J$1:$J$22,[1]StandingsRAW!$L$1:$L$22),2,FALSE)</f>
        <v>WIL</v>
      </c>
      <c r="J73" s="33">
        <f>VLOOKUP(Table26[[#This Row],[OPP]],Raw!$L$2:$S$23,7,FALSE)-Raw!$U$2</f>
        <v>3.0407975939379734</v>
      </c>
    </row>
    <row r="74" spans="1:10" x14ac:dyDescent="0.25">
      <c r="A74" s="15" t="s">
        <v>450</v>
      </c>
      <c r="B74" s="15" t="s">
        <v>203</v>
      </c>
      <c r="C74" s="15" t="s">
        <v>298</v>
      </c>
      <c r="D74" s="15" t="str">
        <f>IF(LEFT(ROC!$B74,1)="@","Away","Home")</f>
        <v>Away</v>
      </c>
      <c r="E74" s="54">
        <f>_xlfn.NUMBERVALUE(MID(LEFT(ROC!$C74,FIND("-",ROC!$C74)-1),FIND(" ",ROC!$C74)+1,LEN(ROC!$C74)))</f>
        <v>1</v>
      </c>
      <c r="F74" s="55">
        <f>_xlfn.NUMBERVALUE(RIGHT(ROC!$C74,LEN(ROC!$C74)-FIND("-",ROC!$C74)))</f>
        <v>2</v>
      </c>
      <c r="G74" s="55">
        <f t="shared" si="12"/>
        <v>3</v>
      </c>
      <c r="H74" s="56" t="str">
        <f>LEFT(ROC!$C74,1)</f>
        <v>L</v>
      </c>
      <c r="I74" s="17" t="str">
        <f>VLOOKUP(IF(Table26[[#This Row],[At]]="Home",Table26[[#This Row],[Opponent]],RIGHT(Table26[[#This Row],[Opponent]],LEN(Table26[[#This Row],[Opponent]])-1)),CHOOSE({1,2},[1]StandingsRAW!$J$1:$J$22,[1]StandingsRAW!$L$1:$L$22),2,FALSE)</f>
        <v>BIS</v>
      </c>
      <c r="J74" s="33">
        <f>VLOOKUP(Table26[[#This Row],[OPP]],Raw!$L$2:$S$23,7,FALSE)-Raw!$U$2</f>
        <v>-1.915084759003203</v>
      </c>
    </row>
    <row r="75" spans="1:10" x14ac:dyDescent="0.25">
      <c r="A75" s="15" t="s">
        <v>451</v>
      </c>
      <c r="B75" s="15" t="s">
        <v>203</v>
      </c>
      <c r="C75" s="15" t="s">
        <v>205</v>
      </c>
      <c r="D75" s="15" t="str">
        <f>IF(LEFT(ROC!$B75,1)="@","Away","Home")</f>
        <v>Away</v>
      </c>
      <c r="E75" s="54">
        <f>_xlfn.NUMBERVALUE(MID(LEFT(ROC!$C75,FIND("-",ROC!$C75)-1),FIND(" ",ROC!$C75)+1,LEN(ROC!$C75)))</f>
        <v>5</v>
      </c>
      <c r="F75" s="55">
        <f>_xlfn.NUMBERVALUE(RIGHT(ROC!$C75,LEN(ROC!$C75)-FIND("-",ROC!$C75)))</f>
        <v>6</v>
      </c>
      <c r="G75" s="55">
        <f t="shared" si="12"/>
        <v>11</v>
      </c>
      <c r="H75" s="56" t="str">
        <f>LEFT(ROC!$C75,1)</f>
        <v>L</v>
      </c>
      <c r="I75" s="17" t="str">
        <f>VLOOKUP(IF(Table26[[#This Row],[At]]="Home",Table26[[#This Row],[Opponent]],RIGHT(Table26[[#This Row],[Opponent]],LEN(Table26[[#This Row],[Opponent]])-1)),CHOOSE({1,2},[1]StandingsRAW!$J$1:$J$22,[1]StandingsRAW!$L$1:$L$22),2,FALSE)</f>
        <v>BIS</v>
      </c>
      <c r="J75" s="33">
        <f>VLOOKUP(Table26[[#This Row],[OPP]],Raw!$L$2:$S$23,7,FALSE)-Raw!$U$2</f>
        <v>-1.915084759003203</v>
      </c>
    </row>
    <row r="76" spans="1:10" x14ac:dyDescent="0.25">
      <c r="A76" s="15" t="s">
        <v>453</v>
      </c>
      <c r="B76" s="15" t="s">
        <v>203</v>
      </c>
      <c r="C76" s="15" t="s">
        <v>33</v>
      </c>
      <c r="D76" s="15" t="str">
        <f>IF(LEFT(ROC!$B76,1)="@","Away","Home")</f>
        <v>Away</v>
      </c>
      <c r="E76" s="54">
        <f>_xlfn.NUMBERVALUE(MID(LEFT(ROC!$C76,FIND("-",ROC!$C76)-1),FIND(" ",ROC!$C76)+1,LEN(ROC!$C76)))</f>
        <v>7</v>
      </c>
      <c r="F76" s="55">
        <f>_xlfn.NUMBERVALUE(RIGHT(ROC!$C76,LEN(ROC!$C76)-FIND("-",ROC!$C76)))</f>
        <v>4</v>
      </c>
      <c r="G76" s="55">
        <f t="shared" si="12"/>
        <v>11</v>
      </c>
      <c r="H76" s="56" t="str">
        <f>LEFT(ROC!$C76,1)</f>
        <v>W</v>
      </c>
      <c r="I76" s="17" t="str">
        <f>VLOOKUP(IF(Table26[[#This Row],[At]]="Home",Table26[[#This Row],[Opponent]],RIGHT(Table26[[#This Row],[Opponent]],LEN(Table26[[#This Row],[Opponent]])-1)),CHOOSE({1,2},[1]StandingsRAW!$J$1:$J$22,[1]StandingsRAW!$L$1:$L$22),2,FALSE)</f>
        <v>BIS</v>
      </c>
      <c r="J76" s="33">
        <f>VLOOKUP(Table26[[#This Row],[OPP]],Raw!$L$2:$S$23,7,FALSE)-Raw!$U$2</f>
        <v>-1.915084759003203</v>
      </c>
    </row>
    <row r="77" spans="1:10" x14ac:dyDescent="0.25">
      <c r="A77" s="15" t="s">
        <v>454</v>
      </c>
      <c r="B77" s="15" t="s">
        <v>203</v>
      </c>
      <c r="C77" s="15" t="s">
        <v>368</v>
      </c>
      <c r="D77" s="15" t="str">
        <f>IF(LEFT(ROC!$B77,1)="@","Away","Home")</f>
        <v>Away</v>
      </c>
      <c r="E77" s="54">
        <f>_xlfn.NUMBERVALUE(MID(LEFT(ROC!$C77,FIND("-",ROC!$C77)-1),FIND(" ",ROC!$C77)+1,LEN(ROC!$C77)))</f>
        <v>7</v>
      </c>
      <c r="F77" s="55">
        <f>_xlfn.NUMBERVALUE(RIGHT(ROC!$C77,LEN(ROC!$C77)-FIND("-",ROC!$C77)))</f>
        <v>11</v>
      </c>
      <c r="G77" s="55">
        <f t="shared" si="12"/>
        <v>18</v>
      </c>
      <c r="H77" s="56" t="str">
        <f>LEFT(ROC!$C77,1)</f>
        <v>L</v>
      </c>
      <c r="I77" s="17" t="str">
        <f>VLOOKUP(IF(Table26[[#This Row],[At]]="Home",Table26[[#This Row],[Opponent]],RIGHT(Table26[[#This Row],[Opponent]],LEN(Table26[[#This Row],[Opponent]])-1)),CHOOSE({1,2},[1]StandingsRAW!$J$1:$J$22,[1]StandingsRAW!$L$1:$L$22),2,FALSE)</f>
        <v>BIS</v>
      </c>
      <c r="J77" s="33">
        <f>VLOOKUP(Table26[[#This Row],[OPP]],Raw!$L$2:$S$23,7,FALSE)-Raw!$U$2</f>
        <v>-1.915084759003203</v>
      </c>
    </row>
    <row r="78" spans="1:10" x14ac:dyDescent="0.25">
      <c r="A78" s="15" t="s">
        <v>455</v>
      </c>
      <c r="B78" s="15" t="s">
        <v>231</v>
      </c>
      <c r="C78" s="15" t="s">
        <v>253</v>
      </c>
      <c r="D78" s="15" t="str">
        <f>IF(LEFT(ROC!$B78,1)="@","Away","Home")</f>
        <v>Home</v>
      </c>
      <c r="E78" s="54">
        <f>_xlfn.NUMBERVALUE(MID(LEFT(ROC!$C78,FIND("-",ROC!$C78)-1),FIND(" ",ROC!$C78)+1,LEN(ROC!$C78)))</f>
        <v>4</v>
      </c>
      <c r="F78" s="55">
        <f>_xlfn.NUMBERVALUE(RIGHT(ROC!$C78,LEN(ROC!$C78)-FIND("-",ROC!$C78)))</f>
        <v>0</v>
      </c>
      <c r="G78" s="55">
        <f t="shared" si="12"/>
        <v>4</v>
      </c>
      <c r="H78" s="56" t="str">
        <f>LEFT(ROC!$C78,1)</f>
        <v>W</v>
      </c>
      <c r="I78" s="17" t="str">
        <f>VLOOKUP(IF(Table26[[#This Row],[At]]="Home",Table26[[#This Row],[Opponent]],RIGHT(Table26[[#This Row],[Opponent]],LEN(Table26[[#This Row],[Opponent]])-1)),CHOOSE({1,2},[1]StandingsRAW!$J$1:$J$22,[1]StandingsRAW!$L$1:$L$22),2,FALSE)</f>
        <v>LAC</v>
      </c>
      <c r="J78" s="33">
        <f>VLOOKUP(Table26[[#This Row],[OPP]],Raw!$L$2:$S$23,7,FALSE)-Raw!$U$2</f>
        <v>-0.25332005312084993</v>
      </c>
    </row>
    <row r="79" spans="1:10" x14ac:dyDescent="0.25">
      <c r="A79" s="15" t="s">
        <v>456</v>
      </c>
      <c r="B79" s="15" t="s">
        <v>190</v>
      </c>
      <c r="C79" s="15" t="s">
        <v>6</v>
      </c>
      <c r="D79" s="15" t="str">
        <f>IF(LEFT(ROC!$B79,1)="@","Away","Home")</f>
        <v>Away</v>
      </c>
      <c r="E79" s="54">
        <f>_xlfn.NUMBERVALUE(MID(LEFT(ROC!$C79,FIND("-",ROC!$C79)-1),FIND(" ",ROC!$C79)+1,LEN(ROC!$C79)))</f>
        <v>2</v>
      </c>
      <c r="F79" s="55">
        <f>_xlfn.NUMBERVALUE(RIGHT(ROC!$C79,LEN(ROC!$C79)-FIND("-",ROC!$C79)))</f>
        <v>6</v>
      </c>
      <c r="G79" s="55">
        <f t="shared" si="12"/>
        <v>8</v>
      </c>
      <c r="H79" s="56" t="str">
        <f>LEFT(ROC!$C79,1)</f>
        <v>L</v>
      </c>
      <c r="I79" s="17" t="str">
        <f>VLOOKUP(IF(Table26[[#This Row],[At]]="Home",Table26[[#This Row],[Opponent]],RIGHT(Table26[[#This Row],[Opponent]],LEN(Table26[[#This Row],[Opponent]])-1)),CHOOSE({1,2},[1]StandingsRAW!$J$1:$J$22,[1]StandingsRAW!$L$1:$L$22),2,FALSE)</f>
        <v>LAC</v>
      </c>
      <c r="J79" s="33">
        <f>VLOOKUP(Table26[[#This Row],[OPP]],Raw!$L$2:$S$23,7,FALSE)-Raw!$U$2</f>
        <v>-0.25332005312084993</v>
      </c>
    </row>
    <row r="80" spans="1:10" x14ac:dyDescent="0.25">
      <c r="A80" s="15" t="s">
        <v>470</v>
      </c>
      <c r="B80" s="15" t="s">
        <v>206</v>
      </c>
      <c r="C80" s="15" t="s">
        <v>132</v>
      </c>
      <c r="D80" s="15" t="str">
        <f>IF(LEFT(ROC!$B80,1)="@","Away","Home")</f>
        <v>Away</v>
      </c>
      <c r="E80" s="54">
        <f>_xlfn.NUMBERVALUE(MID(LEFT(ROC!$C80,FIND("-",ROC!$C80)-1),FIND(" ",ROC!$C80)+1,LEN(ROC!$C80)))</f>
        <v>3</v>
      </c>
      <c r="F80" s="55">
        <f>_xlfn.NUMBERVALUE(RIGHT(ROC!$C80,LEN(ROC!$C80)-FIND("-",ROC!$C80)))</f>
        <v>6</v>
      </c>
      <c r="G80" s="55">
        <f t="shared" si="12"/>
        <v>9</v>
      </c>
      <c r="H80" s="56" t="str">
        <f>LEFT(ROC!$C80,1)</f>
        <v>L</v>
      </c>
      <c r="I80" s="17" t="str">
        <f>VLOOKUP(IF(Table26[[#This Row],[At]]="Home",Table26[[#This Row],[Opponent]],RIGHT(Table26[[#This Row],[Opponent]],LEN(Table26[[#This Row],[Opponent]])-1)),CHOOSE({1,2},[1]StandingsRAW!$J$1:$J$22,[1]StandingsRAW!$L$1:$L$22),2,FALSE)</f>
        <v>MAN</v>
      </c>
      <c r="J80" s="33">
        <f>VLOOKUP(Table26[[#This Row],[OPP]],Raw!$L$2:$S$23,7,FALSE)-Raw!$U$2</f>
        <v>0.73197406452620895</v>
      </c>
    </row>
    <row r="81" spans="1:10" x14ac:dyDescent="0.25">
      <c r="A81" s="15" t="s">
        <v>457</v>
      </c>
      <c r="B81" s="15" t="s">
        <v>250</v>
      </c>
      <c r="C81" s="15" t="s">
        <v>267</v>
      </c>
      <c r="D81" s="15" t="str">
        <f>IF(LEFT(ROC!$B81,1)="@","Away","Home")</f>
        <v>Home</v>
      </c>
      <c r="E81" s="54">
        <f>_xlfn.NUMBERVALUE(MID(LEFT(ROC!$C81,FIND("-",ROC!$C81)-1),FIND(" ",ROC!$C81)+1,LEN(ROC!$C81)))</f>
        <v>8</v>
      </c>
      <c r="F81" s="55">
        <f>_xlfn.NUMBERVALUE(RIGHT(ROC!$C81,LEN(ROC!$C81)-FIND("-",ROC!$C81)))</f>
        <v>7</v>
      </c>
      <c r="G81" s="55">
        <f t="shared" si="12"/>
        <v>15</v>
      </c>
      <c r="H81" s="56" t="str">
        <f>LEFT(ROC!$C81,1)</f>
        <v>W</v>
      </c>
      <c r="I81" s="17" t="str">
        <f>VLOOKUP(IF(Table26[[#This Row],[At]]="Home",Table26[[#This Row],[Opponent]],RIGHT(Table26[[#This Row],[Opponent]],LEN(Table26[[#This Row],[Opponent]])-1)),CHOOSE({1,2},[1]StandingsRAW!$J$1:$J$22,[1]StandingsRAW!$L$1:$L$22),2,FALSE)</f>
        <v>MAN</v>
      </c>
      <c r="J81" s="33">
        <f>VLOOKUP(Table26[[#This Row],[OPP]],Raw!$L$2:$S$23,7,FALSE)-Raw!$U$2</f>
        <v>0.73197406452620895</v>
      </c>
    </row>
    <row r="82" spans="1:10" x14ac:dyDescent="0.25">
      <c r="A82" s="15" t="s">
        <v>459</v>
      </c>
      <c r="B82" s="15" t="s">
        <v>241</v>
      </c>
      <c r="C82" s="15" t="s">
        <v>316</v>
      </c>
      <c r="D82" s="15" t="str">
        <f>IF(LEFT(ROC!$B82,1)="@","Away","Home")</f>
        <v>Home</v>
      </c>
      <c r="E82" s="54">
        <f>_xlfn.NUMBERVALUE(MID(LEFT(ROC!$C82,FIND("-",ROC!$C82)-1),FIND(" ",ROC!$C82)+1,LEN(ROC!$C82)))</f>
        <v>9</v>
      </c>
      <c r="F82" s="55">
        <f>_xlfn.NUMBERVALUE(RIGHT(ROC!$C82,LEN(ROC!$C82)-FIND("-",ROC!$C82)))</f>
        <v>6</v>
      </c>
      <c r="G82" s="55">
        <f t="shared" si="12"/>
        <v>15</v>
      </c>
      <c r="H82" s="56" t="str">
        <f>LEFT(ROC!$C82,1)</f>
        <v>W</v>
      </c>
      <c r="I82" s="17" t="str">
        <f>VLOOKUP(IF(Table26[[#This Row],[At]]="Home",Table26[[#This Row],[Opponent]],RIGHT(Table26[[#This Row],[Opponent]],LEN(Table26[[#This Row],[Opponent]])-1)),CHOOSE({1,2},[1]StandingsRAW!$J$1:$J$22,[1]StandingsRAW!$L$1:$L$22),2,FALSE)</f>
        <v>MIN</v>
      </c>
      <c r="J82" s="33">
        <f>VLOOKUP(Table26[[#This Row],[OPP]],Raw!$L$2:$S$23,7,FALSE)-Raw!$U$2</f>
        <v>-2.6422089420097388</v>
      </c>
    </row>
    <row r="83" spans="1:10" x14ac:dyDescent="0.25">
      <c r="A83" s="15" t="s">
        <v>460</v>
      </c>
      <c r="B83" s="15" t="s">
        <v>198</v>
      </c>
      <c r="C83" s="15" t="s">
        <v>277</v>
      </c>
      <c r="D83" s="15" t="str">
        <f>IF(LEFT(ROC!$B83,1)="@","Away","Home")</f>
        <v>Away</v>
      </c>
      <c r="E83" s="54">
        <f>_xlfn.NUMBERVALUE(MID(LEFT(ROC!$C83,FIND("-",ROC!$C83)-1),FIND(" ",ROC!$C83)+1,LEN(ROC!$C83)))</f>
        <v>5</v>
      </c>
      <c r="F83" s="55">
        <f>_xlfn.NUMBERVALUE(RIGHT(ROC!$C83,LEN(ROC!$C83)-FIND("-",ROC!$C83)))</f>
        <v>8</v>
      </c>
      <c r="G83" s="55">
        <f t="shared" si="12"/>
        <v>13</v>
      </c>
      <c r="H83" s="56" t="str">
        <f>LEFT(ROC!$C83,1)</f>
        <v>L</v>
      </c>
      <c r="I83" s="17" t="str">
        <f>VLOOKUP(IF(Table26[[#This Row],[At]]="Home",Table26[[#This Row],[Opponent]],RIGHT(Table26[[#This Row],[Opponent]],LEN(Table26[[#This Row],[Opponent]])-1)),CHOOSE({1,2},[1]StandingsRAW!$J$1:$J$22,[1]StandingsRAW!$L$1:$L$22),2,FALSE)</f>
        <v>DUL</v>
      </c>
      <c r="J83" s="33">
        <f>VLOOKUP(Table26[[#This Row],[OPP]],Raw!$L$2:$S$23,7,FALSE)-Raw!$U$2</f>
        <v>-0.37645438147905891</v>
      </c>
    </row>
    <row r="84" spans="1:10" x14ac:dyDescent="0.25">
      <c r="A84" s="15" t="s">
        <v>471</v>
      </c>
      <c r="B84" s="15" t="s">
        <v>198</v>
      </c>
      <c r="C84" s="15" t="s">
        <v>486</v>
      </c>
      <c r="D84" s="15" t="str">
        <f>IF(LEFT(ROC!$B84,1)="@","Away","Home")</f>
        <v>Away</v>
      </c>
      <c r="E84" s="54">
        <f>_xlfn.NUMBERVALUE(MID(LEFT(ROC!$C84,FIND("-",ROC!$C84)-1),FIND(" ",ROC!$C84)+1,LEN(ROC!$C84)))</f>
        <v>10</v>
      </c>
      <c r="F84" s="55">
        <f>_xlfn.NUMBERVALUE(RIGHT(ROC!$C84,LEN(ROC!$C84)-FIND("-",ROC!$C84)))</f>
        <v>5</v>
      </c>
      <c r="G84" s="55">
        <f t="shared" si="12"/>
        <v>15</v>
      </c>
      <c r="H84" s="56" t="str">
        <f>LEFT(ROC!$C84,1)</f>
        <v>L</v>
      </c>
      <c r="I84" s="17" t="str">
        <f>VLOOKUP(IF(Table26[[#This Row],[At]]="Home",Table26[[#This Row],[Opponent]],RIGHT(Table26[[#This Row],[Opponent]],LEN(Table26[[#This Row],[Opponent]])-1)),CHOOSE({1,2},[1]StandingsRAW!$J$1:$J$22,[1]StandingsRAW!$L$1:$L$22),2,FALSE)</f>
        <v>DUL</v>
      </c>
      <c r="J84" s="33">
        <f>VLOOKUP(Table26[[#This Row],[OPP]],Raw!$L$2:$S$23,7,FALSE)-Raw!$U$2</f>
        <v>-0.37645438147905891</v>
      </c>
    </row>
    <row r="85" spans="1:10" x14ac:dyDescent="0.25">
      <c r="A85" s="15" t="s">
        <v>461</v>
      </c>
      <c r="B85" s="15" t="s">
        <v>211</v>
      </c>
      <c r="C85" s="15" t="s">
        <v>83</v>
      </c>
      <c r="D85" s="15" t="str">
        <f>IF(LEFT(ROC!$B85,1)="@","Away","Home")</f>
        <v>Away</v>
      </c>
      <c r="E85" s="54">
        <f>_xlfn.NUMBERVALUE(MID(LEFT(ROC!$C85,FIND("-",ROC!$C85)-1),FIND(" ",ROC!$C85)+1,LEN(ROC!$C85)))</f>
        <v>4</v>
      </c>
      <c r="F85" s="55">
        <f>_xlfn.NUMBERVALUE(RIGHT(ROC!$C85,LEN(ROC!$C85)-FIND("-",ROC!$C85)))</f>
        <v>7</v>
      </c>
      <c r="G85" s="55">
        <f t="shared" si="12"/>
        <v>11</v>
      </c>
      <c r="H85" s="56" t="str">
        <f>LEFT(ROC!$C85,1)</f>
        <v>L</v>
      </c>
      <c r="I85" s="17" t="str">
        <f>VLOOKUP(IF(Table26[[#This Row],[At]]="Home",Table26[[#This Row],[Opponent]],RIGHT(Table26[[#This Row],[Opponent]],LEN(Table26[[#This Row],[Opponent]])-1)),CHOOSE({1,2},[1]StandingsRAW!$J$1:$J$22,[1]StandingsRAW!$L$1:$L$22),2,FALSE)</f>
        <v>WIL</v>
      </c>
      <c r="J85" s="33">
        <f>VLOOKUP(Table26[[#This Row],[OPP]],Raw!$L$2:$S$23,7,FALSE)-Raw!$U$2</f>
        <v>3.0407975939379734</v>
      </c>
    </row>
    <row r="86" spans="1:10" x14ac:dyDescent="0.25">
      <c r="A86" s="15" t="s">
        <v>462</v>
      </c>
      <c r="B86" s="15" t="s">
        <v>211</v>
      </c>
      <c r="C86" s="15" t="s">
        <v>266</v>
      </c>
      <c r="D86" s="15" t="str">
        <f>IF(LEFT(ROC!$B86,1)="@","Away","Home")</f>
        <v>Away</v>
      </c>
      <c r="E86" s="54">
        <f>_xlfn.NUMBERVALUE(MID(LEFT(ROC!$C86,FIND("-",ROC!$C86)-1),FIND(" ",ROC!$C86)+1,LEN(ROC!$C86)))</f>
        <v>8</v>
      </c>
      <c r="F86" s="55">
        <f>_xlfn.NUMBERVALUE(RIGHT(ROC!$C86,LEN(ROC!$C86)-FIND("-",ROC!$C86)))</f>
        <v>10</v>
      </c>
      <c r="G86" s="55">
        <f t="shared" si="12"/>
        <v>18</v>
      </c>
      <c r="H86" s="56" t="str">
        <f>LEFT(ROC!$C86,1)</f>
        <v>L</v>
      </c>
      <c r="I86" s="17" t="str">
        <f>VLOOKUP(IF(Table26[[#This Row],[At]]="Home",Table26[[#This Row],[Opponent]],RIGHT(Table26[[#This Row],[Opponent]],LEN(Table26[[#This Row],[Opponent]])-1)),CHOOSE({1,2},[1]StandingsRAW!$J$1:$J$22,[1]StandingsRAW!$L$1:$L$22),2,FALSE)</f>
        <v>WIL</v>
      </c>
      <c r="J86" s="33">
        <f>VLOOKUP(Table26[[#This Row],[OPP]],Raw!$L$2:$S$23,7,FALSE)-Raw!$U$2</f>
        <v>3.0407975939379734</v>
      </c>
    </row>
    <row r="87" spans="1:10" x14ac:dyDescent="0.25">
      <c r="A87" s="15" t="s">
        <v>463</v>
      </c>
      <c r="B87" s="15" t="s">
        <v>245</v>
      </c>
      <c r="C87" s="15" t="s">
        <v>348</v>
      </c>
      <c r="D87" s="15" t="str">
        <f>IF(LEFT(ROC!$B87,1)="@","Away","Home")</f>
        <v>Home</v>
      </c>
      <c r="E87" s="54">
        <f>_xlfn.NUMBERVALUE(MID(LEFT(ROC!$C87,FIND("-",ROC!$C87)-1),FIND(" ",ROC!$C87)+1,LEN(ROC!$C87)))</f>
        <v>13</v>
      </c>
      <c r="F87" s="55">
        <f>_xlfn.NUMBERVALUE(RIGHT(ROC!$C87,LEN(ROC!$C87)-FIND("-",ROC!$C87)))</f>
        <v>11</v>
      </c>
      <c r="G87" s="55">
        <f t="shared" si="12"/>
        <v>24</v>
      </c>
      <c r="H87" s="56" t="str">
        <f>LEFT(ROC!$C87,1)</f>
        <v>W</v>
      </c>
      <c r="I87" s="17" t="str">
        <f>VLOOKUP(IF(Table26[[#This Row],[At]]="Home",Table26[[#This Row],[Opponent]],RIGHT(Table26[[#This Row],[Opponent]],LEN(Table26[[#This Row],[Opponent]])-1)),CHOOSE({1,2},[1]StandingsRAW!$J$1:$J$22,[1]StandingsRAW!$L$1:$L$22),2,FALSE)</f>
        <v>STC</v>
      </c>
      <c r="J87" s="33">
        <f>VLOOKUP(Table26[[#This Row],[OPP]],Raw!$L$2:$S$23,7,FALSE)-Raw!$U$2</f>
        <v>2.5702093586438561</v>
      </c>
    </row>
    <row r="88" spans="1:10" x14ac:dyDescent="0.25">
      <c r="A88" s="15" t="s">
        <v>463</v>
      </c>
      <c r="B88" s="15" t="s">
        <v>245</v>
      </c>
      <c r="C88" s="15" t="s">
        <v>377</v>
      </c>
      <c r="D88" s="15" t="str">
        <f>IF(LEFT(ROC!$B88,1)="@","Away","Home")</f>
        <v>Home</v>
      </c>
      <c r="E88" s="54">
        <f>_xlfn.NUMBERVALUE(MID(LEFT(ROC!$C88,FIND("-",ROC!$C88)-1),FIND(" ",ROC!$C88)+1,LEN(ROC!$C88)))</f>
        <v>3</v>
      </c>
      <c r="F88" s="55">
        <f>_xlfn.NUMBERVALUE(RIGHT(ROC!$C88,LEN(ROC!$C88)-FIND("-",ROC!$C88)))</f>
        <v>19</v>
      </c>
      <c r="G88" s="55">
        <f t="shared" si="12"/>
        <v>22</v>
      </c>
      <c r="H88" s="56" t="str">
        <f>LEFT(ROC!$C88,1)</f>
        <v>L</v>
      </c>
      <c r="I88" s="17" t="str">
        <f>VLOOKUP(IF(Table26[[#This Row],[At]]="Home",Table26[[#This Row],[Opponent]],RIGHT(Table26[[#This Row],[Opponent]],LEN(Table26[[#This Row],[Opponent]])-1)),CHOOSE({1,2},[1]StandingsRAW!$J$1:$J$22,[1]StandingsRAW!$L$1:$L$22),2,FALSE)</f>
        <v>STC</v>
      </c>
      <c r="J88" s="33">
        <f>VLOOKUP(Table26[[#This Row],[OPP]],Raw!$L$2:$S$23,7,FALSE)-Raw!$U$2</f>
        <v>2.5702093586438561</v>
      </c>
    </row>
    <row r="89" spans="1:10" x14ac:dyDescent="0.25">
      <c r="A89" s="15" t="s">
        <v>464</v>
      </c>
      <c r="B89" s="15" t="s">
        <v>241</v>
      </c>
      <c r="C89" s="15" t="s">
        <v>28</v>
      </c>
      <c r="D89" s="15" t="str">
        <f>IF(LEFT(ROC!$B89,1)="@","Away","Home")</f>
        <v>Home</v>
      </c>
      <c r="E89" s="54">
        <f>_xlfn.NUMBERVALUE(MID(LEFT(ROC!$C89,FIND("-",ROC!$C89)-1),FIND(" ",ROC!$C89)+1,LEN(ROC!$C89)))</f>
        <v>4</v>
      </c>
      <c r="F89" s="55">
        <f>_xlfn.NUMBERVALUE(RIGHT(ROC!$C89,LEN(ROC!$C89)-FIND("-",ROC!$C89)))</f>
        <v>2</v>
      </c>
      <c r="G89" s="55">
        <f t="shared" si="12"/>
        <v>6</v>
      </c>
      <c r="H89" s="56" t="str">
        <f>LEFT(ROC!$C89,1)</f>
        <v>W</v>
      </c>
      <c r="I89" s="17" t="str">
        <f>VLOOKUP(IF(Table26[[#This Row],[At]]="Home",Table26[[#This Row],[Opponent]],RIGHT(Table26[[#This Row],[Opponent]],LEN(Table26[[#This Row],[Opponent]])-1)),CHOOSE({1,2},[1]StandingsRAW!$J$1:$J$22,[1]StandingsRAW!$L$1:$L$22),2,FALSE)</f>
        <v>MIN</v>
      </c>
      <c r="J89" s="33">
        <f>VLOOKUP(Table26[[#This Row],[OPP]],Raw!$L$2:$S$23,7,FALSE)-Raw!$U$2</f>
        <v>-2.6422089420097388</v>
      </c>
    </row>
    <row r="90" spans="1:10" x14ac:dyDescent="0.25">
      <c r="A90" s="15" t="s">
        <v>466</v>
      </c>
      <c r="B90" s="15" t="s">
        <v>225</v>
      </c>
      <c r="C90" s="15" t="s">
        <v>234</v>
      </c>
      <c r="D90" s="15" t="str">
        <f>IF(LEFT(ROC!$B90,1)="@","Away","Home")</f>
        <v>Home</v>
      </c>
      <c r="E90" s="54">
        <f>_xlfn.NUMBERVALUE(MID(LEFT(ROC!$C90,FIND("-",ROC!$C90)-1),FIND(" ",ROC!$C90)+1,LEN(ROC!$C90)))</f>
        <v>2</v>
      </c>
      <c r="F90" s="55">
        <f>_xlfn.NUMBERVALUE(RIGHT(ROC!$C90,LEN(ROC!$C90)-FIND("-",ROC!$C90)))</f>
        <v>5</v>
      </c>
      <c r="G90" s="55">
        <f t="shared" si="12"/>
        <v>7</v>
      </c>
      <c r="H90" s="56" t="str">
        <f>LEFT(ROC!$C90,1)</f>
        <v>L</v>
      </c>
      <c r="I90" s="17" t="str">
        <f>VLOOKUP(IF(Table26[[#This Row],[At]]="Home",Table26[[#This Row],[Opponent]],RIGHT(Table26[[#This Row],[Opponent]],LEN(Table26[[#This Row],[Opponent]])-1)),CHOOSE({1,2},[1]StandingsRAW!$J$1:$J$22,[1]StandingsRAW!$L$1:$L$22),2,FALSE)</f>
        <v>DUL</v>
      </c>
      <c r="J90" s="33">
        <f>VLOOKUP(Table26[[#This Row],[OPP]],Raw!$L$2:$S$23,7,FALSE)-Raw!$U$2</f>
        <v>-0.37645438147905891</v>
      </c>
    </row>
    <row r="91" spans="1:10" x14ac:dyDescent="0.25">
      <c r="A91" s="15" t="s">
        <v>467</v>
      </c>
      <c r="B91" s="15" t="s">
        <v>225</v>
      </c>
      <c r="C91" s="15" t="s">
        <v>290</v>
      </c>
      <c r="D91" s="15" t="str">
        <f>IF(LEFT(ROC!$B91,1)="@","Away","Home")</f>
        <v>Home</v>
      </c>
      <c r="E91" s="54">
        <f>_xlfn.NUMBERVALUE(MID(LEFT(ROC!$C91,FIND("-",ROC!$C91)-1),FIND(" ",ROC!$C91)+1,LEN(ROC!$C91)))</f>
        <v>5</v>
      </c>
      <c r="F91" s="55">
        <f>_xlfn.NUMBERVALUE(RIGHT(ROC!$C91,LEN(ROC!$C91)-FIND("-",ROC!$C91)))</f>
        <v>0</v>
      </c>
      <c r="G91" s="55">
        <f t="shared" si="12"/>
        <v>5</v>
      </c>
      <c r="H91" s="56" t="str">
        <f>LEFT(ROC!$C91,1)</f>
        <v>W</v>
      </c>
      <c r="I91" s="17" t="str">
        <f>VLOOKUP(IF(Table26[[#This Row],[At]]="Home",Table26[[#This Row],[Opponent]],RIGHT(Table26[[#This Row],[Opponent]],LEN(Table26[[#This Row],[Opponent]])-1)),CHOOSE({1,2},[1]StandingsRAW!$J$1:$J$22,[1]StandingsRAW!$L$1:$L$22),2,FALSE)</f>
        <v>DUL</v>
      </c>
      <c r="J91" s="33">
        <f>VLOOKUP(Table26[[#This Row],[OPP]],Raw!$L$2:$S$23,7,FALSE)-Raw!$U$2</f>
        <v>-0.37645438147905891</v>
      </c>
    </row>
    <row r="92" spans="1:10" x14ac:dyDescent="0.25">
      <c r="A92" s="16" t="s">
        <v>468</v>
      </c>
      <c r="B92" s="16" t="s">
        <v>192</v>
      </c>
      <c r="C92" s="16" t="s">
        <v>264</v>
      </c>
      <c r="D92" s="16" t="str">
        <f>IF(LEFT(ROC!$B92,1)="@","Away","Home")</f>
        <v>Away</v>
      </c>
      <c r="E92" s="57">
        <f>_xlfn.NUMBERVALUE(MID(LEFT(ROC!$C92,FIND("-",ROC!$C92)-1),FIND(" ",ROC!$C92)+1,LEN(ROC!$C92)))</f>
        <v>6</v>
      </c>
      <c r="F92" s="58">
        <f>_xlfn.NUMBERVALUE(RIGHT(ROC!$C92,LEN(ROC!$C92)-FIND("-",ROC!$C92)))</f>
        <v>2</v>
      </c>
      <c r="G92" s="58">
        <f t="shared" si="12"/>
        <v>8</v>
      </c>
      <c r="H92" s="59" t="str">
        <f>LEFT(ROC!$C92,1)</f>
        <v>W</v>
      </c>
      <c r="I92" s="17" t="str">
        <f>VLOOKUP(IF(Table26[[#This Row],[At]]="Home",Table26[[#This Row],[Opponent]],RIGHT(Table26[[#This Row],[Opponent]],LEN(Table26[[#This Row],[Opponent]])-1)),CHOOSE({1,2},[1]StandingsRAW!$J$1:$J$22,[1]StandingsRAW!$L$1:$L$22),2,FALSE)</f>
        <v>WAT</v>
      </c>
      <c r="J92" s="33">
        <f>VLOOKUP(Table26[[#This Row],[OPP]],Raw!$L$2:$S$23,7,FALSE)-Raw!$U$2</f>
        <v>-3.3415553472384971</v>
      </c>
    </row>
    <row r="93" spans="1:10" x14ac:dyDescent="0.25">
      <c r="A93" s="15" t="s">
        <v>498</v>
      </c>
      <c r="B93" s="15" t="s">
        <v>258</v>
      </c>
      <c r="C93" s="15" t="s">
        <v>118</v>
      </c>
      <c r="D93" s="15" t="str">
        <f>IF(LEFT(ROC!$B93,1)="@","Away","Home")</f>
        <v>Home</v>
      </c>
      <c r="E93" s="54">
        <f>_xlfn.NUMBERVALUE(MID(LEFT(ROC!$C93,FIND("-",ROC!$C93)-1),FIND(" ",ROC!$C93)+1,LEN(ROC!$C93)))</f>
        <v>9</v>
      </c>
      <c r="F93" s="55">
        <f>_xlfn.NUMBERVALUE(RIGHT(ROC!$C93,LEN(ROC!$C93)-FIND("-",ROC!$C93)))</f>
        <v>8</v>
      </c>
      <c r="G93" s="55">
        <f t="shared" ref="G93:G95" si="13">E93+F93</f>
        <v>17</v>
      </c>
      <c r="H93" s="56" t="str">
        <f>LEFT(ROC!$C93,1)</f>
        <v>W</v>
      </c>
      <c r="I93" s="17" t="str">
        <f>VLOOKUP(IF(Table26[[#This Row],[At]]="Home",Table26[[#This Row],[Opponent]],RIGHT(Table26[[#This Row],[Opponent]],LEN(Table26[[#This Row],[Opponent]])-1)),CHOOSE({1,2},[1]StandingsRAW!$J$1:$J$22,[1]StandingsRAW!$L$1:$L$22),2,FALSE)</f>
        <v>WAT</v>
      </c>
      <c r="J93" s="33">
        <f>VLOOKUP(Table26[[#This Row],[OPP]],Raw!$L$2:$S$23,7,FALSE)-Raw!$U$2</f>
        <v>-3.3415553472384971</v>
      </c>
    </row>
    <row r="94" spans="1:10" x14ac:dyDescent="0.25">
      <c r="A94" t="s">
        <v>499</v>
      </c>
      <c r="B94" t="s">
        <v>194</v>
      </c>
      <c r="C94" t="s">
        <v>234</v>
      </c>
      <c r="D94" t="str">
        <f>IF(LEFT(ROC!$B94,1)="@","Away","Home")</f>
        <v>Away</v>
      </c>
      <c r="E94" s="1">
        <f>_xlfn.NUMBERVALUE(MID(LEFT(ROC!$C94,FIND("-",ROC!$C94)-1),FIND(" ",ROC!$C94)+1,LEN(ROC!$C94)))</f>
        <v>2</v>
      </c>
      <c r="F94" s="3">
        <f>_xlfn.NUMBERVALUE(RIGHT(ROC!$C94,LEN(ROC!$C94)-FIND("-",ROC!$C94)))</f>
        <v>5</v>
      </c>
      <c r="G94" s="3">
        <f t="shared" si="13"/>
        <v>7</v>
      </c>
      <c r="H94" s="86" t="str">
        <f>LEFT(ROC!$C94,1)</f>
        <v>L</v>
      </c>
      <c r="I94" s="17" t="str">
        <f>VLOOKUP(IF(Table26[[#This Row],[At]]="Home",Table26[[#This Row],[Opponent]],RIGHT(Table26[[#This Row],[Opponent]],LEN(Table26[[#This Row],[Opponent]])-1)),CHOOSE({1,2},[1]StandingsRAW!$J$1:$J$22,[1]StandingsRAW!$L$1:$L$22),2,FALSE)</f>
        <v>EC</v>
      </c>
      <c r="J94" s="33">
        <f>VLOOKUP(Table26[[#This Row],[OPP]],Raw!$L$2:$S$23,7,FALSE)-Raw!$U$2</f>
        <v>1.1143270057026795</v>
      </c>
    </row>
    <row r="95" spans="1:10" x14ac:dyDescent="0.25">
      <c r="A95" t="s">
        <v>500</v>
      </c>
      <c r="B95" t="s">
        <v>194</v>
      </c>
      <c r="C95" t="s">
        <v>36</v>
      </c>
      <c r="D95" t="str">
        <f>IF(LEFT(ROC!$B95,1)="@","Away","Home")</f>
        <v>Away</v>
      </c>
      <c r="E95" s="1">
        <f>_xlfn.NUMBERVALUE(MID(LEFT(ROC!$C95,FIND("-",ROC!$C95)-1),FIND(" ",ROC!$C95)+1,LEN(ROC!$C95)))</f>
        <v>1</v>
      </c>
      <c r="F95" s="3">
        <f>_xlfn.NUMBERVALUE(RIGHT(ROC!$C95,LEN(ROC!$C95)-FIND("-",ROC!$C95)))</f>
        <v>5</v>
      </c>
      <c r="G95" s="3">
        <f t="shared" si="13"/>
        <v>6</v>
      </c>
      <c r="H95" s="86" t="str">
        <f>LEFT(ROC!$C95,1)</f>
        <v>L</v>
      </c>
      <c r="I95" s="17" t="str">
        <f>VLOOKUP(IF(Table26[[#This Row],[At]]="Home",Table26[[#This Row],[Opponent]],RIGHT(Table26[[#This Row],[Opponent]],LEN(Table26[[#This Row],[Opponent]])-1)),CHOOSE({1,2},[1]StandingsRAW!$J$1:$J$22,[1]StandingsRAW!$L$1:$L$22),2,FALSE)</f>
        <v>EC</v>
      </c>
      <c r="J95" s="33">
        <f>VLOOKUP(Table26[[#This Row],[OPP]],Raw!$L$2:$S$23,7,FALSE)-Raw!$U$2</f>
        <v>1.1143270057026795</v>
      </c>
    </row>
    <row r="96" spans="1:10" x14ac:dyDescent="0.25">
      <c r="A96" s="15" t="s">
        <v>501</v>
      </c>
      <c r="B96" s="15" t="s">
        <v>258</v>
      </c>
      <c r="C96" s="15" t="s">
        <v>480</v>
      </c>
      <c r="D96" s="15" t="str">
        <f>IF(LEFT(ROC!$B96,1)="@","Away","Home")</f>
        <v>Home</v>
      </c>
      <c r="E96" s="54">
        <f>_xlfn.NUMBERVALUE(MID(LEFT(ROC!$C96,FIND("-",ROC!$C96)-1),FIND(" ",ROC!$C96)+1,LEN(ROC!$C96)))</f>
        <v>17</v>
      </c>
      <c r="F96" s="55">
        <f>_xlfn.NUMBERVALUE(RIGHT(ROC!$C96,LEN(ROC!$C96)-FIND("-",ROC!$C96)))</f>
        <v>11</v>
      </c>
      <c r="G96" s="55">
        <f t="shared" ref="G96:G98" si="14">E96+F96</f>
        <v>28</v>
      </c>
      <c r="H96" s="56" t="str">
        <f>LEFT(ROC!$C96,1)</f>
        <v>W</v>
      </c>
      <c r="I96" s="17" t="str">
        <f>VLOOKUP(IF(Table26[[#This Row],[At]]="Home",Table26[[#This Row],[Opponent]],RIGHT(Table26[[#This Row],[Opponent]],LEN(Table26[[#This Row],[Opponent]])-1)),CHOOSE({1,2},[1]StandingsRAW!$J$1:$J$22,[1]StandingsRAW!$L$1:$L$22),2,FALSE)</f>
        <v>WAT</v>
      </c>
      <c r="J96" s="33">
        <f>VLOOKUP(Table26[[#This Row],[OPP]],Raw!$L$2:$S$23,7,FALSE)-Raw!$U$2</f>
        <v>-3.3415553472384971</v>
      </c>
    </row>
    <row r="97" spans="1:10" x14ac:dyDescent="0.25">
      <c r="A97" t="s">
        <v>502</v>
      </c>
      <c r="B97" t="s">
        <v>258</v>
      </c>
      <c r="C97" t="s">
        <v>274</v>
      </c>
      <c r="D97" t="str">
        <f>IF(LEFT(ROC!$B97,1)="@","Away","Home")</f>
        <v>Home</v>
      </c>
      <c r="E97" s="1">
        <f>_xlfn.NUMBERVALUE(MID(LEFT(ROC!$C97,FIND("-",ROC!$C97)-1),FIND(" ",ROC!$C97)+1,LEN(ROC!$C97)))</f>
        <v>9</v>
      </c>
      <c r="F97" s="3">
        <f>_xlfn.NUMBERVALUE(RIGHT(ROC!$C97,LEN(ROC!$C97)-FIND("-",ROC!$C97)))</f>
        <v>10</v>
      </c>
      <c r="G97" s="3">
        <f t="shared" si="14"/>
        <v>19</v>
      </c>
      <c r="H97" s="86" t="str">
        <f>LEFT(ROC!$C97,1)</f>
        <v>L</v>
      </c>
      <c r="I97" s="17" t="str">
        <f>VLOOKUP(IF(Table26[[#This Row],[At]]="Home",Table26[[#This Row],[Opponent]],RIGHT(Table26[[#This Row],[Opponent]],LEN(Table26[[#This Row],[Opponent]])-1)),CHOOSE({1,2},[1]StandingsRAW!$J$1:$J$22,[1]StandingsRAW!$L$1:$L$22),2,FALSE)</f>
        <v>WAT</v>
      </c>
      <c r="J97" s="33">
        <f>VLOOKUP(Table26[[#This Row],[OPP]],Raw!$L$2:$S$23,7,FALSE)-Raw!$U$2</f>
        <v>-3.3415553472384971</v>
      </c>
    </row>
    <row r="98" spans="1:10" x14ac:dyDescent="0.25">
      <c r="A98" t="s">
        <v>505</v>
      </c>
      <c r="B98" t="s">
        <v>278</v>
      </c>
      <c r="C98" t="s">
        <v>207</v>
      </c>
      <c r="D98" t="str">
        <f>IF(LEFT(ROC!$B98,1)="@","Away","Home")</f>
        <v>Home</v>
      </c>
      <c r="E98" s="1">
        <f>_xlfn.NUMBERVALUE(MID(LEFT(ROC!$C98,FIND("-",ROC!$C98)-1),FIND(" ",ROC!$C98)+1,LEN(ROC!$C98)))</f>
        <v>3</v>
      </c>
      <c r="F98" s="3">
        <f>_xlfn.NUMBERVALUE(RIGHT(ROC!$C98,LEN(ROC!$C98)-FIND("-",ROC!$C98)))</f>
        <v>8</v>
      </c>
      <c r="G98" s="3">
        <f t="shared" si="14"/>
        <v>11</v>
      </c>
      <c r="H98" s="86" t="str">
        <f>LEFT(ROC!$C98,1)</f>
        <v>L</v>
      </c>
      <c r="I98" s="17" t="str">
        <f>VLOOKUP(IF(Table26[[#This Row],[At]]="Home",Table26[[#This Row],[Opponent]],RIGHT(Table26[[#This Row],[Opponent]],LEN(Table26[[#This Row],[Opponent]])-1)),CHOOSE({1,2},[1]StandingsRAW!$J$1:$J$22,[1]StandingsRAW!$L$1:$L$22),2,FALSE)</f>
        <v>BIS</v>
      </c>
      <c r="J98" s="33">
        <f>VLOOKUP(Table26[[#This Row],[OPP]],Raw!$L$2:$S$23,7,FALSE)-Raw!$U$2</f>
        <v>-1.915084759003203</v>
      </c>
    </row>
    <row r="99" spans="1:10" x14ac:dyDescent="0.25">
      <c r="A99" s="15" t="s">
        <v>508</v>
      </c>
      <c r="B99" s="15" t="s">
        <v>278</v>
      </c>
      <c r="C99" s="15" t="s">
        <v>384</v>
      </c>
      <c r="D99" s="15" t="str">
        <f>IF(LEFT(ROC!$B99,1)="@","Away","Home")</f>
        <v>Home</v>
      </c>
      <c r="E99" s="54">
        <f>_xlfn.NUMBERVALUE(MID(LEFT(ROC!$C99,FIND("-",ROC!$C99)-1),FIND(" ",ROC!$C99)+1,LEN(ROC!$C99)))</f>
        <v>7</v>
      </c>
      <c r="F99" s="55">
        <f>_xlfn.NUMBERVALUE(RIGHT(ROC!$C99,LEN(ROC!$C99)-FIND("-",ROC!$C99)))</f>
        <v>5</v>
      </c>
      <c r="G99" s="55">
        <f t="shared" ref="G99:G101" si="15">E99+F99</f>
        <v>12</v>
      </c>
      <c r="H99" s="56" t="str">
        <f>LEFT(ROC!$C99,1)</f>
        <v>W</v>
      </c>
      <c r="I99" s="17" t="str">
        <f>VLOOKUP(IF(Table26[[#This Row],[At]]="Home",Table26[[#This Row],[Opponent]],RIGHT(Table26[[#This Row],[Opponent]],LEN(Table26[[#This Row],[Opponent]])-1)),CHOOSE({1,2},[1]StandingsRAW!$J$1:$J$22,[1]StandingsRAW!$L$1:$L$22),2,FALSE)</f>
        <v>BIS</v>
      </c>
      <c r="J99" s="33">
        <f>VLOOKUP(Table26[[#This Row],[OPP]],Raw!$L$2:$S$23,7,FALSE)-Raw!$U$2</f>
        <v>-1.915084759003203</v>
      </c>
    </row>
    <row r="100" spans="1:10" x14ac:dyDescent="0.25">
      <c r="A100" t="s">
        <v>509</v>
      </c>
      <c r="B100" t="s">
        <v>198</v>
      </c>
      <c r="C100" t="s">
        <v>264</v>
      </c>
      <c r="D100" t="str">
        <f>IF(LEFT(ROC!$B100,1)="@","Away","Home")</f>
        <v>Away</v>
      </c>
      <c r="E100" s="1">
        <f>_xlfn.NUMBERVALUE(MID(LEFT(ROC!$C100,FIND("-",ROC!$C100)-1),FIND(" ",ROC!$C100)+1,LEN(ROC!$C100)))</f>
        <v>6</v>
      </c>
      <c r="F100" s="3">
        <f>_xlfn.NUMBERVALUE(RIGHT(ROC!$C100,LEN(ROC!$C100)-FIND("-",ROC!$C100)))</f>
        <v>2</v>
      </c>
      <c r="G100" s="3">
        <f t="shared" si="15"/>
        <v>8</v>
      </c>
      <c r="H100" s="86" t="str">
        <f>LEFT(ROC!$C100,1)</f>
        <v>W</v>
      </c>
      <c r="I100" s="17" t="str">
        <f>VLOOKUP(IF(Table26[[#This Row],[At]]="Home",Table26[[#This Row],[Opponent]],RIGHT(Table26[[#This Row],[Opponent]],LEN(Table26[[#This Row],[Opponent]])-1)),CHOOSE({1,2},[1]StandingsRAW!$J$1:$J$22,[1]StandingsRAW!$L$1:$L$22),2,FALSE)</f>
        <v>DUL</v>
      </c>
      <c r="J100" s="33">
        <f>VLOOKUP(Table26[[#This Row],[OPP]],Raw!$L$2:$S$23,7,FALSE)-Raw!$U$2</f>
        <v>-0.37645438147905891</v>
      </c>
    </row>
    <row r="101" spans="1:10" x14ac:dyDescent="0.25">
      <c r="A101" t="s">
        <v>510</v>
      </c>
      <c r="B101" t="s">
        <v>198</v>
      </c>
      <c r="C101" t="s">
        <v>79</v>
      </c>
      <c r="D101" t="str">
        <f>IF(LEFT(ROC!$B101,1)="@","Away","Home")</f>
        <v>Away</v>
      </c>
      <c r="E101" s="1">
        <f>_xlfn.NUMBERVALUE(MID(LEFT(ROC!$C101,FIND("-",ROC!$C101)-1),FIND(" ",ROC!$C101)+1,LEN(ROC!$C101)))</f>
        <v>8</v>
      </c>
      <c r="F101" s="3">
        <f>_xlfn.NUMBERVALUE(RIGHT(ROC!$C101,LEN(ROC!$C101)-FIND("-",ROC!$C101)))</f>
        <v>15</v>
      </c>
      <c r="G101" s="3">
        <f t="shared" si="15"/>
        <v>23</v>
      </c>
      <c r="H101" s="86" t="str">
        <f>LEFT(ROC!$C101,1)</f>
        <v>L</v>
      </c>
      <c r="I101" s="17" t="str">
        <f>VLOOKUP(IF(Table26[[#This Row],[At]]="Home",Table26[[#This Row],[Opponent]],RIGHT(Table26[[#This Row],[Opponent]],LEN(Table26[[#This Row],[Opponent]])-1)),CHOOSE({1,2},[1]StandingsRAW!$J$1:$J$22,[1]StandingsRAW!$L$1:$L$22),2,FALSE)</f>
        <v>DUL</v>
      </c>
      <c r="J101" s="33">
        <f>VLOOKUP(Table26[[#This Row],[OPP]],Raw!$L$2:$S$23,7,FALSE)-Raw!$U$2</f>
        <v>-0.37645438147905891</v>
      </c>
    </row>
    <row r="102" spans="1:10" x14ac:dyDescent="0.25">
      <c r="A102" s="15" t="s">
        <v>515</v>
      </c>
      <c r="B102" s="15" t="s">
        <v>250</v>
      </c>
      <c r="C102" s="15" t="s">
        <v>383</v>
      </c>
      <c r="D102" s="15" t="str">
        <f>IF(LEFT(ROC!$B102,1)="@","Away","Home")</f>
        <v>Home</v>
      </c>
      <c r="E102" s="54">
        <f>_xlfn.NUMBERVALUE(MID(LEFT(ROC!$C102,FIND("-",ROC!$C102)-1),FIND(" ",ROC!$C102)+1,LEN(ROC!$C102)))</f>
        <v>10</v>
      </c>
      <c r="F102" s="55">
        <f>_xlfn.NUMBERVALUE(RIGHT(ROC!$C102,LEN(ROC!$C102)-FIND("-",ROC!$C102)))</f>
        <v>12</v>
      </c>
      <c r="G102" s="55">
        <f>E102+F102</f>
        <v>22</v>
      </c>
      <c r="H102" s="56" t="str">
        <f>LEFT(ROC!$C102,1)</f>
        <v>L</v>
      </c>
      <c r="I102" s="17" t="str">
        <f>VLOOKUP(IF(Table26[[#This Row],[At]]="Home",Table26[[#This Row],[Opponent]],RIGHT(Table26[[#This Row],[Opponent]],LEN(Table26[[#This Row],[Opponent]])-1)),CHOOSE({1,2},[1]StandingsRAW!$J$1:$J$22,[1]StandingsRAW!$L$1:$L$22),2,FALSE)</f>
        <v>MAN</v>
      </c>
      <c r="J102" s="33">
        <f>VLOOKUP(Table26[[#This Row],[OPP]],Raw!$L$2:$S$23,7,FALSE)-Raw!$U$2</f>
        <v>0.73197406452620895</v>
      </c>
    </row>
    <row r="103" spans="1:10" x14ac:dyDescent="0.25">
      <c r="A103" s="15" t="s">
        <v>518</v>
      </c>
      <c r="B103" s="15" t="s">
        <v>250</v>
      </c>
      <c r="C103" s="15" t="s">
        <v>347</v>
      </c>
      <c r="D103" s="15" t="str">
        <f>IF(LEFT(ROC!$B103,1)="@","Away","Home")</f>
        <v>Home</v>
      </c>
      <c r="E103" s="54">
        <f>_xlfn.NUMBERVALUE(MID(LEFT(ROC!$C103,FIND("-",ROC!$C103)-1),FIND(" ",ROC!$C103)+1,LEN(ROC!$C103)))</f>
        <v>9</v>
      </c>
      <c r="F103" s="55">
        <f>_xlfn.NUMBERVALUE(RIGHT(ROC!$C103,LEN(ROC!$C103)-FIND("-",ROC!$C103)))</f>
        <v>5</v>
      </c>
      <c r="G103" s="55">
        <f t="shared" ref="G103:G106" si="16">E103+F103</f>
        <v>14</v>
      </c>
      <c r="H103" s="56" t="str">
        <f>LEFT(ROC!$C103,1)</f>
        <v>W</v>
      </c>
      <c r="I103" s="17" t="str">
        <f>VLOOKUP(IF(Table26[[#This Row],[At]]="Home",Table26[[#This Row],[Opponent]],RIGHT(Table26[[#This Row],[Opponent]],LEN(Table26[[#This Row],[Opponent]])-1)),CHOOSE({1,2},[1]StandingsRAW!$J$1:$J$22,[1]StandingsRAW!$L$1:$L$22),2,FALSE)</f>
        <v>MAN</v>
      </c>
      <c r="J103" s="33">
        <f>VLOOKUP(Table26[[#This Row],[OPP]],Raw!$L$2:$S$23,7,FALSE)-Raw!$U$2</f>
        <v>0.73197406452620895</v>
      </c>
    </row>
    <row r="104" spans="1:10" x14ac:dyDescent="0.25">
      <c r="A104" t="s">
        <v>519</v>
      </c>
      <c r="B104" t="s">
        <v>190</v>
      </c>
      <c r="C104" t="s">
        <v>311</v>
      </c>
      <c r="D104" t="str">
        <f>IF(LEFT(ROC!$B104,1)="@","Away","Home")</f>
        <v>Away</v>
      </c>
      <c r="E104" s="1">
        <f>_xlfn.NUMBERVALUE(MID(LEFT(ROC!$C104,FIND("-",ROC!$C104)-1),FIND(" ",ROC!$C104)+1,LEN(ROC!$C104)))</f>
        <v>8</v>
      </c>
      <c r="F104" s="3">
        <f>_xlfn.NUMBERVALUE(RIGHT(ROC!$C104,LEN(ROC!$C104)-FIND("-",ROC!$C104)))</f>
        <v>11</v>
      </c>
      <c r="G104" s="3">
        <f t="shared" si="16"/>
        <v>19</v>
      </c>
      <c r="H104" s="86" t="str">
        <f>LEFT(ROC!$C104,1)</f>
        <v>L</v>
      </c>
      <c r="I104" s="17" t="str">
        <f>VLOOKUP(IF(Table26[[#This Row],[At]]="Home",Table26[[#This Row],[Opponent]],RIGHT(Table26[[#This Row],[Opponent]],LEN(Table26[[#This Row],[Opponent]])-1)),CHOOSE({1,2},[1]StandingsRAW!$J$1:$J$22,[1]StandingsRAW!$L$1:$L$22),2,FALSE)</f>
        <v>LAC</v>
      </c>
      <c r="J104" s="33">
        <f>VLOOKUP(Table26[[#This Row],[OPP]],Raw!$L$2:$S$23,7,FALSE)-Raw!$U$2</f>
        <v>-0.25332005312084993</v>
      </c>
    </row>
    <row r="105" spans="1:10" x14ac:dyDescent="0.25">
      <c r="A105" t="s">
        <v>520</v>
      </c>
      <c r="B105" t="s">
        <v>231</v>
      </c>
      <c r="C105" t="s">
        <v>335</v>
      </c>
      <c r="D105" t="str">
        <f>IF(LEFT(ROC!$B105,1)="@","Away","Home")</f>
        <v>Home</v>
      </c>
      <c r="E105" s="1">
        <f>_xlfn.NUMBERVALUE(MID(LEFT(ROC!$C105,FIND("-",ROC!$C105)-1),FIND(" ",ROC!$C105)+1,LEN(ROC!$C105)))</f>
        <v>6</v>
      </c>
      <c r="F105" s="3">
        <f>_xlfn.NUMBERVALUE(RIGHT(ROC!$C105,LEN(ROC!$C105)-FIND("-",ROC!$C105)))</f>
        <v>4</v>
      </c>
      <c r="G105" s="3">
        <f t="shared" si="16"/>
        <v>10</v>
      </c>
      <c r="H105" s="86" t="str">
        <f>LEFT(ROC!$C105,1)</f>
        <v>W</v>
      </c>
      <c r="I105" s="17" t="str">
        <f>VLOOKUP(IF(Table26[[#This Row],[At]]="Home",Table26[[#This Row],[Opponent]],RIGHT(Table26[[#This Row],[Opponent]],LEN(Table26[[#This Row],[Opponent]])-1)),CHOOSE({1,2},[1]StandingsRAW!$J$1:$J$22,[1]StandingsRAW!$L$1:$L$22),2,FALSE)</f>
        <v>LAC</v>
      </c>
      <c r="J105" s="33">
        <f>VLOOKUP(Table26[[#This Row],[OPP]],Raw!$L$2:$S$23,7,FALSE)-Raw!$U$2</f>
        <v>-0.25332005312084993</v>
      </c>
    </row>
    <row r="106" spans="1:10" x14ac:dyDescent="0.25">
      <c r="A106" t="s">
        <v>521</v>
      </c>
      <c r="B106" t="s">
        <v>241</v>
      </c>
      <c r="C106" t="s">
        <v>372</v>
      </c>
      <c r="D106" t="str">
        <f>IF(LEFT(ROC!$B106,1)="@","Away","Home")</f>
        <v>Home</v>
      </c>
      <c r="E106" s="1">
        <f>_xlfn.NUMBERVALUE(MID(LEFT(ROC!$C106,FIND("-",ROC!$C106)-1),FIND(" ",ROC!$C106)+1,LEN(ROC!$C106)))</f>
        <v>9</v>
      </c>
      <c r="F106" s="3">
        <f>_xlfn.NUMBERVALUE(RIGHT(ROC!$C106,LEN(ROC!$C106)-FIND("-",ROC!$C106)))</f>
        <v>1</v>
      </c>
      <c r="G106" s="3">
        <f t="shared" si="16"/>
        <v>10</v>
      </c>
      <c r="H106" s="86" t="str">
        <f>LEFT(ROC!$C106,1)</f>
        <v>W</v>
      </c>
      <c r="I106" s="17" t="str">
        <f>VLOOKUP(IF(Table26[[#This Row],[At]]="Home",Table26[[#This Row],[Opponent]],RIGHT(Table26[[#This Row],[Opponent]],LEN(Table26[[#This Row],[Opponent]])-1)),CHOOSE({1,2},[1]StandingsRAW!$J$1:$J$22,[1]StandingsRAW!$L$1:$L$22),2,FALSE)</f>
        <v>MIN</v>
      </c>
      <c r="J106" s="33">
        <f>VLOOKUP(Table26[[#This Row],[OPP]],Raw!$L$2:$S$23,7,FALSE)-Raw!$U$2</f>
        <v>-2.6422089420097388</v>
      </c>
    </row>
    <row r="107" spans="1:10" x14ac:dyDescent="0.25">
      <c r="A107" s="15" t="s">
        <v>524</v>
      </c>
      <c r="B107" s="15" t="s">
        <v>241</v>
      </c>
      <c r="C107" s="15" t="s">
        <v>336</v>
      </c>
      <c r="D107" s="15" t="str">
        <f>IF(LEFT(ROC!$B107,1)="@","Away","Home")</f>
        <v>Home</v>
      </c>
      <c r="E107" s="54">
        <f>_xlfn.NUMBERVALUE(MID(LEFT(ROC!$C107,FIND("-",ROC!$C107)-1),FIND(" ",ROC!$C107)+1,LEN(ROC!$C107)))</f>
        <v>8</v>
      </c>
      <c r="F107" s="55">
        <f>_xlfn.NUMBERVALUE(RIGHT(ROC!$C107,LEN(ROC!$C107)-FIND("-",ROC!$C107)))</f>
        <v>4</v>
      </c>
      <c r="G107" s="55">
        <f t="shared" ref="G107:G111" si="17">E107+F107</f>
        <v>12</v>
      </c>
      <c r="H107" s="56" t="str">
        <f>LEFT(ROC!$C107,1)</f>
        <v>W</v>
      </c>
      <c r="I107" s="17" t="str">
        <f>VLOOKUP(IF(Table26[[#This Row],[At]]="Home",Table26[[#This Row],[Opponent]],RIGHT(Table26[[#This Row],[Opponent]],LEN(Table26[[#This Row],[Opponent]])-1)),CHOOSE({1,2},[1]StandingsRAW!$J$1:$J$22,[1]StandingsRAW!$L$1:$L$22),2,FALSE)</f>
        <v>MIN</v>
      </c>
      <c r="J107" s="33">
        <f>VLOOKUP(Table26[[#This Row],[OPP]],Raw!$L$2:$S$23,7,FALSE)-Raw!$U$2</f>
        <v>-2.6422089420097388</v>
      </c>
    </row>
    <row r="108" spans="1:10" x14ac:dyDescent="0.25">
      <c r="A108" t="s">
        <v>525</v>
      </c>
      <c r="B108" t="s">
        <v>245</v>
      </c>
      <c r="C108" t="s">
        <v>55</v>
      </c>
      <c r="D108" t="str">
        <f>IF(LEFT(ROC!$B108,1)="@","Away","Home")</f>
        <v>Home</v>
      </c>
      <c r="E108" s="1">
        <f>_xlfn.NUMBERVALUE(MID(LEFT(ROC!$C108,FIND("-",ROC!$C108)-1),FIND(" ",ROC!$C108)+1,LEN(ROC!$C108)))</f>
        <v>5</v>
      </c>
      <c r="F108" s="3">
        <f>_xlfn.NUMBERVALUE(RIGHT(ROC!$C108,LEN(ROC!$C108)-FIND("-",ROC!$C108)))</f>
        <v>7</v>
      </c>
      <c r="G108" s="3">
        <f t="shared" si="17"/>
        <v>12</v>
      </c>
      <c r="H108" s="86" t="str">
        <f>LEFT(ROC!$C108,1)</f>
        <v>L</v>
      </c>
      <c r="I108" s="17" t="str">
        <f>VLOOKUP(IF(Table26[[#This Row],[At]]="Home",Table26[[#This Row],[Opponent]],RIGHT(Table26[[#This Row],[Opponent]],LEN(Table26[[#This Row],[Opponent]])-1)),CHOOSE({1,2},[1]StandingsRAW!$J$1:$J$22,[1]StandingsRAW!$L$1:$L$22),2,FALSE)</f>
        <v>STC</v>
      </c>
      <c r="J108" s="33">
        <f>VLOOKUP(Table26[[#This Row],[OPP]],Raw!$L$2:$S$23,7,FALSE)-Raw!$U$2</f>
        <v>2.5702093586438561</v>
      </c>
    </row>
    <row r="109" spans="1:10" x14ac:dyDescent="0.25">
      <c r="A109" t="s">
        <v>526</v>
      </c>
      <c r="B109" t="s">
        <v>245</v>
      </c>
      <c r="C109" t="s">
        <v>132</v>
      </c>
      <c r="D109" t="str">
        <f>IF(LEFT(ROC!$B109,1)="@","Away","Home")</f>
        <v>Home</v>
      </c>
      <c r="E109" s="1">
        <f>_xlfn.NUMBERVALUE(MID(LEFT(ROC!$C109,FIND("-",ROC!$C109)-1),FIND(" ",ROC!$C109)+1,LEN(ROC!$C109)))</f>
        <v>3</v>
      </c>
      <c r="F109" s="3">
        <f>_xlfn.NUMBERVALUE(RIGHT(ROC!$C109,LEN(ROC!$C109)-FIND("-",ROC!$C109)))</f>
        <v>6</v>
      </c>
      <c r="G109" s="3">
        <f t="shared" si="17"/>
        <v>9</v>
      </c>
      <c r="H109" s="86" t="str">
        <f>LEFT(ROC!$C109,1)</f>
        <v>L</v>
      </c>
      <c r="I109" s="17" t="str">
        <f>VLOOKUP(IF(Table26[[#This Row],[At]]="Home",Table26[[#This Row],[Opponent]],RIGHT(Table26[[#This Row],[Opponent]],LEN(Table26[[#This Row],[Opponent]])-1)),CHOOSE({1,2},[1]StandingsRAW!$J$1:$J$22,[1]StandingsRAW!$L$1:$L$22),2,FALSE)</f>
        <v>STC</v>
      </c>
      <c r="J109" s="33">
        <f>VLOOKUP(Table26[[#This Row],[OPP]],Raw!$L$2:$S$23,7,FALSE)-Raw!$U$2</f>
        <v>2.5702093586438561</v>
      </c>
    </row>
    <row r="110" spans="1:10" x14ac:dyDescent="0.25">
      <c r="A110" t="s">
        <v>527</v>
      </c>
      <c r="B110" t="s">
        <v>231</v>
      </c>
      <c r="C110" t="s">
        <v>118</v>
      </c>
      <c r="D110" t="str">
        <f>IF(LEFT(ROC!$B110,1)="@","Away","Home")</f>
        <v>Home</v>
      </c>
      <c r="E110" s="1">
        <f>_xlfn.NUMBERVALUE(MID(LEFT(ROC!$C110,FIND("-",ROC!$C110)-1),FIND(" ",ROC!$C110)+1,LEN(ROC!$C110)))</f>
        <v>9</v>
      </c>
      <c r="F110" s="3">
        <f>_xlfn.NUMBERVALUE(RIGHT(ROC!$C110,LEN(ROC!$C110)-FIND("-",ROC!$C110)))</f>
        <v>8</v>
      </c>
      <c r="G110" s="3">
        <f t="shared" si="17"/>
        <v>17</v>
      </c>
      <c r="H110" s="86" t="str">
        <f>LEFT(ROC!$C110,1)</f>
        <v>W</v>
      </c>
      <c r="I110" s="17" t="str">
        <f>VLOOKUP(IF(Table26[[#This Row],[At]]="Home",Table26[[#This Row],[Opponent]],RIGHT(Table26[[#This Row],[Opponent]],LEN(Table26[[#This Row],[Opponent]])-1)),CHOOSE({1,2},[1]StandingsRAW!$J$1:$J$22,[1]StandingsRAW!$L$1:$L$22),2,FALSE)</f>
        <v>LAC</v>
      </c>
      <c r="J110" s="33">
        <f>VLOOKUP(Table26[[#This Row],[OPP]],Raw!$L$2:$S$23,7,FALSE)-Raw!$U$2</f>
        <v>-0.25332005312084993</v>
      </c>
    </row>
    <row r="111" spans="1:10" x14ac:dyDescent="0.25">
      <c r="A111" t="s">
        <v>528</v>
      </c>
      <c r="B111" t="s">
        <v>190</v>
      </c>
      <c r="C111" t="s">
        <v>274</v>
      </c>
      <c r="D111" t="str">
        <f>IF(LEFT(ROC!$B111,1)="@","Away","Home")</f>
        <v>Away</v>
      </c>
      <c r="E111" s="1">
        <f>_xlfn.NUMBERVALUE(MID(LEFT(ROC!$C111,FIND("-",ROC!$C111)-1),FIND(" ",ROC!$C111)+1,LEN(ROC!$C111)))</f>
        <v>9</v>
      </c>
      <c r="F111" s="3">
        <f>_xlfn.NUMBERVALUE(RIGHT(ROC!$C111,LEN(ROC!$C111)-FIND("-",ROC!$C111)))</f>
        <v>10</v>
      </c>
      <c r="G111" s="3">
        <f t="shared" si="17"/>
        <v>19</v>
      </c>
      <c r="H111" s="86" t="str">
        <f>LEFT(ROC!$C111,1)</f>
        <v>L</v>
      </c>
      <c r="I111" s="17" t="str">
        <f>VLOOKUP(IF(Table26[[#This Row],[At]]="Home",Table26[[#This Row],[Opponent]],RIGHT(Table26[[#This Row],[Opponent]],LEN(Table26[[#This Row],[Opponent]])-1)),CHOOSE({1,2},[1]StandingsRAW!$J$1:$J$22,[1]StandingsRAW!$L$1:$L$22),2,FALSE)</f>
        <v>LAC</v>
      </c>
      <c r="J111" s="33">
        <f>VLOOKUP(Table26[[#This Row],[OPP]],Raw!$L$2:$S$23,7,FALSE)-Raw!$U$2</f>
        <v>-0.25332005312084993</v>
      </c>
    </row>
    <row r="112" spans="1:10" x14ac:dyDescent="0.25">
      <c r="A112" s="15" t="s">
        <v>541</v>
      </c>
      <c r="B112" s="15" t="s">
        <v>192</v>
      </c>
      <c r="C112" s="15" t="s">
        <v>26</v>
      </c>
      <c r="D112" s="15" t="str">
        <f>IF(LEFT(ROC!$B112,1)="@","Away","Home")</f>
        <v>Away</v>
      </c>
      <c r="E112" s="54">
        <f>_xlfn.NUMBERVALUE(MID(LEFT(ROC!$C112,FIND("-",ROC!$C112)-1),FIND(" ",ROC!$C112)+1,LEN(ROC!$C112)))</f>
        <v>10</v>
      </c>
      <c r="F112" s="55">
        <f>_xlfn.NUMBERVALUE(RIGHT(ROC!$C112,LEN(ROC!$C112)-FIND("-",ROC!$C112)))</f>
        <v>6</v>
      </c>
      <c r="G112" s="55">
        <f>E112+F112</f>
        <v>16</v>
      </c>
      <c r="H112" s="56" t="str">
        <f>LEFT(ROC!$C112,1)</f>
        <v>W</v>
      </c>
      <c r="I112" s="17" t="str">
        <f>VLOOKUP(IF(Table26[[#This Row],[At]]="Home",Table26[[#This Row],[Opponent]],RIGHT(Table26[[#This Row],[Opponent]],LEN(Table26[[#This Row],[Opponent]])-1)),CHOOSE({1,2},[1]StandingsRAW!$J$1:$J$22,[1]StandingsRAW!$L$1:$L$22),2,FALSE)</f>
        <v>WAT</v>
      </c>
      <c r="J112" s="33">
        <f>VLOOKUP(Table26[[#This Row],[OPP]],Raw!$L$2:$S$23,7,FALSE)-Raw!$U$2</f>
        <v>-3.3415553472384971</v>
      </c>
    </row>
    <row r="113" spans="1:10" x14ac:dyDescent="0.25">
      <c r="A113" s="15" t="s">
        <v>542</v>
      </c>
      <c r="B113" s="15" t="s">
        <v>258</v>
      </c>
      <c r="C113" s="15" t="s">
        <v>287</v>
      </c>
      <c r="D113" s="15" t="str">
        <f>IF(LEFT(ROC!$B113,1)="@","Away","Home")</f>
        <v>Home</v>
      </c>
      <c r="E113" s="54">
        <f>_xlfn.NUMBERVALUE(MID(LEFT(ROC!$C113,FIND("-",ROC!$C113)-1),FIND(" ",ROC!$C113)+1,LEN(ROC!$C113)))</f>
        <v>11</v>
      </c>
      <c r="F113" s="55">
        <f>_xlfn.NUMBERVALUE(RIGHT(ROC!$C113,LEN(ROC!$C113)-FIND("-",ROC!$C113)))</f>
        <v>2</v>
      </c>
      <c r="G113" s="55">
        <f>E113+F113</f>
        <v>13</v>
      </c>
      <c r="H113" s="56" t="str">
        <f>LEFT(ROC!$C113,1)</f>
        <v>W</v>
      </c>
      <c r="I113" s="17" t="str">
        <f>VLOOKUP(IF(Table26[[#This Row],[At]]="Home",Table26[[#This Row],[Opponent]],RIGHT(Table26[[#This Row],[Opponent]],LEN(Table26[[#This Row],[Opponent]])-1)),CHOOSE({1,2},[1]StandingsRAW!$J$1:$J$22,[1]StandingsRAW!$L$1:$L$22),2,FALSE)</f>
        <v>WAT</v>
      </c>
      <c r="J113" s="33">
        <f>VLOOKUP(Table26[[#This Row],[OPP]],Raw!$L$2:$S$23,7,FALSE)-Raw!$U$2</f>
        <v>-3.3415553472384971</v>
      </c>
    </row>
    <row r="114" spans="1:10" x14ac:dyDescent="0.25">
      <c r="A114" s="15" t="s">
        <v>543</v>
      </c>
      <c r="B114" s="15" t="s">
        <v>201</v>
      </c>
      <c r="C114" s="15" t="s">
        <v>26</v>
      </c>
      <c r="D114" s="15" t="str">
        <f>IF(LEFT(ROC!$B114,1)="@","Away","Home")</f>
        <v>Away</v>
      </c>
      <c r="E114" s="54">
        <f>_xlfn.NUMBERVALUE(MID(LEFT(ROC!$C114,FIND("-",ROC!$C114)-1),FIND(" ",ROC!$C114)+1,LEN(ROC!$C114)))</f>
        <v>10</v>
      </c>
      <c r="F114" s="55">
        <f>_xlfn.NUMBERVALUE(RIGHT(ROC!$C114,LEN(ROC!$C114)-FIND("-",ROC!$C114)))</f>
        <v>6</v>
      </c>
      <c r="G114" s="55">
        <f>E114+F114</f>
        <v>16</v>
      </c>
      <c r="H114" s="56" t="str">
        <f>LEFT(ROC!$C114,1)</f>
        <v>W</v>
      </c>
      <c r="I114" s="17" t="str">
        <f>VLOOKUP(IF(Table26[[#This Row],[At]]="Home",Table26[[#This Row],[Opponent]],RIGHT(Table26[[#This Row],[Opponent]],LEN(Table26[[#This Row],[Opponent]])-1)),CHOOSE({1,2},[1]StandingsRAW!$J$1:$J$22,[1]StandingsRAW!$L$1:$L$22),2,FALSE)</f>
        <v>STC</v>
      </c>
      <c r="J114" s="33">
        <f>VLOOKUP(Table26[[#This Row],[OPP]],Raw!$L$2:$S$23,7,FALSE)-Raw!$U$2</f>
        <v>2.5702093586438561</v>
      </c>
    </row>
    <row r="115" spans="1:10" x14ac:dyDescent="0.25">
      <c r="A115" s="15" t="s">
        <v>546</v>
      </c>
      <c r="B115" s="15" t="s">
        <v>201</v>
      </c>
      <c r="C115" s="15" t="s">
        <v>202</v>
      </c>
      <c r="D115" s="15" t="str">
        <f>IF(LEFT(ROC!$B115,1)="@","Away","Home")</f>
        <v>Away</v>
      </c>
      <c r="E115" s="54">
        <f>_xlfn.NUMBERVALUE(MID(LEFT(ROC!$C115,FIND("-",ROC!$C115)-1),FIND(" ",ROC!$C115)+1,LEN(ROC!$C115)))</f>
        <v>4</v>
      </c>
      <c r="F115" s="55">
        <f>_xlfn.NUMBERVALUE(RIGHT(ROC!$C115,LEN(ROC!$C115)-FIND("-",ROC!$C115)))</f>
        <v>11</v>
      </c>
      <c r="G115" s="55">
        <f>E115+F115</f>
        <v>15</v>
      </c>
      <c r="H115" s="56" t="str">
        <f>LEFT(ROC!$C115,1)</f>
        <v>L</v>
      </c>
      <c r="I115" s="17" t="str">
        <f>VLOOKUP(IF(Table26[[#This Row],[At]]="Home",Table26[[#This Row],[Opponent]],RIGHT(Table26[[#This Row],[Opponent]],LEN(Table26[[#This Row],[Opponent]])-1)),CHOOSE({1,2},[1]StandingsRAW!$J$1:$J$22,[1]StandingsRAW!$L$1:$L$22),2,FALSE)</f>
        <v>STC</v>
      </c>
      <c r="J115" s="33">
        <f>VLOOKUP(Table26[[#This Row],[OPP]],Raw!$L$2:$S$23,7,FALSE)-Raw!$U$2</f>
        <v>2.5702093586438561</v>
      </c>
    </row>
    <row r="116" spans="1:10" x14ac:dyDescent="0.25">
      <c r="A116" s="15" t="s">
        <v>549</v>
      </c>
      <c r="B116" s="15" t="s">
        <v>222</v>
      </c>
      <c r="C116" s="15" t="s">
        <v>128</v>
      </c>
      <c r="D116" s="15" t="str">
        <f>IF(LEFT(ROC!$B116,1)="@","Away","Home")</f>
        <v>Home</v>
      </c>
      <c r="E116" s="54">
        <f>_xlfn.NUMBERVALUE(MID(LEFT(ROC!$C116,FIND("-",ROC!$C116)-1),FIND(" ",ROC!$C116)+1,LEN(ROC!$C116)))</f>
        <v>6</v>
      </c>
      <c r="F116" s="55">
        <f>_xlfn.NUMBERVALUE(RIGHT(ROC!$C116,LEN(ROC!$C116)-FIND("-",ROC!$C116)))</f>
        <v>5</v>
      </c>
      <c r="G116" s="55">
        <f t="shared" ref="G116:G119" si="18">E116+F116</f>
        <v>11</v>
      </c>
      <c r="H116" s="56" t="str">
        <f>LEFT(ROC!$C116,1)</f>
        <v>W</v>
      </c>
      <c r="I116" s="17" t="str">
        <f>VLOOKUP(IF(Table26[[#This Row],[At]]="Home",Table26[[#This Row],[Opponent]],RIGHT(Table26[[#This Row],[Opponent]],LEN(Table26[[#This Row],[Opponent]])-1)),CHOOSE({1,2},[1]StandingsRAW!$J$1:$J$22,[1]StandingsRAW!$L$1:$L$22),2,FALSE)</f>
        <v>WIL</v>
      </c>
      <c r="J116" s="33">
        <f>VLOOKUP(Table26[[#This Row],[OPP]],Raw!$L$2:$S$23,7,FALSE)-Raw!$U$2</f>
        <v>3.0407975939379734</v>
      </c>
    </row>
    <row r="117" spans="1:10" x14ac:dyDescent="0.25">
      <c r="A117" t="s">
        <v>550</v>
      </c>
      <c r="B117" t="s">
        <v>222</v>
      </c>
      <c r="C117" t="s">
        <v>214</v>
      </c>
      <c r="D117" t="str">
        <f>IF(LEFT(ROC!$B117,1)="@","Away","Home")</f>
        <v>Home</v>
      </c>
      <c r="E117" s="1">
        <f>_xlfn.NUMBERVALUE(MID(LEFT(ROC!$C117,FIND("-",ROC!$C117)-1),FIND(" ",ROC!$C117)+1,LEN(ROC!$C117)))</f>
        <v>7</v>
      </c>
      <c r="F117" s="3">
        <f>_xlfn.NUMBERVALUE(RIGHT(ROC!$C117,LEN(ROC!$C117)-FIND("-",ROC!$C117)))</f>
        <v>10</v>
      </c>
      <c r="G117" s="3">
        <f t="shared" si="18"/>
        <v>17</v>
      </c>
      <c r="H117" s="86" t="str">
        <f>LEFT(ROC!$C117,1)</f>
        <v>L</v>
      </c>
      <c r="I117" s="17" t="str">
        <f>VLOOKUP(IF(Table26[[#This Row],[At]]="Home",Table26[[#This Row],[Opponent]],RIGHT(Table26[[#This Row],[Opponent]],LEN(Table26[[#This Row],[Opponent]])-1)),CHOOSE({1,2},[1]StandingsRAW!$J$1:$J$22,[1]StandingsRAW!$L$1:$L$22),2,FALSE)</f>
        <v>WIL</v>
      </c>
      <c r="J117" s="33">
        <f>VLOOKUP(Table26[[#This Row],[OPP]],Raw!$L$2:$S$23,7,FALSE)-Raw!$U$2</f>
        <v>3.0407975939379734</v>
      </c>
    </row>
    <row r="118" spans="1:10" x14ac:dyDescent="0.25">
      <c r="A118" t="s">
        <v>551</v>
      </c>
      <c r="B118" t="s">
        <v>194</v>
      </c>
      <c r="C118" t="s">
        <v>50</v>
      </c>
      <c r="D118" t="str">
        <f>IF(LEFT(ROC!$B118,1)="@","Away","Home")</f>
        <v>Away</v>
      </c>
      <c r="E118" s="1">
        <f>_xlfn.NUMBERVALUE(MID(LEFT(ROC!$C118,FIND("-",ROC!$C118)-1),FIND(" ",ROC!$C118)+1,LEN(ROC!$C118)))</f>
        <v>3</v>
      </c>
      <c r="F118" s="3">
        <f>_xlfn.NUMBERVALUE(RIGHT(ROC!$C118,LEN(ROC!$C118)-FIND("-",ROC!$C118)))</f>
        <v>4</v>
      </c>
      <c r="G118" s="3">
        <f t="shared" si="18"/>
        <v>7</v>
      </c>
      <c r="H118" s="86" t="str">
        <f>LEFT(ROC!$C118,1)</f>
        <v>L</v>
      </c>
      <c r="I118" s="17" t="str">
        <f>VLOOKUP(IF(Table26[[#This Row],[At]]="Home",Table26[[#This Row],[Opponent]],RIGHT(Table26[[#This Row],[Opponent]],LEN(Table26[[#This Row],[Opponent]])-1)),CHOOSE({1,2},[1]StandingsRAW!$J$1:$J$22,[1]StandingsRAW!$L$1:$L$22),2,FALSE)</f>
        <v>EC</v>
      </c>
      <c r="J118" s="33">
        <f>VLOOKUP(Table26[[#This Row],[OPP]],Raw!$L$2:$S$23,7,FALSE)-Raw!$U$2</f>
        <v>1.1143270057026795</v>
      </c>
    </row>
    <row r="119" spans="1:10" x14ac:dyDescent="0.25">
      <c r="A119" t="s">
        <v>552</v>
      </c>
      <c r="B119" t="s">
        <v>235</v>
      </c>
      <c r="C119" t="s">
        <v>340</v>
      </c>
      <c r="D119" t="str">
        <f>IF(LEFT(ROC!$B119,1)="@","Away","Home")</f>
        <v>Home</v>
      </c>
      <c r="E119" s="1">
        <f>_xlfn.NUMBERVALUE(MID(LEFT(ROC!$C119,FIND("-",ROC!$C119)-1),FIND(" ",ROC!$C119)+1,LEN(ROC!$C119)))</f>
        <v>13</v>
      </c>
      <c r="F119" s="3">
        <f>_xlfn.NUMBERVALUE(RIGHT(ROC!$C119,LEN(ROC!$C119)-FIND("-",ROC!$C119)))</f>
        <v>5</v>
      </c>
      <c r="G119" s="3">
        <f t="shared" si="18"/>
        <v>18</v>
      </c>
      <c r="H119" s="86" t="str">
        <f>LEFT(ROC!$C119,1)</f>
        <v>W</v>
      </c>
      <c r="I119" s="17" t="str">
        <f>VLOOKUP(IF(Table26[[#This Row],[At]]="Home",Table26[[#This Row],[Opponent]],RIGHT(Table26[[#This Row],[Opponent]],LEN(Table26[[#This Row],[Opponent]])-1)),CHOOSE({1,2},[1]StandingsRAW!$J$1:$J$22,[1]StandingsRAW!$L$1:$L$22),2,FALSE)</f>
        <v>EC</v>
      </c>
      <c r="J119" s="33">
        <f>VLOOKUP(Table26[[#This Row],[OPP]],Raw!$L$2:$S$23,7,FALSE)-Raw!$U$2</f>
        <v>1.1143270057026795</v>
      </c>
    </row>
    <row r="120" spans="1:10" x14ac:dyDescent="0.25">
      <c r="A120" s="15" t="s">
        <v>555</v>
      </c>
      <c r="B120" s="15" t="s">
        <v>211</v>
      </c>
      <c r="C120" s="15" t="s">
        <v>375</v>
      </c>
      <c r="D120" s="15" t="str">
        <f>IF(LEFT(ROC!$B120,1)="@","Away","Home")</f>
        <v>Away</v>
      </c>
      <c r="E120" s="54">
        <f>_xlfn.NUMBERVALUE(MID(LEFT(ROC!$C120,FIND("-",ROC!$C120)-1),FIND(" ",ROC!$C120)+1,LEN(ROC!$C120)))</f>
        <v>6</v>
      </c>
      <c r="F120" s="55">
        <f>_xlfn.NUMBERVALUE(RIGHT(ROC!$C120,LEN(ROC!$C120)-FIND("-",ROC!$C120)))</f>
        <v>13</v>
      </c>
      <c r="G120" s="55">
        <f>E120+F120</f>
        <v>19</v>
      </c>
      <c r="H120" s="56" t="str">
        <f>LEFT(ROC!$C120,1)</f>
        <v>L</v>
      </c>
      <c r="I120" s="17" t="str">
        <f>VLOOKUP(IF(Table26[[#This Row],[At]]="Home",Table26[[#This Row],[Opponent]],RIGHT(Table26[[#This Row],[Opponent]],LEN(Table26[[#This Row],[Opponent]])-1)),CHOOSE({1,2},[1]StandingsRAW!$J$1:$J$22,[1]StandingsRAW!$L$1:$L$22),2,FALSE)</f>
        <v>WIL</v>
      </c>
      <c r="J120" s="33">
        <f>VLOOKUP(Table26[[#This Row],[OPP]],Raw!$L$2:$S$23,7,FALSE)-Raw!$U$2</f>
        <v>3.0407975939379734</v>
      </c>
    </row>
    <row r="121" spans="1:10" x14ac:dyDescent="0.25">
      <c r="A121" s="15" t="s">
        <v>557</v>
      </c>
      <c r="B121" s="15" t="s">
        <v>211</v>
      </c>
      <c r="C121" s="15" t="s">
        <v>205</v>
      </c>
      <c r="D121" s="15" t="str">
        <f>IF(LEFT(ROC!$B121,1)="@","Away","Home")</f>
        <v>Away</v>
      </c>
      <c r="E121" s="54">
        <f>_xlfn.NUMBERVALUE(MID(LEFT(ROC!$C121,FIND("-",ROC!$C121)-1),FIND(" ",ROC!$C121)+1,LEN(ROC!$C121)))</f>
        <v>5</v>
      </c>
      <c r="F121" s="55">
        <f>_xlfn.NUMBERVALUE(RIGHT(ROC!$C121,LEN(ROC!$C121)-FIND("-",ROC!$C121)))</f>
        <v>6</v>
      </c>
      <c r="G121" s="55">
        <f t="shared" ref="G121:G123" si="19">E121+F121</f>
        <v>11</v>
      </c>
      <c r="H121" s="56" t="str">
        <f>LEFT(ROC!$C121,1)</f>
        <v>L</v>
      </c>
      <c r="I121" s="17" t="str">
        <f>VLOOKUP(IF(Table26[[#This Row],[At]]="Home",Table26[[#This Row],[Opponent]],RIGHT(Table26[[#This Row],[Opponent]],LEN(Table26[[#This Row],[Opponent]])-1)),CHOOSE({1,2},[1]StandingsRAW!$J$1:$J$22,[1]StandingsRAW!$L$1:$L$22),2,FALSE)</f>
        <v>WIL</v>
      </c>
      <c r="J121" s="33">
        <f>VLOOKUP(Table26[[#This Row],[OPP]],Raw!$L$2:$S$23,7,FALSE)-Raw!$U$2</f>
        <v>3.0407975939379734</v>
      </c>
    </row>
    <row r="122" spans="1:10" x14ac:dyDescent="0.25">
      <c r="A122" t="s">
        <v>558</v>
      </c>
      <c r="B122" t="s">
        <v>201</v>
      </c>
      <c r="C122" t="s">
        <v>31</v>
      </c>
      <c r="D122" t="str">
        <f>IF(LEFT(ROC!$B122,1)="@","Away","Home")</f>
        <v>Away</v>
      </c>
      <c r="E122" s="1">
        <f>_xlfn.NUMBERVALUE(MID(LEFT(ROC!$C122,FIND("-",ROC!$C122)-1),FIND(" ",ROC!$C122)+1,LEN(ROC!$C122)))</f>
        <v>5</v>
      </c>
      <c r="F122" s="3">
        <f>_xlfn.NUMBERVALUE(RIGHT(ROC!$C122,LEN(ROC!$C122)-FIND("-",ROC!$C122)))</f>
        <v>9</v>
      </c>
      <c r="G122" s="3">
        <f t="shared" si="19"/>
        <v>14</v>
      </c>
      <c r="H122" s="86" t="str">
        <f>LEFT(ROC!$C122,1)</f>
        <v>L</v>
      </c>
      <c r="I122" s="17" t="str">
        <f>VLOOKUP(IF(Table26[[#This Row],[At]]="Home",Table26[[#This Row],[Opponent]],RIGHT(Table26[[#This Row],[Opponent]],LEN(Table26[[#This Row],[Opponent]])-1)),CHOOSE({1,2},[1]StandingsRAW!$J$1:$J$22,[1]StandingsRAW!$L$1:$L$22),2,FALSE)</f>
        <v>STC</v>
      </c>
      <c r="J122" s="33">
        <f>VLOOKUP(Table26[[#This Row],[OPP]],Raw!$L$2:$S$23,7,FALSE)-Raw!$U$2</f>
        <v>2.5702093586438561</v>
      </c>
    </row>
    <row r="123" spans="1:10" x14ac:dyDescent="0.25">
      <c r="A123" t="s">
        <v>558</v>
      </c>
      <c r="B123" t="s">
        <v>201</v>
      </c>
      <c r="C123" t="s">
        <v>232</v>
      </c>
      <c r="D123" t="str">
        <f>IF(LEFT(ROC!$B123,1)="@","Away","Home")</f>
        <v>Away</v>
      </c>
      <c r="E123" s="1">
        <f>_xlfn.NUMBERVALUE(MID(LEFT(ROC!$C123,FIND("-",ROC!$C123)-1),FIND(" ",ROC!$C123)+1,LEN(ROC!$C123)))</f>
        <v>8</v>
      </c>
      <c r="F123" s="3">
        <f>_xlfn.NUMBERVALUE(RIGHT(ROC!$C123,LEN(ROC!$C123)-FIND("-",ROC!$C123)))</f>
        <v>6</v>
      </c>
      <c r="G123" s="3">
        <f t="shared" si="19"/>
        <v>14</v>
      </c>
      <c r="H123" s="86" t="str">
        <f>LEFT(ROC!$C123,1)</f>
        <v>W</v>
      </c>
      <c r="I123" s="17" t="str">
        <f>VLOOKUP(IF(Table26[[#This Row],[At]]="Home",Table26[[#This Row],[Opponent]],RIGHT(Table26[[#This Row],[Opponent]],LEN(Table26[[#This Row],[Opponent]])-1)),CHOOSE({1,2},[1]StandingsRAW!$J$1:$J$22,[1]StandingsRAW!$L$1:$L$22),2,FALSE)</f>
        <v>STC</v>
      </c>
      <c r="J123" s="33">
        <f>VLOOKUP(Table26[[#This Row],[OPP]],Raw!$L$2:$S$23,7,FALSE)-Raw!$U$2</f>
        <v>2.5702093586438561</v>
      </c>
    </row>
    <row r="124" spans="1:10" x14ac:dyDescent="0.25">
      <c r="A124" s="15" t="s">
        <v>563</v>
      </c>
      <c r="B124" s="15" t="s">
        <v>250</v>
      </c>
      <c r="C124" s="15" t="s">
        <v>377</v>
      </c>
      <c r="D124" s="15" t="str">
        <f>IF(LEFT(ROC!$B124,1)="@","Away","Home")</f>
        <v>Home</v>
      </c>
      <c r="E124" s="54">
        <f>_xlfn.NUMBERVALUE(MID(LEFT(ROC!$C124,FIND("-",ROC!$C124)-1),FIND(" ",ROC!$C124)+1,LEN(ROC!$C124)))</f>
        <v>3</v>
      </c>
      <c r="F124" s="55">
        <f>_xlfn.NUMBERVALUE(RIGHT(ROC!$C124,LEN(ROC!$C124)-FIND("-",ROC!$C124)))</f>
        <v>19</v>
      </c>
      <c r="G124" s="55">
        <f>E124+F124</f>
        <v>22</v>
      </c>
      <c r="H124" s="56" t="str">
        <f>LEFT(ROC!$C124,1)</f>
        <v>L</v>
      </c>
      <c r="I124" s="17" t="str">
        <f>VLOOKUP(IF(Table26[[#This Row],[At]]="Home",Table26[[#This Row],[Opponent]],RIGHT(Table26[[#This Row],[Opponent]],LEN(Table26[[#This Row],[Opponent]])-1)),CHOOSE({1,2},[1]StandingsRAW!$J$1:$J$22,[1]StandingsRAW!$L$1:$L$22),2,FALSE)</f>
        <v>MAN</v>
      </c>
      <c r="J124" s="33">
        <f>VLOOKUP(Table26[[#This Row],[OPP]],Raw!$L$2:$S$23,7,FALSE)-Raw!$U$2</f>
        <v>0.73197406452620895</v>
      </c>
    </row>
    <row r="125" spans="1:10" x14ac:dyDescent="0.25">
      <c r="A125" s="15" t="s">
        <v>564</v>
      </c>
      <c r="B125" s="15" t="s">
        <v>206</v>
      </c>
      <c r="C125" s="15" t="s">
        <v>393</v>
      </c>
      <c r="D125" s="15" t="str">
        <f>IF(LEFT(ROC!$B125,1)="@","Away","Home")</f>
        <v>Away</v>
      </c>
      <c r="E125" s="54">
        <f>_xlfn.NUMBERVALUE(MID(LEFT(ROC!$C125,FIND("-",ROC!$C125)-1),FIND(" ",ROC!$C125)+1,LEN(ROC!$C125)))</f>
        <v>3</v>
      </c>
      <c r="F125" s="55">
        <f>_xlfn.NUMBERVALUE(RIGHT(ROC!$C125,LEN(ROC!$C125)-FIND("-",ROC!$C125)))</f>
        <v>11</v>
      </c>
      <c r="G125" s="55">
        <f t="shared" ref="G125:G128" si="20">E125+F125</f>
        <v>14</v>
      </c>
      <c r="H125" s="56" t="str">
        <f>LEFT(ROC!$C125,1)</f>
        <v>L</v>
      </c>
      <c r="I125" s="17" t="str">
        <f>VLOOKUP(IF(Table26[[#This Row],[At]]="Home",Table26[[#This Row],[Opponent]],RIGHT(Table26[[#This Row],[Opponent]],LEN(Table26[[#This Row],[Opponent]])-1)),CHOOSE({1,2},[1]StandingsRAW!$J$1:$J$22,[1]StandingsRAW!$L$1:$L$22),2,FALSE)</f>
        <v>MAN</v>
      </c>
      <c r="J125" s="33">
        <f>VLOOKUP(Table26[[#This Row],[OPP]],Raw!$L$2:$S$23,7,FALSE)-Raw!$U$2</f>
        <v>0.73197406452620895</v>
      </c>
    </row>
    <row r="126" spans="1:10" x14ac:dyDescent="0.25">
      <c r="A126" t="s">
        <v>565</v>
      </c>
      <c r="B126" t="s">
        <v>235</v>
      </c>
      <c r="C126" t="s">
        <v>253</v>
      </c>
      <c r="D126" t="str">
        <f>IF(LEFT(ROC!$B126,1)="@","Away","Home")</f>
        <v>Home</v>
      </c>
      <c r="E126" s="1">
        <f>_xlfn.NUMBERVALUE(MID(LEFT(ROC!$C126,FIND("-",ROC!$C126)-1),FIND(" ",ROC!$C126)+1,LEN(ROC!$C126)))</f>
        <v>4</v>
      </c>
      <c r="F126" s="3">
        <f>_xlfn.NUMBERVALUE(RIGHT(ROC!$C126,LEN(ROC!$C126)-FIND("-",ROC!$C126)))</f>
        <v>0</v>
      </c>
      <c r="G126" s="3">
        <f t="shared" si="20"/>
        <v>4</v>
      </c>
      <c r="H126" s="86" t="str">
        <f>LEFT(ROC!$C126,1)</f>
        <v>W</v>
      </c>
      <c r="I126" s="17" t="str">
        <f>VLOOKUP(IF(Table26[[#This Row],[At]]="Home",Table26[[#This Row],[Opponent]],RIGHT(Table26[[#This Row],[Opponent]],LEN(Table26[[#This Row],[Opponent]])-1)),CHOOSE({1,2},[1]StandingsRAW!$J$1:$J$22,[1]StandingsRAW!$L$1:$L$22),2,FALSE)</f>
        <v>EC</v>
      </c>
      <c r="J126" s="33">
        <f>VLOOKUP(Table26[[#This Row],[OPP]],Raw!$L$2:$S$23,7,FALSE)-Raw!$U$2</f>
        <v>1.1143270057026795</v>
      </c>
    </row>
    <row r="127" spans="1:10" x14ac:dyDescent="0.25">
      <c r="A127" t="s">
        <v>566</v>
      </c>
      <c r="B127" t="s">
        <v>235</v>
      </c>
      <c r="C127" t="s">
        <v>55</v>
      </c>
      <c r="D127" t="str">
        <f>IF(LEFT(ROC!$B127,1)="@","Away","Home")</f>
        <v>Home</v>
      </c>
      <c r="E127" s="1">
        <f>_xlfn.NUMBERVALUE(MID(LEFT(ROC!$C127,FIND("-",ROC!$C127)-1),FIND(" ",ROC!$C127)+1,LEN(ROC!$C127)))</f>
        <v>5</v>
      </c>
      <c r="F127" s="3">
        <f>_xlfn.NUMBERVALUE(RIGHT(ROC!$C127,LEN(ROC!$C127)-FIND("-",ROC!$C127)))</f>
        <v>7</v>
      </c>
      <c r="G127" s="3">
        <f t="shared" si="20"/>
        <v>12</v>
      </c>
      <c r="H127" s="86" t="str">
        <f>LEFT(ROC!$C127,1)</f>
        <v>L</v>
      </c>
      <c r="I127" s="17" t="str">
        <f>VLOOKUP(IF(Table26[[#This Row],[At]]="Home",Table26[[#This Row],[Opponent]],RIGHT(Table26[[#This Row],[Opponent]],LEN(Table26[[#This Row],[Opponent]])-1)),CHOOSE({1,2},[1]StandingsRAW!$J$1:$J$22,[1]StandingsRAW!$L$1:$L$22),2,FALSE)</f>
        <v>EC</v>
      </c>
      <c r="J127" s="33">
        <f>VLOOKUP(Table26[[#This Row],[OPP]],Raw!$L$2:$S$23,7,FALSE)-Raw!$U$2</f>
        <v>1.1143270057026795</v>
      </c>
    </row>
    <row r="128" spans="1:10" x14ac:dyDescent="0.25">
      <c r="A128" t="s">
        <v>568</v>
      </c>
      <c r="B128" t="s">
        <v>278</v>
      </c>
      <c r="C128" t="s">
        <v>532</v>
      </c>
      <c r="D128" t="str">
        <f>IF(LEFT(ROC!$B128,1)="@","Away","Home")</f>
        <v>Home</v>
      </c>
      <c r="E128" s="1">
        <f>_xlfn.NUMBERVALUE(MID(LEFT(ROC!$C128,FIND("-",ROC!$C128)-1),FIND(" ",ROC!$C128)+1,LEN(ROC!$C128)))</f>
        <v>12</v>
      </c>
      <c r="F128" s="3">
        <f>_xlfn.NUMBERVALUE(RIGHT(ROC!$C128,LEN(ROC!$C128)-FIND("-",ROC!$C128)))</f>
        <v>11</v>
      </c>
      <c r="G128" s="3">
        <f t="shared" si="20"/>
        <v>23</v>
      </c>
      <c r="H128" s="86" t="str">
        <f>LEFT(ROC!$C128,1)</f>
        <v>W</v>
      </c>
      <c r="I128" s="17" t="str">
        <f>VLOOKUP(IF(Table26[[#This Row],[At]]="Home",Table26[[#This Row],[Opponent]],RIGHT(Table26[[#This Row],[Opponent]],LEN(Table26[[#This Row],[Opponent]])-1)),CHOOSE({1,2},[1]StandingsRAW!$J$1:$J$22,[1]StandingsRAW!$L$1:$L$22),2,FALSE)</f>
        <v>BIS</v>
      </c>
      <c r="J128" s="33">
        <f>VLOOKUP(Table26[[#This Row],[OPP]],Raw!$L$2:$S$23,7,FALSE)-Raw!$U$2</f>
        <v>-1.915084759003203</v>
      </c>
    </row>
    <row r="129" spans="1:10" x14ac:dyDescent="0.25">
      <c r="A129" s="15" t="s">
        <v>589</v>
      </c>
      <c r="B129" s="15" t="s">
        <v>278</v>
      </c>
      <c r="C129" s="15" t="s">
        <v>274</v>
      </c>
      <c r="D129" s="15" t="str">
        <f>IF(LEFT(ROC!$B129,1)="@","Away","Home")</f>
        <v>Home</v>
      </c>
      <c r="E129" s="54">
        <f>_xlfn.NUMBERVALUE(MID(LEFT(ROC!$C129,FIND("-",ROC!$C129)-1),FIND(" ",ROC!$C129)+1,LEN(ROC!$C129)))</f>
        <v>9</v>
      </c>
      <c r="F129" s="55">
        <f>_xlfn.NUMBERVALUE(RIGHT(ROC!$C129,LEN(ROC!$C129)-FIND("-",ROC!$C129)))</f>
        <v>10</v>
      </c>
      <c r="G129" s="55">
        <f>E129+F129</f>
        <v>19</v>
      </c>
      <c r="H129" s="56" t="str">
        <f>LEFT(ROC!$C129,1)</f>
        <v>L</v>
      </c>
      <c r="I129" s="17" t="str">
        <f>VLOOKUP(IF(Table26[[#This Row],[At]]="Home",Table26[[#This Row],[Opponent]],RIGHT(Table26[[#This Row],[Opponent]],LEN(Table26[[#This Row],[Opponent]])-1)),CHOOSE({1,2},[1]StandingsRAW!$J$1:$J$22,[1]StandingsRAW!$L$1:$L$22),2,FALSE)</f>
        <v>BIS</v>
      </c>
      <c r="J129" s="33">
        <f>VLOOKUP(Table26[[#This Row],[OPP]],Raw!$L$2:$S$23,7,FALSE)-Raw!$U$2</f>
        <v>-1.915084759003203</v>
      </c>
    </row>
    <row r="130" spans="1:10" x14ac:dyDescent="0.25">
      <c r="A130" s="15" t="s">
        <v>592</v>
      </c>
      <c r="B130" s="15" t="s">
        <v>225</v>
      </c>
      <c r="C130" s="15" t="s">
        <v>300</v>
      </c>
      <c r="D130" s="15" t="str">
        <f>IF(LEFT(ROC!$B130,1)="@","Away","Home")</f>
        <v>Home</v>
      </c>
      <c r="E130" s="54">
        <f>_xlfn.NUMBERVALUE(MID(LEFT(ROC!$C130,FIND("-",ROC!$C130)-1),FIND(" ",ROC!$C130)+1,LEN(ROC!$C130)))</f>
        <v>9</v>
      </c>
      <c r="F130" s="55">
        <f>_xlfn.NUMBERVALUE(RIGHT(ROC!$C130,LEN(ROC!$C130)-FIND("-",ROC!$C130)))</f>
        <v>4</v>
      </c>
      <c r="G130" s="55">
        <f>E130+F130</f>
        <v>13</v>
      </c>
      <c r="H130" s="56" t="str">
        <f>LEFT(ROC!$C130,1)</f>
        <v>W</v>
      </c>
      <c r="I130" s="17" t="str">
        <f>VLOOKUP(IF(Table26[[#This Row],[At]]="Home",Table26[[#This Row],[Opponent]],RIGHT(Table26[[#This Row],[Opponent]],LEN(Table26[[#This Row],[Opponent]])-1)),CHOOSE({1,2},[1]StandingsRAW!$J$1:$J$22,[1]StandingsRAW!$L$1:$L$22),2,FALSE)</f>
        <v>DUL</v>
      </c>
      <c r="J130" s="33">
        <f>VLOOKUP(Table26[[#This Row],[OPP]],Raw!$L$2:$S$23,7,FALSE)-Raw!$U$2</f>
        <v>-0.37645438147905891</v>
      </c>
    </row>
    <row r="131" spans="1:10" x14ac:dyDescent="0.25">
      <c r="A131" s="15" t="s">
        <v>595</v>
      </c>
      <c r="B131" s="15" t="s">
        <v>225</v>
      </c>
      <c r="C131" s="15" t="s">
        <v>36</v>
      </c>
      <c r="D131" s="15" t="str">
        <f>IF(LEFT(ROC!$B131,1)="@","Away","Home")</f>
        <v>Home</v>
      </c>
      <c r="E131" s="54">
        <f>_xlfn.NUMBERVALUE(MID(LEFT(ROC!$C131,FIND("-",ROC!$C131)-1),FIND(" ",ROC!$C131)+1,LEN(ROC!$C131)))</f>
        <v>1</v>
      </c>
      <c r="F131" s="55">
        <f>_xlfn.NUMBERVALUE(RIGHT(ROC!$C131,LEN(ROC!$C131)-FIND("-",ROC!$C131)))</f>
        <v>5</v>
      </c>
      <c r="G131" s="55">
        <f>E131+F131</f>
        <v>6</v>
      </c>
      <c r="H131" s="56" t="str">
        <f>LEFT(ROC!$C131,1)</f>
        <v>L</v>
      </c>
      <c r="I131" s="17" t="str">
        <f>VLOOKUP(IF(Table26[[#This Row],[At]]="Home",Table26[[#This Row],[Opponent]],RIGHT(Table26[[#This Row],[Opponent]],LEN(Table26[[#This Row],[Opponent]])-1)),CHOOSE({1,2},[1]StandingsRAW!$J$1:$J$22,[1]StandingsRAW!$L$1:$L$22),2,FALSE)</f>
        <v>DUL</v>
      </c>
      <c r="J131" s="33">
        <f>VLOOKUP(Table26[[#This Row],[OPP]],Raw!$L$2:$S$23,7,FALSE)-Raw!$U$2</f>
        <v>-0.37645438147905891</v>
      </c>
    </row>
    <row r="132" spans="1:10" x14ac:dyDescent="0.25">
      <c r="A132" s="15" t="s">
        <v>599</v>
      </c>
      <c r="B132" s="15" t="s">
        <v>190</v>
      </c>
      <c r="C132" s="15" t="s">
        <v>238</v>
      </c>
      <c r="D132" s="15" t="str">
        <f>IF(LEFT(ROC!$B132,1)="@","Away","Home")</f>
        <v>Away</v>
      </c>
      <c r="E132" s="54">
        <f>_xlfn.NUMBERVALUE(MID(LEFT(ROC!$C132,FIND("-",ROC!$C132)-1),FIND(" ",ROC!$C132)+1,LEN(ROC!$C132)))</f>
        <v>10</v>
      </c>
      <c r="F132" s="55">
        <f>_xlfn.NUMBERVALUE(RIGHT(ROC!$C132,LEN(ROC!$C132)-FIND("-",ROC!$C132)))</f>
        <v>2</v>
      </c>
      <c r="G132" s="55">
        <f t="shared" ref="G132:G133" si="21">E132+F132</f>
        <v>12</v>
      </c>
      <c r="H132" s="56" t="str">
        <f>LEFT(ROC!$C132,1)</f>
        <v>W</v>
      </c>
      <c r="I132" s="17" t="str">
        <f>VLOOKUP(IF(Table26[[#This Row],[At]]="Home",Table26[[#This Row],[Opponent]],RIGHT(Table26[[#This Row],[Opponent]],LEN(Table26[[#This Row],[Opponent]])-1)),CHOOSE({1,2},[1]StandingsRAW!$J$1:$J$22,[1]StandingsRAW!$L$1:$L$22),2,FALSE)</f>
        <v>LAC</v>
      </c>
      <c r="J132" s="33">
        <f>VLOOKUP(Table26[[#This Row],[OPP]],Raw!$L$2:$S$23,7,FALSE)-Raw!$U$2</f>
        <v>-0.25332005312084993</v>
      </c>
    </row>
    <row r="133" spans="1:10" x14ac:dyDescent="0.25">
      <c r="A133" t="s">
        <v>599</v>
      </c>
      <c r="B133" t="s">
        <v>231</v>
      </c>
      <c r="C133" t="s">
        <v>254</v>
      </c>
      <c r="D133" t="str">
        <f>IF(LEFT(ROC!$B133,1)="@","Away","Home")</f>
        <v>Home</v>
      </c>
      <c r="E133" s="1">
        <f>_xlfn.NUMBERVALUE(MID(LEFT(ROC!$C133,FIND("-",ROC!$C133)-1),FIND(" ",ROC!$C133)+1,LEN(ROC!$C133)))</f>
        <v>5</v>
      </c>
      <c r="F133" s="3">
        <f>_xlfn.NUMBERVALUE(RIGHT(ROC!$C133,LEN(ROC!$C133)-FIND("-",ROC!$C133)))</f>
        <v>4</v>
      </c>
      <c r="G133" s="3">
        <f t="shared" si="21"/>
        <v>9</v>
      </c>
      <c r="H133" s="86" t="str">
        <f>LEFT(ROC!$C133,1)</f>
        <v>W</v>
      </c>
      <c r="I133" s="17" t="str">
        <f>VLOOKUP(IF(Table26[[#This Row],[At]]="Home",Table26[[#This Row],[Opponent]],RIGHT(Table26[[#This Row],[Opponent]],LEN(Table26[[#This Row],[Opponent]])-1)),CHOOSE({1,2},[1]StandingsRAW!$J$1:$J$22,[1]StandingsRAW!$L$1:$L$22),2,FALSE)</f>
        <v>LAC</v>
      </c>
      <c r="J133" s="33">
        <f>VLOOKUP(Table26[[#This Row],[OPP]],Raw!$L$2:$S$23,7,FALSE)-Raw!$U$2</f>
        <v>-0.25332005312084993</v>
      </c>
    </row>
    <row r="134" spans="1:10" x14ac:dyDescent="0.25">
      <c r="A134" s="15" t="s">
        <v>600</v>
      </c>
      <c r="B134" s="15" t="s">
        <v>206</v>
      </c>
      <c r="C134" s="15" t="s">
        <v>246</v>
      </c>
      <c r="D134" s="15" t="str">
        <f>IF(LEFT(ROC!$B134,1)="@","Away","Home")</f>
        <v>Away</v>
      </c>
      <c r="E134" s="54">
        <f>_xlfn.NUMBERVALUE(MID(LEFT(ROC!$C134,FIND("-",ROC!$C134)-1),FIND(" ",ROC!$C134)+1,LEN(ROC!$C134)))</f>
        <v>4</v>
      </c>
      <c r="F134" s="55">
        <f>_xlfn.NUMBERVALUE(RIGHT(ROC!$C134,LEN(ROC!$C134)-FIND("-",ROC!$C134)))</f>
        <v>6</v>
      </c>
      <c r="G134" s="55">
        <f t="shared" ref="G134:G137" si="22">E134+F134</f>
        <v>10</v>
      </c>
      <c r="H134" s="56" t="str">
        <f>LEFT(ROC!$C134,1)</f>
        <v>L</v>
      </c>
      <c r="I134" s="17" t="str">
        <f>VLOOKUP(IF(Table26[[#This Row],[At]]="Home",Table26[[#This Row],[Opponent]],RIGHT(Table26[[#This Row],[Opponent]],LEN(Table26[[#This Row],[Opponent]])-1)),CHOOSE({1,2},[1]StandingsRAW!$J$1:$J$22,[1]StandingsRAW!$L$1:$L$22),2,FALSE)</f>
        <v>MAN</v>
      </c>
      <c r="J134" s="33">
        <f>VLOOKUP(Table26[[#This Row],[OPP]],Raw!$L$2:$S$23,7,FALSE)-Raw!$U$2</f>
        <v>0.73197406452620895</v>
      </c>
    </row>
    <row r="135" spans="1:10" x14ac:dyDescent="0.25">
      <c r="A135" t="s">
        <v>601</v>
      </c>
      <c r="B135" t="s">
        <v>206</v>
      </c>
      <c r="C135" t="s">
        <v>94</v>
      </c>
      <c r="D135" t="str">
        <f>IF(LEFT(ROC!$B135,1)="@","Away","Home")</f>
        <v>Away</v>
      </c>
      <c r="E135" s="1">
        <f>_xlfn.NUMBERVALUE(MID(LEFT(ROC!$C135,FIND("-",ROC!$C135)-1),FIND(" ",ROC!$C135)+1,LEN(ROC!$C135)))</f>
        <v>4</v>
      </c>
      <c r="F135" s="3">
        <f>_xlfn.NUMBERVALUE(RIGHT(ROC!$C135,LEN(ROC!$C135)-FIND("-",ROC!$C135)))</f>
        <v>8</v>
      </c>
      <c r="G135" s="3">
        <f t="shared" si="22"/>
        <v>12</v>
      </c>
      <c r="H135" s="86" t="str">
        <f>LEFT(ROC!$C135,1)</f>
        <v>L</v>
      </c>
      <c r="I135" s="17" t="str">
        <f>VLOOKUP(IF(Table26[[#This Row],[At]]="Home",Table26[[#This Row],[Opponent]],RIGHT(Table26[[#This Row],[Opponent]],LEN(Table26[[#This Row],[Opponent]])-1)),CHOOSE({1,2},[1]StandingsRAW!$J$1:$J$22,[1]StandingsRAW!$L$1:$L$22),2,FALSE)</f>
        <v>MAN</v>
      </c>
      <c r="J135" s="33">
        <f>VLOOKUP(Table26[[#This Row],[OPP]],Raw!$L$2:$S$23,7,FALSE)-Raw!$U$2</f>
        <v>0.73197406452620895</v>
      </c>
    </row>
    <row r="136" spans="1:10" x14ac:dyDescent="0.25">
      <c r="A136" t="s">
        <v>602</v>
      </c>
      <c r="B136" t="s">
        <v>192</v>
      </c>
      <c r="C136" t="s">
        <v>605</v>
      </c>
      <c r="D136" t="str">
        <f>IF(LEFT(ROC!$B136,1)="@","Away","Home")</f>
        <v>Away</v>
      </c>
      <c r="E136" s="1">
        <f>_xlfn.NUMBERVALUE(MID(LEFT(ROC!$C136,FIND("-",ROC!$C136)-1),FIND(" ",ROC!$C136)+1,LEN(ROC!$C136)))</f>
        <v>18</v>
      </c>
      <c r="F136" s="3">
        <f>_xlfn.NUMBERVALUE(RIGHT(ROC!$C136,LEN(ROC!$C136)-FIND("-",ROC!$C136)))</f>
        <v>0</v>
      </c>
      <c r="G136" s="3">
        <f t="shared" si="22"/>
        <v>18</v>
      </c>
      <c r="H136" s="86" t="str">
        <f>LEFT(ROC!$C136,1)</f>
        <v>W</v>
      </c>
      <c r="I136" s="17" t="str">
        <f>VLOOKUP(IF(Table26[[#This Row],[At]]="Home",Table26[[#This Row],[Opponent]],RIGHT(Table26[[#This Row],[Opponent]],LEN(Table26[[#This Row],[Opponent]])-1)),CHOOSE({1,2},[1]StandingsRAW!$J$1:$J$22,[1]StandingsRAW!$L$1:$L$22),2,FALSE)</f>
        <v>WAT</v>
      </c>
      <c r="J136" s="33">
        <f>VLOOKUP(Table26[[#This Row],[OPP]],Raw!$L$2:$S$23,7,FALSE)-Raw!$U$2</f>
        <v>-3.3415553472384971</v>
      </c>
    </row>
    <row r="137" spans="1:10" x14ac:dyDescent="0.25">
      <c r="A137" t="s">
        <v>603</v>
      </c>
      <c r="B137" t="s">
        <v>192</v>
      </c>
      <c r="C137" t="s">
        <v>256</v>
      </c>
      <c r="D137" t="str">
        <f>IF(LEFT(ROC!$B137,1)="@","Away","Home")</f>
        <v>Away</v>
      </c>
      <c r="E137" s="1">
        <f>_xlfn.NUMBERVALUE(MID(LEFT(ROC!$C137,FIND("-",ROC!$C137)-1),FIND(" ",ROC!$C137)+1,LEN(ROC!$C137)))</f>
        <v>11</v>
      </c>
      <c r="F137" s="3">
        <f>_xlfn.NUMBERVALUE(RIGHT(ROC!$C137,LEN(ROC!$C137)-FIND("-",ROC!$C137)))</f>
        <v>6</v>
      </c>
      <c r="G137" s="3">
        <f t="shared" si="22"/>
        <v>17</v>
      </c>
      <c r="H137" s="86" t="str">
        <f>LEFT(ROC!$C137,1)</f>
        <v>W</v>
      </c>
      <c r="I137" s="17" t="str">
        <f>VLOOKUP(IF(Table26[[#This Row],[At]]="Home",Table26[[#This Row],[Opponent]],RIGHT(Table26[[#This Row],[Opponent]],LEN(Table26[[#This Row],[Opponent]])-1)),CHOOSE({1,2},[1]StandingsRAW!$J$1:$J$22,[1]StandingsRAW!$L$1:$L$22),2,FALSE)</f>
        <v>WAT</v>
      </c>
      <c r="J137" s="33">
        <f>VLOOKUP(Table26[[#This Row],[OPP]],Raw!$L$2:$S$23,7,FALSE)-Raw!$U$2</f>
        <v>-3.3415553472384971</v>
      </c>
    </row>
    <row r="138" spans="1:10" x14ac:dyDescent="0.25">
      <c r="A138" s="90" t="s">
        <v>608</v>
      </c>
      <c r="B138" s="90" t="s">
        <v>235</v>
      </c>
      <c r="C138" s="90" t="s">
        <v>232</v>
      </c>
      <c r="D138" s="90" t="str">
        <f>IF(LEFT(ROC!$B138,1)="@","Away","Home")</f>
        <v>Home</v>
      </c>
      <c r="E138" s="107">
        <f>_xlfn.NUMBERVALUE(MID(LEFT(ROC!$C138,FIND("-",ROC!$C138)-1),FIND(" ",ROC!$C138)+1,LEN(ROC!$C138)))</f>
        <v>8</v>
      </c>
      <c r="F138" s="108">
        <f>_xlfn.NUMBERVALUE(RIGHT(ROC!$C138,LEN(ROC!$C138)-FIND("-",ROC!$C138)))</f>
        <v>6</v>
      </c>
      <c r="G138" s="108">
        <f t="shared" ref="G138:G139" si="23">E138+F138</f>
        <v>14</v>
      </c>
      <c r="H138" s="109" t="str">
        <f>LEFT(ROC!$C138,1)</f>
        <v>W</v>
      </c>
      <c r="I138" s="17" t="str">
        <f>VLOOKUP(IF(Table26[[#This Row],[At]]="Home",Table26[[#This Row],[Opponent]],RIGHT(Table26[[#This Row],[Opponent]],LEN(Table26[[#This Row],[Opponent]])-1)),CHOOSE({1,2},[1]StandingsRAW!$J$1:$J$22,[1]StandingsRAW!$L$1:$L$22),2,FALSE)</f>
        <v>EC</v>
      </c>
      <c r="J138" s="33">
        <f>VLOOKUP(Table26[[#This Row],[OPP]],Raw!$L$2:$S$23,7,FALSE)-Raw!$U$2</f>
        <v>1.1143270057026795</v>
      </c>
    </row>
    <row r="139" spans="1:10" x14ac:dyDescent="0.25">
      <c r="A139" s="95" t="s">
        <v>609</v>
      </c>
      <c r="B139" s="95" t="s">
        <v>194</v>
      </c>
      <c r="C139" s="95" t="s">
        <v>352</v>
      </c>
      <c r="D139" s="95" t="str">
        <f>IF(LEFT(ROC!$B139,1)="@","Away","Home")</f>
        <v>Away</v>
      </c>
      <c r="E139" s="97">
        <f>_xlfn.NUMBERVALUE(MID(LEFT(ROC!$C139,FIND("-",ROC!$C139)-1),FIND(" ",ROC!$C139)+1,LEN(ROC!$C139)))</f>
        <v>5</v>
      </c>
      <c r="F139" s="99">
        <f>_xlfn.NUMBERVALUE(RIGHT(ROC!$C139,LEN(ROC!$C139)-FIND("-",ROC!$C139)))</f>
        <v>13</v>
      </c>
      <c r="G139" s="99">
        <f t="shared" si="23"/>
        <v>18</v>
      </c>
      <c r="H139" s="110" t="str">
        <f>LEFT(ROC!$C139,1)</f>
        <v>L</v>
      </c>
      <c r="I139" s="17" t="str">
        <f>VLOOKUP(IF(Table26[[#This Row],[At]]="Home",Table26[[#This Row],[Opponent]],RIGHT(Table26[[#This Row],[Opponent]],LEN(Table26[[#This Row],[Opponent]])-1)),CHOOSE({1,2},[1]StandingsRAW!$J$1:$J$22,[1]StandingsRAW!$L$1:$L$22),2,FALSE)</f>
        <v>EC</v>
      </c>
      <c r="J139" s="33">
        <f>VLOOKUP(Table26[[#This Row],[OPP]],Raw!$L$2:$S$23,7,FALSE)-Raw!$U$2</f>
        <v>1.1143270057026795</v>
      </c>
    </row>
    <row r="140" spans="1:10" x14ac:dyDescent="0.25">
      <c r="E140" s="1"/>
      <c r="F140" s="3"/>
      <c r="G140" s="3"/>
      <c r="H140" s="3"/>
    </row>
    <row r="141" spans="1:10" x14ac:dyDescent="0.25">
      <c r="E141" s="1"/>
      <c r="F141" s="3"/>
      <c r="G141" s="3"/>
      <c r="H141" s="3"/>
    </row>
    <row r="142" spans="1:10" x14ac:dyDescent="0.25">
      <c r="E142" s="1"/>
      <c r="F142" s="3"/>
      <c r="G142" s="3"/>
      <c r="H142" s="3"/>
    </row>
  </sheetData>
  <conditionalFormatting sqref="L17">
    <cfRule type="cellIs" dxfId="34" priority="4" operator="greaterThan">
      <formula>100</formula>
    </cfRule>
    <cfRule type="cellIs" dxfId="33" priority="5" operator="lessThan">
      <formula>100</formula>
    </cfRule>
  </conditionalFormatting>
  <conditionalFormatting sqref="L18">
    <cfRule type="cellIs" dxfId="32" priority="2" operator="greaterThan">
      <formula>100</formula>
    </cfRule>
    <cfRule type="cellIs" dxfId="31" priority="3" operator="lessThan">
      <formula>100</formula>
    </cfRule>
  </conditionalFormatting>
  <conditionalFormatting sqref="L17:L18">
    <cfRule type="cellIs" dxfId="30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5208-200E-4A36-B236-A4455F9C5E22}">
  <sheetPr codeName="Sheet19"/>
  <dimension ref="A1:P142"/>
  <sheetViews>
    <sheetView topLeftCell="A66" workbookViewId="0">
      <selection activeCell="A73" sqref="A73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420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9</v>
      </c>
      <c r="B3" t="s">
        <v>206</v>
      </c>
      <c r="C3" t="s">
        <v>240</v>
      </c>
      <c r="E3" s="1" t="str">
        <f>IF(LEFT(B3,1)="@","Away","Home")</f>
        <v>Away</v>
      </c>
      <c r="F3" s="3">
        <f>_xlfn.NUMBERVALUE(MID(LEFT(C3,FIND("-",C3)-1),FIND(" ",C3)+1,LEN(C3)))</f>
        <v>1</v>
      </c>
      <c r="G3" s="3">
        <f>_xlfn.NUMBERVALUE(RIGHT(C3,LEN(C3)-FIND("-",C3)))</f>
        <v>3</v>
      </c>
      <c r="H3" s="3">
        <f t="shared" ref="H3:H66" si="0">F3+G3</f>
        <v>4</v>
      </c>
      <c r="I3" s="3" t="str">
        <f>LEFT(C3,1)</f>
        <v>L</v>
      </c>
      <c r="K3" s="4" t="s">
        <v>139</v>
      </c>
      <c r="L3" s="5">
        <f>(SUMIF($E$3:$E$141,$K3,F$3:F$141) + SUMIF(STC!$D$73:$D$140,$K3,STC!$E$73:$E$140))/(COUNTIF($E$3:$E$141,$K3) + COUNTIF(STC!$D$73:$D$140,$K3))</f>
        <v>6.4027777777777777</v>
      </c>
      <c r="M3" s="5">
        <f>(SUMIF($E$3:$E$141,$K3,G$3:G$141) + SUMIF(STC!$D$73:$D$140,$K3,STC!$F$73:$F$140))/(COUNTIF($E$3:$E$141,$K3) + COUNTIF(STC!$D$73:$D$140,$K3))</f>
        <v>3.5694444444444446</v>
      </c>
      <c r="N3" s="5">
        <f>L3+M3</f>
        <v>9.9722222222222214</v>
      </c>
      <c r="O3" s="5">
        <f>(COUNTIFS($E$3:$E$74,$K3,$I$3:$I$74,O$2) + COUNTIFS(STC!$D$73:$D$140,$K3,STC!$H$73:$H$140,O$2))/(COUNTIF($E$3:$E$74,$K3) + COUNTIF(STC!$D$73:$D$140,$K3))</f>
        <v>0.79166666666666663</v>
      </c>
      <c r="P3" s="5">
        <f>(COUNTIFS($E$3:$E$74,$K3,$I$3:$I$74,P$2) + COUNTIFS(STC!$D$73:$D$140,$K3,STC!$H$73:$H$140,P$2))/(COUNTIF($E$3:$E$74,$K3) + COUNTIF(STC!$D$73:$D$140,$K3))</f>
        <v>0.20833333333333334</v>
      </c>
    </row>
    <row r="4" spans="1:16" x14ac:dyDescent="0.25">
      <c r="A4" t="s">
        <v>12</v>
      </c>
      <c r="B4" t="s">
        <v>206</v>
      </c>
      <c r="C4" t="s">
        <v>298</v>
      </c>
      <c r="E4" s="1" t="str">
        <f t="shared" ref="E4:E67" si="1">IF(LEFT(B4,1)="@","Away","Home")</f>
        <v>Away</v>
      </c>
      <c r="F4" s="3">
        <f t="shared" ref="F4:F67" si="2">_xlfn.NUMBERVALUE(MID(LEFT(C4,FIND("-",C4)-1),FIND(" ",C4)+1,LEN(C4)))</f>
        <v>1</v>
      </c>
      <c r="G4" s="3">
        <f t="shared" ref="G4:G67" si="3">_xlfn.NUMBERVALUE(RIGHT(C4,LEN(C4)-FIND("-",C4)))</f>
        <v>2</v>
      </c>
      <c r="H4" s="3">
        <f t="shared" si="0"/>
        <v>3</v>
      </c>
      <c r="I4" s="3" t="str">
        <f t="shared" ref="I4:I67" si="4">LEFT(C4,1)</f>
        <v>L</v>
      </c>
      <c r="K4" s="4" t="s">
        <v>140</v>
      </c>
      <c r="L4" s="5">
        <f>(SUMIF($E$3:$E$141,$K4,F$3:F$141) + SUMIF(STC!$D$73:$D$140,$K4,STC!$E$73:$E$140))/(COUNTIF($E$3:$E$141,$K4) + COUNTIF(STC!$D$73:$D$140,$K4))</f>
        <v>6.515625</v>
      </c>
      <c r="M4" s="5">
        <f>(SUMIF($E$3:$E$141,$K4,G$3:G$141) + SUMIF(STC!$D$73:$D$140,$K4,STC!$F$73:$F$140))/(COUNTIF($E$3:$E$141,$K4) + COUNTIF(STC!$D$73:$D$140,$K4))</f>
        <v>4.0625</v>
      </c>
      <c r="N4" s="5">
        <f>L4+M4</f>
        <v>10.578125</v>
      </c>
      <c r="O4" s="5">
        <f>(COUNTIFS($E$3:$E$74,$K4,$I$3:$I$74,O$2) + COUNTIFS(STC!$D$73:$D$140,$K4,STC!$H$73:$H$140,O$2))/(COUNTIF($E$3:$E$74,$K4) + COUNTIF(STC!$D$73:$D$140,$K4))</f>
        <v>0.671875</v>
      </c>
      <c r="P4" s="5">
        <f>(COUNTIFS($E$3:$E$74,$K4,$I$3:$I$74,P$2) + COUNTIFS(STC!$D$73:$D$140,$K4,STC!$H$73:$H$140,P$2))/(COUNTIF($E$3:$E$74,$K4) + COUNTIF(STC!$D$73:$D$140,$K4))</f>
        <v>0.328125</v>
      </c>
    </row>
    <row r="5" spans="1:16" x14ac:dyDescent="0.25">
      <c r="A5" t="s">
        <v>14</v>
      </c>
      <c r="B5" t="s">
        <v>225</v>
      </c>
      <c r="C5" t="s">
        <v>254</v>
      </c>
      <c r="E5" s="1" t="str">
        <f t="shared" si="1"/>
        <v>Home</v>
      </c>
      <c r="F5" s="3">
        <f t="shared" si="2"/>
        <v>5</v>
      </c>
      <c r="G5" s="3">
        <f t="shared" si="3"/>
        <v>4</v>
      </c>
      <c r="H5" s="3">
        <f t="shared" si="0"/>
        <v>9</v>
      </c>
      <c r="I5" s="3" t="str">
        <f t="shared" si="4"/>
        <v>W</v>
      </c>
    </row>
    <row r="6" spans="1:16" x14ac:dyDescent="0.25">
      <c r="A6" t="s">
        <v>16</v>
      </c>
      <c r="B6" t="s">
        <v>198</v>
      </c>
      <c r="C6" t="s">
        <v>264</v>
      </c>
      <c r="E6" s="1" t="str">
        <f t="shared" si="1"/>
        <v>Away</v>
      </c>
      <c r="F6" s="3">
        <f t="shared" si="2"/>
        <v>6</v>
      </c>
      <c r="G6" s="3">
        <f t="shared" si="3"/>
        <v>2</v>
      </c>
      <c r="H6" s="3">
        <f t="shared" si="0"/>
        <v>8</v>
      </c>
      <c r="I6" s="3" t="str">
        <f t="shared" si="4"/>
        <v>W</v>
      </c>
      <c r="K6" s="4" t="s">
        <v>144</v>
      </c>
      <c r="L6" s="5">
        <f>N3/N4</f>
        <v>0.94272115542425727</v>
      </c>
      <c r="O6" s="4" t="s">
        <v>178</v>
      </c>
      <c r="P6" s="1" t="s">
        <v>180</v>
      </c>
    </row>
    <row r="7" spans="1:16" x14ac:dyDescent="0.25">
      <c r="A7" t="s">
        <v>19</v>
      </c>
      <c r="B7" t="s">
        <v>222</v>
      </c>
      <c r="C7" t="s">
        <v>65</v>
      </c>
      <c r="E7" s="1" t="str">
        <f t="shared" si="1"/>
        <v>Home</v>
      </c>
      <c r="F7" s="3">
        <f t="shared" si="2"/>
        <v>1</v>
      </c>
      <c r="G7" s="3">
        <f t="shared" si="3"/>
        <v>4</v>
      </c>
      <c r="H7" s="3">
        <f t="shared" si="0"/>
        <v>5</v>
      </c>
      <c r="I7" s="3" t="str">
        <f t="shared" si="4"/>
        <v>L</v>
      </c>
      <c r="K7" s="7" t="s">
        <v>143</v>
      </c>
      <c r="L7" s="5">
        <f>(18.5 - O3)/(18.5-P4)</f>
        <v>0.97449125824018334</v>
      </c>
      <c r="O7" s="4" t="s">
        <v>147</v>
      </c>
      <c r="P7" s="1">
        <f>VLOOKUP($P$6,'Full League'!$L$4:$N$5,2,FALSE)</f>
        <v>10</v>
      </c>
    </row>
    <row r="8" spans="1:16" x14ac:dyDescent="0.25">
      <c r="A8" t="s">
        <v>193</v>
      </c>
      <c r="B8" t="s">
        <v>211</v>
      </c>
      <c r="C8" t="s">
        <v>276</v>
      </c>
      <c r="E8" s="1" t="str">
        <f t="shared" si="1"/>
        <v>Away</v>
      </c>
      <c r="F8" s="3">
        <f t="shared" si="2"/>
        <v>2</v>
      </c>
      <c r="G8" s="3">
        <f t="shared" si="3"/>
        <v>4</v>
      </c>
      <c r="H8" s="3">
        <f t="shared" si="0"/>
        <v>6</v>
      </c>
      <c r="I8" s="3" t="str">
        <f t="shared" si="4"/>
        <v>L</v>
      </c>
      <c r="K8" s="7" t="s">
        <v>146</v>
      </c>
      <c r="L8" s="5">
        <f>L6/L7</f>
        <v>0.96739826802212758</v>
      </c>
      <c r="O8" s="4" t="s">
        <v>151</v>
      </c>
      <c r="P8" s="2">
        <f>VLOOKUP($P$6,'Full League'!$L$4:$N$5,3,FALSE)</f>
        <v>11.586233565351895</v>
      </c>
    </row>
    <row r="9" spans="1:16" x14ac:dyDescent="0.25">
      <c r="A9" t="s">
        <v>22</v>
      </c>
      <c r="B9" t="s">
        <v>210</v>
      </c>
      <c r="C9" t="s">
        <v>267</v>
      </c>
      <c r="E9" s="1" t="str">
        <f t="shared" si="1"/>
        <v>Away</v>
      </c>
      <c r="F9" s="3">
        <f t="shared" si="2"/>
        <v>8</v>
      </c>
      <c r="G9" s="3">
        <f t="shared" si="3"/>
        <v>7</v>
      </c>
      <c r="H9" s="3">
        <f t="shared" si="0"/>
        <v>15</v>
      </c>
      <c r="I9" s="3" t="str">
        <f t="shared" si="4"/>
        <v>W</v>
      </c>
      <c r="K9" s="7" t="s">
        <v>145</v>
      </c>
      <c r="L9" s="5">
        <f>(P7)/(P7-1+L8)</f>
        <v>1.0032708366919045</v>
      </c>
      <c r="O9" s="4"/>
      <c r="P9" s="1"/>
    </row>
    <row r="10" spans="1:16" x14ac:dyDescent="0.25">
      <c r="A10" t="s">
        <v>196</v>
      </c>
      <c r="B10" t="s">
        <v>263</v>
      </c>
      <c r="C10" t="s">
        <v>351</v>
      </c>
      <c r="E10" s="1" t="str">
        <f t="shared" si="1"/>
        <v>Home</v>
      </c>
      <c r="F10" s="3">
        <f t="shared" si="2"/>
        <v>2</v>
      </c>
      <c r="G10" s="3">
        <f t="shared" si="3"/>
        <v>1</v>
      </c>
      <c r="H10" s="3">
        <f t="shared" si="0"/>
        <v>3</v>
      </c>
      <c r="I10" s="3" t="str">
        <f t="shared" si="4"/>
        <v>W</v>
      </c>
      <c r="K10" s="4" t="s">
        <v>149</v>
      </c>
      <c r="L10" s="5">
        <f>L8*L9</f>
        <v>0.9705624697728592</v>
      </c>
      <c r="O10" s="4"/>
      <c r="P10" s="1"/>
    </row>
    <row r="11" spans="1:16" x14ac:dyDescent="0.25">
      <c r="A11" t="s">
        <v>25</v>
      </c>
      <c r="B11" t="s">
        <v>225</v>
      </c>
      <c r="C11" t="s">
        <v>391</v>
      </c>
      <c r="E11" s="1" t="str">
        <f t="shared" si="1"/>
        <v>Home</v>
      </c>
      <c r="F11" s="3">
        <f t="shared" si="2"/>
        <v>11</v>
      </c>
      <c r="G11" s="3">
        <f t="shared" si="3"/>
        <v>5</v>
      </c>
      <c r="H11" s="3">
        <f t="shared" si="0"/>
        <v>16</v>
      </c>
      <c r="I11" s="3" t="str">
        <f t="shared" si="4"/>
        <v>W</v>
      </c>
      <c r="K11" s="4" t="s">
        <v>148</v>
      </c>
      <c r="L11" s="5">
        <f>1 - ((L10-1)/(P7-1))</f>
        <v>1.0032708366919045</v>
      </c>
      <c r="O11" s="4"/>
      <c r="P11" s="1"/>
    </row>
    <row r="12" spans="1:16" x14ac:dyDescent="0.25">
      <c r="A12" t="s">
        <v>27</v>
      </c>
      <c r="B12" t="s">
        <v>225</v>
      </c>
      <c r="C12" t="s">
        <v>213</v>
      </c>
      <c r="E12" s="1" t="str">
        <f t="shared" si="1"/>
        <v>Home</v>
      </c>
      <c r="F12" s="3">
        <f t="shared" si="2"/>
        <v>12</v>
      </c>
      <c r="G12" s="3">
        <f t="shared" si="3"/>
        <v>0</v>
      </c>
      <c r="H12" s="3">
        <f t="shared" si="0"/>
        <v>12</v>
      </c>
      <c r="I12" s="3" t="str">
        <f t="shared" si="4"/>
        <v>W</v>
      </c>
      <c r="K12" s="4" t="s">
        <v>150</v>
      </c>
      <c r="L12" s="5">
        <f>(($L4/$L11)+($L3/$L10)) * (1 + (L13-1)/($P7-1)) / $P8</f>
        <v>1.129906395572736</v>
      </c>
      <c r="M12" s="5">
        <f t="shared" ref="M12:O12" si="5">(($L4/$L11)+($L3/$L10)) * (1 + (M13-1)/($P7-1)) / $P8</f>
        <v>1.0892969471188128</v>
      </c>
      <c r="N12" s="5">
        <f t="shared" si="5"/>
        <v>1.0889191565862464</v>
      </c>
      <c r="O12" s="8">
        <f t="shared" si="5"/>
        <v>1.0889156419931669</v>
      </c>
      <c r="P12" s="5"/>
    </row>
    <row r="13" spans="1:16" x14ac:dyDescent="0.25">
      <c r="A13" t="s">
        <v>29</v>
      </c>
      <c r="B13" t="s">
        <v>235</v>
      </c>
      <c r="C13" t="s">
        <v>303</v>
      </c>
      <c r="E13" s="1" t="str">
        <f t="shared" si="1"/>
        <v>Home</v>
      </c>
      <c r="F13" s="3">
        <f t="shared" si="2"/>
        <v>8</v>
      </c>
      <c r="G13" s="3">
        <f t="shared" si="3"/>
        <v>2</v>
      </c>
      <c r="H13" s="3">
        <f t="shared" si="0"/>
        <v>10</v>
      </c>
      <c r="I13" s="3" t="str">
        <f t="shared" si="4"/>
        <v>W</v>
      </c>
      <c r="K13" s="4" t="s">
        <v>182</v>
      </c>
      <c r="L13" s="5">
        <v>1</v>
      </c>
      <c r="M13" s="5">
        <f>(($M4/$L11)+($M3/$L10)) * (1 + (L12-1)/($P7-1)) / $P8</f>
        <v>0.67653512050434195</v>
      </c>
      <c r="N13" s="5">
        <f>(($M4/$L11)+($M3/$L10)) * (1 + (M12-1)/($P7-1)) / $P8</f>
        <v>0.67352592009055556</v>
      </c>
      <c r="O13" s="5">
        <f>(($M4/$L11)+($M3/$L10)) * (1 + (N12-1)/($P7-1)) / $P8</f>
        <v>0.67349792543733544</v>
      </c>
      <c r="P13" s="8">
        <f>(($M4/$L11)+($M3/$L10)) * (1 + (O12-1)/($P7-1)) / $P8</f>
        <v>0.67349766500250197</v>
      </c>
    </row>
    <row r="14" spans="1:16" x14ac:dyDescent="0.25">
      <c r="A14" t="s">
        <v>32</v>
      </c>
      <c r="B14" t="s">
        <v>235</v>
      </c>
      <c r="C14" t="s">
        <v>409</v>
      </c>
      <c r="E14" s="1" t="str">
        <f t="shared" si="1"/>
        <v>Home</v>
      </c>
      <c r="F14" s="3">
        <f t="shared" si="2"/>
        <v>9</v>
      </c>
      <c r="G14" s="3">
        <f t="shared" si="3"/>
        <v>0</v>
      </c>
      <c r="H14" s="3">
        <f t="shared" si="0"/>
        <v>9</v>
      </c>
      <c r="I14" s="3" t="str">
        <f t="shared" si="4"/>
        <v>W</v>
      </c>
      <c r="K14" s="4" t="s">
        <v>183</v>
      </c>
      <c r="L14" s="5">
        <f xml:space="preserve"> (L10+L11) / (2 * (1 + ((P13-1)/(P7-1))))</f>
        <v>1.0240678238643273</v>
      </c>
      <c r="N14" s="5"/>
    </row>
    <row r="15" spans="1:16" x14ac:dyDescent="0.25">
      <c r="A15" t="s">
        <v>34</v>
      </c>
      <c r="B15" t="s">
        <v>258</v>
      </c>
      <c r="C15" t="s">
        <v>234</v>
      </c>
      <c r="E15" s="1" t="str">
        <f t="shared" si="1"/>
        <v>Home</v>
      </c>
      <c r="F15" s="3">
        <f t="shared" si="2"/>
        <v>2</v>
      </c>
      <c r="G15" s="3">
        <f t="shared" si="3"/>
        <v>5</v>
      </c>
      <c r="H15" s="3">
        <f t="shared" si="0"/>
        <v>7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0.97726178005802133</v>
      </c>
    </row>
    <row r="16" spans="1:16" ht="15.75" thickBot="1" x14ac:dyDescent="0.3">
      <c r="A16" t="s">
        <v>37</v>
      </c>
      <c r="B16" t="s">
        <v>258</v>
      </c>
      <c r="C16" t="s">
        <v>104</v>
      </c>
      <c r="E16" s="1" t="str">
        <f t="shared" si="1"/>
        <v>Home</v>
      </c>
      <c r="F16" s="3">
        <f t="shared" si="2"/>
        <v>0</v>
      </c>
      <c r="G16" s="3">
        <f t="shared" si="3"/>
        <v>9</v>
      </c>
      <c r="H16" s="3">
        <f t="shared" si="0"/>
        <v>9</v>
      </c>
      <c r="I16" s="3" t="str">
        <f t="shared" si="4"/>
        <v>L</v>
      </c>
    </row>
    <row r="17" spans="1:14" x14ac:dyDescent="0.25">
      <c r="A17" t="s">
        <v>39</v>
      </c>
      <c r="B17" t="s">
        <v>210</v>
      </c>
      <c r="C17" t="s">
        <v>280</v>
      </c>
      <c r="E17" s="1" t="str">
        <f t="shared" si="1"/>
        <v>Away</v>
      </c>
      <c r="F17" s="3">
        <f t="shared" si="2"/>
        <v>8</v>
      </c>
      <c r="G17" s="3">
        <f t="shared" si="3"/>
        <v>3</v>
      </c>
      <c r="H17" s="3">
        <f t="shared" si="0"/>
        <v>11</v>
      </c>
      <c r="I17" s="3" t="str">
        <f t="shared" si="4"/>
        <v>W</v>
      </c>
      <c r="K17" s="9" t="s">
        <v>185</v>
      </c>
      <c r="L17" s="10">
        <f>L14*100</f>
        <v>102.40678238643272</v>
      </c>
    </row>
    <row r="18" spans="1:14" ht="15.75" thickBot="1" x14ac:dyDescent="0.3">
      <c r="A18" t="s">
        <v>41</v>
      </c>
      <c r="B18" t="s">
        <v>210</v>
      </c>
      <c r="C18" t="s">
        <v>217</v>
      </c>
      <c r="E18" s="1" t="str">
        <f t="shared" si="1"/>
        <v>Away</v>
      </c>
      <c r="F18" s="3">
        <f t="shared" si="2"/>
        <v>3</v>
      </c>
      <c r="G18" s="3">
        <f t="shared" si="3"/>
        <v>0</v>
      </c>
      <c r="H18" s="3">
        <f t="shared" si="0"/>
        <v>3</v>
      </c>
      <c r="I18" s="3" t="str">
        <f t="shared" si="4"/>
        <v>W</v>
      </c>
      <c r="K18" s="11" t="s">
        <v>186</v>
      </c>
      <c r="L18" s="12">
        <f>L15*100</f>
        <v>97.72617800580214</v>
      </c>
    </row>
    <row r="19" spans="1:14" x14ac:dyDescent="0.25">
      <c r="A19" t="s">
        <v>43</v>
      </c>
      <c r="B19" t="s">
        <v>241</v>
      </c>
      <c r="C19" t="s">
        <v>318</v>
      </c>
      <c r="E19" s="1" t="str">
        <f t="shared" si="1"/>
        <v>Home</v>
      </c>
      <c r="F19" s="3">
        <f t="shared" si="2"/>
        <v>11</v>
      </c>
      <c r="G19" s="3">
        <f t="shared" si="3"/>
        <v>4</v>
      </c>
      <c r="H19" s="3">
        <f t="shared" si="0"/>
        <v>15</v>
      </c>
      <c r="I19" s="3" t="str">
        <f t="shared" si="4"/>
        <v>W</v>
      </c>
    </row>
    <row r="20" spans="1:14" x14ac:dyDescent="0.25">
      <c r="A20" t="s">
        <v>45</v>
      </c>
      <c r="B20" t="s">
        <v>241</v>
      </c>
      <c r="C20" t="s">
        <v>35</v>
      </c>
      <c r="E20" s="1" t="str">
        <f t="shared" si="1"/>
        <v>Home</v>
      </c>
      <c r="F20" s="3">
        <f t="shared" si="2"/>
        <v>4</v>
      </c>
      <c r="G20" s="3">
        <f t="shared" si="3"/>
        <v>1</v>
      </c>
      <c r="H20" s="3">
        <f t="shared" si="0"/>
        <v>5</v>
      </c>
      <c r="I20" s="3" t="str">
        <f t="shared" si="4"/>
        <v>W</v>
      </c>
    </row>
    <row r="21" spans="1:14" x14ac:dyDescent="0.25">
      <c r="A21" t="s">
        <v>47</v>
      </c>
      <c r="B21" t="s">
        <v>231</v>
      </c>
      <c r="C21" t="s">
        <v>35</v>
      </c>
      <c r="E21" s="1" t="str">
        <f t="shared" si="1"/>
        <v>Home</v>
      </c>
      <c r="F21" s="3">
        <f t="shared" si="2"/>
        <v>4</v>
      </c>
      <c r="G21" s="3">
        <f t="shared" si="3"/>
        <v>1</v>
      </c>
      <c r="H21" s="3">
        <f t="shared" si="0"/>
        <v>5</v>
      </c>
      <c r="I21" s="3" t="str">
        <f t="shared" si="4"/>
        <v>W</v>
      </c>
    </row>
    <row r="22" spans="1:14" x14ac:dyDescent="0.25">
      <c r="A22" t="s">
        <v>49</v>
      </c>
      <c r="B22" t="s">
        <v>231</v>
      </c>
      <c r="C22" t="s">
        <v>254</v>
      </c>
      <c r="E22" s="1" t="str">
        <f t="shared" si="1"/>
        <v>Home</v>
      </c>
      <c r="F22" s="3">
        <f t="shared" si="2"/>
        <v>5</v>
      </c>
      <c r="G22" s="3">
        <f t="shared" si="3"/>
        <v>4</v>
      </c>
      <c r="H22" s="3">
        <f t="shared" si="0"/>
        <v>9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51</v>
      </c>
      <c r="B23" t="s">
        <v>222</v>
      </c>
      <c r="C23" t="s">
        <v>85</v>
      </c>
      <c r="E23" s="1" t="str">
        <f t="shared" si="1"/>
        <v>Home</v>
      </c>
      <c r="F23" s="3">
        <f t="shared" si="2"/>
        <v>5</v>
      </c>
      <c r="G23" s="3">
        <f t="shared" si="3"/>
        <v>3</v>
      </c>
      <c r="H23" s="3">
        <f t="shared" si="0"/>
        <v>8</v>
      </c>
      <c r="I23" s="3" t="str">
        <f t="shared" si="4"/>
        <v>W</v>
      </c>
      <c r="K23" s="1">
        <f>COUNTIFS(Table27[At], "Home",Table27[Result], "W")</f>
        <v>28</v>
      </c>
      <c r="L23" s="1">
        <f>COUNTIFS(Table27[At], "Home",Table27[Result], "L")</f>
        <v>8</v>
      </c>
      <c r="M23" s="1">
        <f>COUNTIFS(Table27[At], "Away",Table27[Result], "W")</f>
        <v>22</v>
      </c>
      <c r="N23" s="1">
        <f>COUNTIFS(Table27[At], "Away",Table27[Result], "L")</f>
        <v>10</v>
      </c>
    </row>
    <row r="24" spans="1:14" x14ac:dyDescent="0.25">
      <c r="A24" t="s">
        <v>51</v>
      </c>
      <c r="B24" t="s">
        <v>222</v>
      </c>
      <c r="C24" t="s">
        <v>116</v>
      </c>
      <c r="E24" s="1" t="str">
        <f t="shared" si="1"/>
        <v>Home</v>
      </c>
      <c r="F24" s="3">
        <f t="shared" si="2"/>
        <v>9</v>
      </c>
      <c r="G24" s="3">
        <f t="shared" si="3"/>
        <v>3</v>
      </c>
      <c r="H24" s="3">
        <f t="shared" si="0"/>
        <v>12</v>
      </c>
      <c r="I24" s="3" t="str">
        <f t="shared" si="4"/>
        <v>W</v>
      </c>
      <c r="K24" s="1"/>
      <c r="M24" s="1"/>
      <c r="N24" s="1"/>
    </row>
    <row r="25" spans="1:14" x14ac:dyDescent="0.25">
      <c r="A25" t="s">
        <v>53</v>
      </c>
      <c r="B25" t="s">
        <v>203</v>
      </c>
      <c r="C25" t="s">
        <v>254</v>
      </c>
      <c r="E25" s="1" t="str">
        <f t="shared" si="1"/>
        <v>Away</v>
      </c>
      <c r="F25" s="3">
        <f t="shared" si="2"/>
        <v>5</v>
      </c>
      <c r="G25" s="3">
        <f t="shared" si="3"/>
        <v>4</v>
      </c>
      <c r="H25" s="3">
        <f t="shared" si="0"/>
        <v>9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208</v>
      </c>
      <c r="B26" t="s">
        <v>203</v>
      </c>
      <c r="C26" t="s">
        <v>335</v>
      </c>
      <c r="E26" s="1" t="str">
        <f t="shared" si="1"/>
        <v>Away</v>
      </c>
      <c r="F26" s="3">
        <f t="shared" si="2"/>
        <v>6</v>
      </c>
      <c r="G26" s="3">
        <f t="shared" si="3"/>
        <v>4</v>
      </c>
      <c r="H26" s="3">
        <f t="shared" si="0"/>
        <v>10</v>
      </c>
      <c r="I26" s="3" t="str">
        <f t="shared" si="4"/>
        <v>W</v>
      </c>
      <c r="K26" s="1">
        <f>COUNTIFS(Table27[oR/G], "&gt;0",Table27[Result], "W")</f>
        <v>15</v>
      </c>
      <c r="L26" s="1">
        <f>COUNTIFS(Table27[oR/G], "&gt;0",Table27[Result], "l")</f>
        <v>9</v>
      </c>
      <c r="M26" s="1">
        <f>COUNTIFS(Table27[oR/G], "&lt;0",Table27[Result], "W")</f>
        <v>35</v>
      </c>
      <c r="N26" s="1">
        <f>COUNTIFS(Table27[oR/G], "&lt;0",Table27[Result], "l")</f>
        <v>9</v>
      </c>
    </row>
    <row r="27" spans="1:14" x14ac:dyDescent="0.25">
      <c r="A27" t="s">
        <v>247</v>
      </c>
      <c r="B27" t="s">
        <v>211</v>
      </c>
      <c r="C27" t="s">
        <v>409</v>
      </c>
      <c r="E27" s="1" t="str">
        <f t="shared" si="1"/>
        <v>Away</v>
      </c>
      <c r="F27" s="3">
        <f t="shared" si="2"/>
        <v>9</v>
      </c>
      <c r="G27" s="3">
        <f t="shared" si="3"/>
        <v>0</v>
      </c>
      <c r="H27" s="3">
        <f t="shared" si="0"/>
        <v>9</v>
      </c>
      <c r="I27" s="3" t="str">
        <f t="shared" si="4"/>
        <v>W</v>
      </c>
    </row>
    <row r="28" spans="1:14" x14ac:dyDescent="0.25">
      <c r="A28" t="s">
        <v>54</v>
      </c>
      <c r="B28" t="s">
        <v>222</v>
      </c>
      <c r="C28" t="s">
        <v>226</v>
      </c>
      <c r="E28" s="1" t="str">
        <f t="shared" si="1"/>
        <v>Home</v>
      </c>
      <c r="F28" s="3">
        <f t="shared" si="2"/>
        <v>3</v>
      </c>
      <c r="G28" s="3">
        <f t="shared" si="3"/>
        <v>2</v>
      </c>
      <c r="H28" s="3">
        <f t="shared" si="0"/>
        <v>5</v>
      </c>
      <c r="I28" s="3" t="str">
        <f t="shared" si="4"/>
        <v>W</v>
      </c>
    </row>
    <row r="29" spans="1:14" x14ac:dyDescent="0.25">
      <c r="A29" t="s">
        <v>57</v>
      </c>
      <c r="B29" t="s">
        <v>194</v>
      </c>
      <c r="C29" t="s">
        <v>276</v>
      </c>
      <c r="E29" s="1" t="str">
        <f t="shared" si="1"/>
        <v>Away</v>
      </c>
      <c r="F29" s="3">
        <f t="shared" si="2"/>
        <v>2</v>
      </c>
      <c r="G29" s="3">
        <f t="shared" si="3"/>
        <v>4</v>
      </c>
      <c r="H29" s="3">
        <f t="shared" si="0"/>
        <v>6</v>
      </c>
      <c r="I29" s="3" t="str">
        <f t="shared" si="4"/>
        <v>L</v>
      </c>
    </row>
    <row r="30" spans="1:14" x14ac:dyDescent="0.25">
      <c r="A30" t="s">
        <v>60</v>
      </c>
      <c r="B30" t="s">
        <v>194</v>
      </c>
      <c r="C30" t="s">
        <v>118</v>
      </c>
      <c r="E30" s="1" t="str">
        <f t="shared" si="1"/>
        <v>Away</v>
      </c>
      <c r="F30" s="3">
        <f t="shared" si="2"/>
        <v>9</v>
      </c>
      <c r="G30" s="3">
        <f t="shared" si="3"/>
        <v>8</v>
      </c>
      <c r="H30" s="3">
        <f t="shared" si="0"/>
        <v>17</v>
      </c>
      <c r="I30" s="3" t="str">
        <f t="shared" si="4"/>
        <v>W</v>
      </c>
    </row>
    <row r="31" spans="1:14" x14ac:dyDescent="0.25">
      <c r="A31" t="s">
        <v>62</v>
      </c>
      <c r="B31" t="s">
        <v>250</v>
      </c>
      <c r="C31" t="s">
        <v>48</v>
      </c>
      <c r="E31" s="1" t="str">
        <f t="shared" si="1"/>
        <v>Home</v>
      </c>
      <c r="F31" s="3">
        <f t="shared" si="2"/>
        <v>4</v>
      </c>
      <c r="G31" s="3">
        <f t="shared" si="3"/>
        <v>5</v>
      </c>
      <c r="H31" s="3">
        <f t="shared" si="0"/>
        <v>9</v>
      </c>
      <c r="I31" s="3" t="str">
        <f t="shared" si="4"/>
        <v>L</v>
      </c>
    </row>
    <row r="32" spans="1:14" x14ac:dyDescent="0.25">
      <c r="A32" t="s">
        <v>64</v>
      </c>
      <c r="B32" t="s">
        <v>250</v>
      </c>
      <c r="C32" t="s">
        <v>320</v>
      </c>
      <c r="E32" s="1" t="str">
        <f t="shared" si="1"/>
        <v>Home</v>
      </c>
      <c r="F32" s="3">
        <f t="shared" si="2"/>
        <v>5</v>
      </c>
      <c r="G32" s="3">
        <f t="shared" si="3"/>
        <v>1</v>
      </c>
      <c r="H32" s="3">
        <f t="shared" si="0"/>
        <v>6</v>
      </c>
      <c r="I32" s="3" t="str">
        <f t="shared" si="4"/>
        <v>W</v>
      </c>
    </row>
    <row r="33" spans="1:9" x14ac:dyDescent="0.25">
      <c r="A33" t="s">
        <v>66</v>
      </c>
      <c r="B33" t="s">
        <v>225</v>
      </c>
      <c r="C33" t="s">
        <v>280</v>
      </c>
      <c r="E33" s="1" t="str">
        <f t="shared" si="1"/>
        <v>Home</v>
      </c>
      <c r="F33" s="3">
        <f t="shared" si="2"/>
        <v>8</v>
      </c>
      <c r="G33" s="3">
        <f t="shared" si="3"/>
        <v>3</v>
      </c>
      <c r="H33" s="3">
        <f t="shared" si="0"/>
        <v>11</v>
      </c>
      <c r="I33" s="3" t="str">
        <f t="shared" si="4"/>
        <v>W</v>
      </c>
    </row>
    <row r="34" spans="1:9" x14ac:dyDescent="0.25">
      <c r="A34" t="s">
        <v>67</v>
      </c>
      <c r="B34" t="s">
        <v>198</v>
      </c>
      <c r="C34" t="s">
        <v>349</v>
      </c>
      <c r="E34" s="1" t="str">
        <f t="shared" si="1"/>
        <v>Away</v>
      </c>
      <c r="F34" s="3">
        <f t="shared" si="2"/>
        <v>12</v>
      </c>
      <c r="G34" s="3">
        <f t="shared" si="3"/>
        <v>2</v>
      </c>
      <c r="H34" s="3">
        <f t="shared" si="0"/>
        <v>14</v>
      </c>
      <c r="I34" s="3" t="str">
        <f t="shared" si="4"/>
        <v>W</v>
      </c>
    </row>
    <row r="35" spans="1:9" x14ac:dyDescent="0.25">
      <c r="A35" t="s">
        <v>73</v>
      </c>
      <c r="B35" t="s">
        <v>278</v>
      </c>
      <c r="C35" t="s">
        <v>282</v>
      </c>
      <c r="E35" s="1" t="str">
        <f t="shared" si="1"/>
        <v>Home</v>
      </c>
      <c r="F35" s="3">
        <f t="shared" si="2"/>
        <v>6</v>
      </c>
      <c r="G35" s="3">
        <f t="shared" si="3"/>
        <v>0</v>
      </c>
      <c r="H35" s="3">
        <f t="shared" si="0"/>
        <v>6</v>
      </c>
      <c r="I35" s="3" t="str">
        <f t="shared" si="4"/>
        <v>W</v>
      </c>
    </row>
    <row r="36" spans="1:9" x14ac:dyDescent="0.25">
      <c r="A36" t="s">
        <v>209</v>
      </c>
      <c r="B36" t="s">
        <v>278</v>
      </c>
      <c r="C36" t="s">
        <v>279</v>
      </c>
      <c r="E36" s="1" t="str">
        <f t="shared" si="1"/>
        <v>Home</v>
      </c>
      <c r="F36" s="3">
        <f t="shared" si="2"/>
        <v>7</v>
      </c>
      <c r="G36" s="3">
        <f t="shared" si="3"/>
        <v>2</v>
      </c>
      <c r="H36" s="3">
        <f t="shared" si="0"/>
        <v>9</v>
      </c>
      <c r="I36" s="3" t="str">
        <f t="shared" si="4"/>
        <v>W</v>
      </c>
    </row>
    <row r="37" spans="1:9" x14ac:dyDescent="0.25">
      <c r="A37" t="s">
        <v>76</v>
      </c>
      <c r="B37" t="s">
        <v>190</v>
      </c>
      <c r="C37" t="s">
        <v>83</v>
      </c>
      <c r="E37" s="1" t="str">
        <f t="shared" si="1"/>
        <v>Away</v>
      </c>
      <c r="F37" s="3">
        <f t="shared" si="2"/>
        <v>4</v>
      </c>
      <c r="G37" s="3">
        <f t="shared" si="3"/>
        <v>7</v>
      </c>
      <c r="H37" s="3">
        <f t="shared" si="0"/>
        <v>11</v>
      </c>
      <c r="I37" s="3" t="str">
        <f t="shared" si="4"/>
        <v>L</v>
      </c>
    </row>
    <row r="38" spans="1:9" x14ac:dyDescent="0.25">
      <c r="A38" t="s">
        <v>78</v>
      </c>
      <c r="B38" t="s">
        <v>190</v>
      </c>
      <c r="C38" t="s">
        <v>421</v>
      </c>
      <c r="E38" s="1" t="str">
        <f t="shared" si="1"/>
        <v>Away</v>
      </c>
      <c r="F38" s="3">
        <f t="shared" si="2"/>
        <v>13</v>
      </c>
      <c r="G38" s="3">
        <f t="shared" si="3"/>
        <v>8</v>
      </c>
      <c r="H38" s="3">
        <f t="shared" si="0"/>
        <v>21</v>
      </c>
      <c r="I38" s="3" t="str">
        <f t="shared" si="4"/>
        <v>W</v>
      </c>
    </row>
    <row r="39" spans="1:9" x14ac:dyDescent="0.25">
      <c r="A39" t="s">
        <v>80</v>
      </c>
      <c r="B39" t="s">
        <v>192</v>
      </c>
      <c r="C39" t="s">
        <v>217</v>
      </c>
      <c r="E39" s="1" t="str">
        <f t="shared" si="1"/>
        <v>Away</v>
      </c>
      <c r="F39" s="3">
        <f t="shared" si="2"/>
        <v>3</v>
      </c>
      <c r="G39" s="3">
        <f t="shared" si="3"/>
        <v>0</v>
      </c>
      <c r="H39" s="3">
        <f t="shared" si="0"/>
        <v>3</v>
      </c>
      <c r="I39" s="3" t="str">
        <f t="shared" si="4"/>
        <v>W</v>
      </c>
    </row>
    <row r="40" spans="1:9" x14ac:dyDescent="0.25">
      <c r="A40" t="s">
        <v>81</v>
      </c>
      <c r="B40" t="s">
        <v>192</v>
      </c>
      <c r="C40" t="s">
        <v>303</v>
      </c>
      <c r="E40" s="1" t="str">
        <f t="shared" si="1"/>
        <v>Away</v>
      </c>
      <c r="F40" s="3">
        <f t="shared" si="2"/>
        <v>8</v>
      </c>
      <c r="G40" s="3">
        <f t="shared" si="3"/>
        <v>2</v>
      </c>
      <c r="H40" s="3">
        <f t="shared" si="0"/>
        <v>10</v>
      </c>
      <c r="I40" s="3" t="str">
        <f t="shared" si="4"/>
        <v>W</v>
      </c>
    </row>
    <row r="41" spans="1:9" x14ac:dyDescent="0.25">
      <c r="A41" t="s">
        <v>82</v>
      </c>
      <c r="B41" t="s">
        <v>231</v>
      </c>
      <c r="C41" t="s">
        <v>422</v>
      </c>
      <c r="E41" s="1" t="str">
        <f t="shared" si="1"/>
        <v>Home</v>
      </c>
      <c r="F41" s="3">
        <f t="shared" si="2"/>
        <v>15</v>
      </c>
      <c r="G41" s="3">
        <f t="shared" si="3"/>
        <v>0</v>
      </c>
      <c r="H41" s="3">
        <f t="shared" si="0"/>
        <v>15</v>
      </c>
      <c r="I41" s="3" t="str">
        <f t="shared" si="4"/>
        <v>W</v>
      </c>
    </row>
    <row r="42" spans="1:9" x14ac:dyDescent="0.25">
      <c r="A42" t="s">
        <v>84</v>
      </c>
      <c r="B42" t="s">
        <v>231</v>
      </c>
      <c r="C42" t="s">
        <v>223</v>
      </c>
      <c r="E42" s="1" t="str">
        <f t="shared" si="1"/>
        <v>Home</v>
      </c>
      <c r="F42" s="3">
        <f t="shared" si="2"/>
        <v>10</v>
      </c>
      <c r="G42" s="3">
        <f t="shared" si="3"/>
        <v>4</v>
      </c>
      <c r="H42" s="3">
        <f t="shared" si="0"/>
        <v>14</v>
      </c>
      <c r="I42" s="3" t="str">
        <f t="shared" si="4"/>
        <v>W</v>
      </c>
    </row>
    <row r="43" spans="1:9" x14ac:dyDescent="0.25">
      <c r="A43" t="s">
        <v>86</v>
      </c>
      <c r="B43" t="s">
        <v>206</v>
      </c>
      <c r="C43" t="s">
        <v>267</v>
      </c>
      <c r="E43" s="1" t="str">
        <f t="shared" si="1"/>
        <v>Away</v>
      </c>
      <c r="F43" s="3">
        <f t="shared" si="2"/>
        <v>8</v>
      </c>
      <c r="G43" s="3">
        <f t="shared" si="3"/>
        <v>7</v>
      </c>
      <c r="H43" s="3">
        <f t="shared" si="0"/>
        <v>15</v>
      </c>
      <c r="I43" s="3" t="str">
        <f t="shared" si="4"/>
        <v>W</v>
      </c>
    </row>
    <row r="44" spans="1:9" x14ac:dyDescent="0.25">
      <c r="A44" t="s">
        <v>86</v>
      </c>
      <c r="B44" t="s">
        <v>206</v>
      </c>
      <c r="C44" t="s">
        <v>125</v>
      </c>
      <c r="E44" s="1" t="str">
        <f t="shared" si="1"/>
        <v>Away</v>
      </c>
      <c r="F44" s="3">
        <f t="shared" si="2"/>
        <v>0</v>
      </c>
      <c r="G44" s="3">
        <f t="shared" si="3"/>
        <v>4</v>
      </c>
      <c r="H44" s="3">
        <f t="shared" si="0"/>
        <v>4</v>
      </c>
      <c r="I44" s="3" t="str">
        <f t="shared" si="4"/>
        <v>L</v>
      </c>
    </row>
    <row r="45" spans="1:9" x14ac:dyDescent="0.25">
      <c r="A45" t="s">
        <v>88</v>
      </c>
      <c r="B45" t="s">
        <v>278</v>
      </c>
      <c r="C45" t="s">
        <v>48</v>
      </c>
      <c r="E45" s="1" t="str">
        <f t="shared" si="1"/>
        <v>Home</v>
      </c>
      <c r="F45" s="3">
        <f t="shared" si="2"/>
        <v>4</v>
      </c>
      <c r="G45" s="3">
        <f t="shared" si="3"/>
        <v>5</v>
      </c>
      <c r="H45" s="3">
        <f t="shared" si="0"/>
        <v>9</v>
      </c>
      <c r="I45" s="3" t="str">
        <f t="shared" si="4"/>
        <v>L</v>
      </c>
    </row>
    <row r="46" spans="1:9" x14ac:dyDescent="0.25">
      <c r="A46" t="s">
        <v>91</v>
      </c>
      <c r="B46" t="s">
        <v>278</v>
      </c>
      <c r="C46" t="s">
        <v>24</v>
      </c>
      <c r="E46" s="1" t="str">
        <f t="shared" si="1"/>
        <v>Home</v>
      </c>
      <c r="F46" s="3">
        <f t="shared" si="2"/>
        <v>10</v>
      </c>
      <c r="G46" s="3">
        <f t="shared" si="3"/>
        <v>5</v>
      </c>
      <c r="H46" s="3">
        <f t="shared" si="0"/>
        <v>15</v>
      </c>
      <c r="I46" s="3" t="str">
        <f t="shared" si="4"/>
        <v>W</v>
      </c>
    </row>
    <row r="47" spans="1:9" x14ac:dyDescent="0.25">
      <c r="A47" t="s">
        <v>93</v>
      </c>
      <c r="B47" t="s">
        <v>192</v>
      </c>
      <c r="C47" t="s">
        <v>276</v>
      </c>
      <c r="E47" s="1" t="str">
        <f t="shared" si="1"/>
        <v>Away</v>
      </c>
      <c r="F47" s="3">
        <f t="shared" si="2"/>
        <v>2</v>
      </c>
      <c r="G47" s="3">
        <f t="shared" si="3"/>
        <v>4</v>
      </c>
      <c r="H47" s="3">
        <f t="shared" si="0"/>
        <v>6</v>
      </c>
      <c r="I47" s="3" t="str">
        <f t="shared" si="4"/>
        <v>L</v>
      </c>
    </row>
    <row r="48" spans="1:9" x14ac:dyDescent="0.25">
      <c r="A48" t="s">
        <v>96</v>
      </c>
      <c r="B48" t="s">
        <v>192</v>
      </c>
      <c r="C48" t="s">
        <v>304</v>
      </c>
      <c r="E48" s="1" t="str">
        <f t="shared" si="1"/>
        <v>Away</v>
      </c>
      <c r="F48" s="3">
        <f t="shared" si="2"/>
        <v>2</v>
      </c>
      <c r="G48" s="3">
        <f t="shared" si="3"/>
        <v>0</v>
      </c>
      <c r="H48" s="3">
        <f t="shared" si="0"/>
        <v>2</v>
      </c>
      <c r="I48" s="3" t="str">
        <f t="shared" si="4"/>
        <v>W</v>
      </c>
    </row>
    <row r="49" spans="1:9" x14ac:dyDescent="0.25">
      <c r="A49" t="s">
        <v>97</v>
      </c>
      <c r="B49" t="s">
        <v>258</v>
      </c>
      <c r="C49" t="s">
        <v>28</v>
      </c>
      <c r="E49" s="1" t="str">
        <f t="shared" si="1"/>
        <v>Home</v>
      </c>
      <c r="F49" s="3">
        <f t="shared" si="2"/>
        <v>4</v>
      </c>
      <c r="G49" s="3">
        <f t="shared" si="3"/>
        <v>2</v>
      </c>
      <c r="H49" s="3">
        <f t="shared" si="0"/>
        <v>6</v>
      </c>
      <c r="I49" s="3" t="str">
        <f t="shared" si="4"/>
        <v>W</v>
      </c>
    </row>
    <row r="50" spans="1:9" x14ac:dyDescent="0.25">
      <c r="A50" t="s">
        <v>100</v>
      </c>
      <c r="B50" t="s">
        <v>258</v>
      </c>
      <c r="C50" t="s">
        <v>118</v>
      </c>
      <c r="E50" s="1" t="str">
        <f t="shared" si="1"/>
        <v>Home</v>
      </c>
      <c r="F50" s="3">
        <f t="shared" si="2"/>
        <v>9</v>
      </c>
      <c r="G50" s="3">
        <f t="shared" si="3"/>
        <v>8</v>
      </c>
      <c r="H50" s="3">
        <f t="shared" si="0"/>
        <v>17</v>
      </c>
      <c r="I50" s="3" t="str">
        <f t="shared" si="4"/>
        <v>W</v>
      </c>
    </row>
    <row r="51" spans="1:9" x14ac:dyDescent="0.25">
      <c r="A51" t="s">
        <v>215</v>
      </c>
      <c r="B51" t="s">
        <v>250</v>
      </c>
      <c r="C51" t="s">
        <v>264</v>
      </c>
      <c r="E51" s="1" t="str">
        <f t="shared" si="1"/>
        <v>Home</v>
      </c>
      <c r="F51" s="3">
        <f t="shared" si="2"/>
        <v>6</v>
      </c>
      <c r="G51" s="3">
        <f t="shared" si="3"/>
        <v>2</v>
      </c>
      <c r="H51" s="3">
        <f t="shared" si="0"/>
        <v>8</v>
      </c>
      <c r="I51" s="3" t="str">
        <f t="shared" si="4"/>
        <v>W</v>
      </c>
    </row>
    <row r="52" spans="1:9" x14ac:dyDescent="0.25">
      <c r="A52" t="s">
        <v>102</v>
      </c>
      <c r="B52" t="s">
        <v>250</v>
      </c>
      <c r="C52" t="s">
        <v>379</v>
      </c>
      <c r="E52" s="1" t="str">
        <f t="shared" si="1"/>
        <v>Home</v>
      </c>
      <c r="F52" s="3">
        <f t="shared" si="2"/>
        <v>7</v>
      </c>
      <c r="G52" s="3">
        <f t="shared" si="3"/>
        <v>12</v>
      </c>
      <c r="H52" s="3">
        <f t="shared" si="0"/>
        <v>19</v>
      </c>
      <c r="I52" s="3" t="str">
        <f t="shared" si="4"/>
        <v>L</v>
      </c>
    </row>
    <row r="53" spans="1:9" x14ac:dyDescent="0.25">
      <c r="A53" t="s">
        <v>105</v>
      </c>
      <c r="B53" t="s">
        <v>190</v>
      </c>
      <c r="C53" t="s">
        <v>26</v>
      </c>
      <c r="E53" s="1" t="str">
        <f t="shared" si="1"/>
        <v>Away</v>
      </c>
      <c r="F53" s="3">
        <f t="shared" si="2"/>
        <v>10</v>
      </c>
      <c r="G53" s="3">
        <f t="shared" si="3"/>
        <v>6</v>
      </c>
      <c r="H53" s="3">
        <f t="shared" si="0"/>
        <v>16</v>
      </c>
      <c r="I53" s="3" t="str">
        <f t="shared" si="4"/>
        <v>W</v>
      </c>
    </row>
    <row r="54" spans="1:9" x14ac:dyDescent="0.25">
      <c r="A54" t="s">
        <v>107</v>
      </c>
      <c r="B54" t="s">
        <v>190</v>
      </c>
      <c r="C54" t="s">
        <v>116</v>
      </c>
      <c r="E54" s="1" t="str">
        <f t="shared" si="1"/>
        <v>Away</v>
      </c>
      <c r="F54" s="3">
        <f t="shared" si="2"/>
        <v>9</v>
      </c>
      <c r="G54" s="3">
        <f t="shared" si="3"/>
        <v>3</v>
      </c>
      <c r="H54" s="3">
        <f t="shared" si="0"/>
        <v>12</v>
      </c>
      <c r="I54" s="3" t="str">
        <f t="shared" si="4"/>
        <v>W</v>
      </c>
    </row>
    <row r="55" spans="1:9" x14ac:dyDescent="0.25">
      <c r="A55" t="s">
        <v>108</v>
      </c>
      <c r="B55" t="s">
        <v>235</v>
      </c>
      <c r="C55" t="s">
        <v>304</v>
      </c>
      <c r="E55" s="1" t="str">
        <f t="shared" si="1"/>
        <v>Home</v>
      </c>
      <c r="F55" s="3">
        <f t="shared" si="2"/>
        <v>2</v>
      </c>
      <c r="G55" s="3">
        <f t="shared" si="3"/>
        <v>0</v>
      </c>
      <c r="H55" s="3">
        <f t="shared" si="0"/>
        <v>2</v>
      </c>
      <c r="I55" s="3" t="str">
        <f t="shared" si="4"/>
        <v>W</v>
      </c>
    </row>
    <row r="56" spans="1:9" x14ac:dyDescent="0.25">
      <c r="A56" t="s">
        <v>110</v>
      </c>
      <c r="B56" t="s">
        <v>235</v>
      </c>
      <c r="C56" t="s">
        <v>233</v>
      </c>
      <c r="E56" s="1" t="str">
        <f t="shared" si="1"/>
        <v>Home</v>
      </c>
      <c r="F56" s="3">
        <f t="shared" si="2"/>
        <v>10</v>
      </c>
      <c r="G56" s="3">
        <f t="shared" si="3"/>
        <v>1</v>
      </c>
      <c r="H56" s="3">
        <f t="shared" si="0"/>
        <v>11</v>
      </c>
      <c r="I56" s="3" t="str">
        <f t="shared" si="4"/>
        <v>W</v>
      </c>
    </row>
    <row r="57" spans="1:9" x14ac:dyDescent="0.25">
      <c r="A57" t="s">
        <v>111</v>
      </c>
      <c r="B57" t="s">
        <v>263</v>
      </c>
      <c r="C57" t="s">
        <v>15</v>
      </c>
      <c r="E57" s="1" t="str">
        <f t="shared" si="1"/>
        <v>Home</v>
      </c>
      <c r="F57" s="3">
        <f t="shared" si="2"/>
        <v>3</v>
      </c>
      <c r="G57" s="3">
        <f t="shared" si="3"/>
        <v>1</v>
      </c>
      <c r="H57" s="3">
        <f t="shared" si="0"/>
        <v>4</v>
      </c>
      <c r="I57" s="3" t="str">
        <f t="shared" si="4"/>
        <v>W</v>
      </c>
    </row>
    <row r="58" spans="1:9" x14ac:dyDescent="0.25">
      <c r="A58" t="s">
        <v>112</v>
      </c>
      <c r="B58" t="s">
        <v>210</v>
      </c>
      <c r="C58" t="s">
        <v>264</v>
      </c>
      <c r="E58" s="1" t="str">
        <f t="shared" si="1"/>
        <v>Away</v>
      </c>
      <c r="F58" s="3">
        <f t="shared" si="2"/>
        <v>6</v>
      </c>
      <c r="G58" s="3">
        <f t="shared" si="3"/>
        <v>2</v>
      </c>
      <c r="H58" s="3">
        <f t="shared" si="0"/>
        <v>8</v>
      </c>
      <c r="I58" s="3" t="str">
        <f t="shared" si="4"/>
        <v>W</v>
      </c>
    </row>
    <row r="59" spans="1:9" x14ac:dyDescent="0.25">
      <c r="A59" t="s">
        <v>114</v>
      </c>
      <c r="B59" t="s">
        <v>194</v>
      </c>
      <c r="C59" t="s">
        <v>407</v>
      </c>
      <c r="E59" s="1" t="str">
        <f t="shared" si="1"/>
        <v>Away</v>
      </c>
      <c r="F59" s="3">
        <f t="shared" si="2"/>
        <v>10</v>
      </c>
      <c r="G59" s="3">
        <f t="shared" si="3"/>
        <v>11</v>
      </c>
      <c r="H59" s="3">
        <f t="shared" si="0"/>
        <v>21</v>
      </c>
      <c r="I59" s="3" t="str">
        <f t="shared" si="4"/>
        <v>L</v>
      </c>
    </row>
    <row r="60" spans="1:9" x14ac:dyDescent="0.25">
      <c r="A60" t="s">
        <v>117</v>
      </c>
      <c r="B60" t="s">
        <v>194</v>
      </c>
      <c r="C60" t="s">
        <v>279</v>
      </c>
      <c r="E60" s="1" t="str">
        <f t="shared" si="1"/>
        <v>Away</v>
      </c>
      <c r="F60" s="3">
        <f t="shared" si="2"/>
        <v>7</v>
      </c>
      <c r="G60" s="3">
        <f t="shared" si="3"/>
        <v>2</v>
      </c>
      <c r="H60" s="3">
        <f t="shared" si="0"/>
        <v>9</v>
      </c>
      <c r="I60" s="3" t="str">
        <f t="shared" si="4"/>
        <v>W</v>
      </c>
    </row>
    <row r="61" spans="1:9" x14ac:dyDescent="0.25">
      <c r="A61" t="s">
        <v>119</v>
      </c>
      <c r="B61" t="s">
        <v>211</v>
      </c>
      <c r="C61" t="s">
        <v>36</v>
      </c>
      <c r="E61" s="1" t="str">
        <f t="shared" si="1"/>
        <v>Away</v>
      </c>
      <c r="F61" s="3">
        <f t="shared" si="2"/>
        <v>1</v>
      </c>
      <c r="G61" s="3">
        <f t="shared" si="3"/>
        <v>5</v>
      </c>
      <c r="H61" s="3">
        <f t="shared" si="0"/>
        <v>6</v>
      </c>
      <c r="I61" s="3" t="str">
        <f t="shared" si="4"/>
        <v>L</v>
      </c>
    </row>
    <row r="62" spans="1:9" x14ac:dyDescent="0.25">
      <c r="A62" t="s">
        <v>122</v>
      </c>
      <c r="B62" t="s">
        <v>211</v>
      </c>
      <c r="C62" t="s">
        <v>195</v>
      </c>
      <c r="E62" s="1" t="str">
        <f t="shared" si="1"/>
        <v>Away</v>
      </c>
      <c r="F62" s="3">
        <f t="shared" si="2"/>
        <v>8</v>
      </c>
      <c r="G62" s="3">
        <f t="shared" si="3"/>
        <v>1</v>
      </c>
      <c r="H62" s="3">
        <f t="shared" si="0"/>
        <v>9</v>
      </c>
      <c r="I62" s="3" t="str">
        <f t="shared" si="4"/>
        <v>W</v>
      </c>
    </row>
    <row r="63" spans="1:9" x14ac:dyDescent="0.25">
      <c r="A63" t="s">
        <v>218</v>
      </c>
      <c r="B63" t="s">
        <v>198</v>
      </c>
      <c r="C63" t="s">
        <v>223</v>
      </c>
      <c r="E63" s="1" t="str">
        <f t="shared" si="1"/>
        <v>Away</v>
      </c>
      <c r="F63" s="3">
        <f t="shared" si="2"/>
        <v>10</v>
      </c>
      <c r="G63" s="3">
        <f t="shared" si="3"/>
        <v>4</v>
      </c>
      <c r="H63" s="3">
        <f t="shared" si="0"/>
        <v>14</v>
      </c>
      <c r="I63" s="3" t="str">
        <f t="shared" si="4"/>
        <v>W</v>
      </c>
    </row>
    <row r="64" spans="1:9" x14ac:dyDescent="0.25">
      <c r="A64" t="s">
        <v>123</v>
      </c>
      <c r="B64" t="s">
        <v>198</v>
      </c>
      <c r="C64" t="s">
        <v>292</v>
      </c>
      <c r="E64" s="1" t="str">
        <f t="shared" si="1"/>
        <v>Away</v>
      </c>
      <c r="F64" s="3">
        <f t="shared" si="2"/>
        <v>7</v>
      </c>
      <c r="G64" s="3">
        <f t="shared" si="3"/>
        <v>8</v>
      </c>
      <c r="H64" s="3">
        <f t="shared" si="0"/>
        <v>15</v>
      </c>
      <c r="I64" s="3" t="str">
        <f t="shared" si="4"/>
        <v>L</v>
      </c>
    </row>
    <row r="65" spans="1:10" x14ac:dyDescent="0.25">
      <c r="A65" t="s">
        <v>126</v>
      </c>
      <c r="B65" t="s">
        <v>263</v>
      </c>
      <c r="C65" t="s">
        <v>422</v>
      </c>
      <c r="E65" s="1" t="str">
        <f t="shared" si="1"/>
        <v>Home</v>
      </c>
      <c r="F65" s="3">
        <f t="shared" si="2"/>
        <v>15</v>
      </c>
      <c r="G65" s="3">
        <f t="shared" si="3"/>
        <v>0</v>
      </c>
      <c r="H65" s="3">
        <f t="shared" si="0"/>
        <v>15</v>
      </c>
      <c r="I65" s="3" t="str">
        <f t="shared" si="4"/>
        <v>W</v>
      </c>
    </row>
    <row r="66" spans="1:10" x14ac:dyDescent="0.25">
      <c r="A66" t="s">
        <v>127</v>
      </c>
      <c r="B66" t="s">
        <v>263</v>
      </c>
      <c r="C66" t="s">
        <v>226</v>
      </c>
      <c r="E66" s="1" t="str">
        <f t="shared" si="1"/>
        <v>Home</v>
      </c>
      <c r="F66" s="3">
        <f t="shared" si="2"/>
        <v>3</v>
      </c>
      <c r="G66" s="3">
        <f t="shared" si="3"/>
        <v>2</v>
      </c>
      <c r="H66" s="3">
        <f t="shared" si="0"/>
        <v>5</v>
      </c>
      <c r="I66" s="3" t="str">
        <f t="shared" si="4"/>
        <v>W</v>
      </c>
    </row>
    <row r="67" spans="1:10" x14ac:dyDescent="0.25">
      <c r="A67" t="s">
        <v>129</v>
      </c>
      <c r="B67" t="s">
        <v>203</v>
      </c>
      <c r="C67" t="s">
        <v>283</v>
      </c>
      <c r="E67" s="1" t="str">
        <f t="shared" si="1"/>
        <v>Away</v>
      </c>
      <c r="F67" s="3">
        <f t="shared" si="2"/>
        <v>10</v>
      </c>
      <c r="G67" s="3">
        <f t="shared" si="3"/>
        <v>8</v>
      </c>
      <c r="H67" s="3">
        <f t="shared" ref="H67:H70" si="6">F67+G67</f>
        <v>18</v>
      </c>
      <c r="I67" s="3" t="str">
        <f t="shared" si="4"/>
        <v>W</v>
      </c>
    </row>
    <row r="68" spans="1:10" x14ac:dyDescent="0.25">
      <c r="A68" t="s">
        <v>131</v>
      </c>
      <c r="B68" t="s">
        <v>203</v>
      </c>
      <c r="C68" t="s">
        <v>48</v>
      </c>
      <c r="E68" s="1" t="str">
        <f t="shared" ref="E68:E70" si="7">IF(LEFT(B68,1)="@","Away","Home")</f>
        <v>Away</v>
      </c>
      <c r="F68" s="3">
        <f t="shared" ref="F68:F70" si="8">_xlfn.NUMBERVALUE(MID(LEFT(C68,FIND("-",C68)-1),FIND(" ",C68)+1,LEN(C68)))</f>
        <v>4</v>
      </c>
      <c r="G68" s="3">
        <f t="shared" ref="G68:G70" si="9">_xlfn.NUMBERVALUE(RIGHT(C68,LEN(C68)-FIND("-",C68)))</f>
        <v>5</v>
      </c>
      <c r="H68" s="3">
        <f t="shared" si="6"/>
        <v>9</v>
      </c>
      <c r="I68" s="3" t="str">
        <f t="shared" ref="I68:I71" si="10">LEFT(C68,1)</f>
        <v>L</v>
      </c>
    </row>
    <row r="69" spans="1:10" x14ac:dyDescent="0.25">
      <c r="A69" t="s">
        <v>133</v>
      </c>
      <c r="B69" t="s">
        <v>241</v>
      </c>
      <c r="C69" t="s">
        <v>200</v>
      </c>
      <c r="E69" s="1" t="str">
        <f t="shared" si="7"/>
        <v>Home</v>
      </c>
      <c r="F69" s="3">
        <f t="shared" si="8"/>
        <v>8</v>
      </c>
      <c r="G69" s="3">
        <f t="shared" si="9"/>
        <v>0</v>
      </c>
      <c r="H69" s="3">
        <f t="shared" si="6"/>
        <v>8</v>
      </c>
      <c r="I69" s="3" t="str">
        <f t="shared" si="10"/>
        <v>W</v>
      </c>
    </row>
    <row r="70" spans="1:10" x14ac:dyDescent="0.25">
      <c r="A70" t="s">
        <v>134</v>
      </c>
      <c r="B70" t="s">
        <v>241</v>
      </c>
      <c r="C70" t="s">
        <v>199</v>
      </c>
      <c r="E70" s="1" t="str">
        <f t="shared" si="7"/>
        <v>Home</v>
      </c>
      <c r="F70" s="3">
        <f t="shared" si="8"/>
        <v>3</v>
      </c>
      <c r="G70" s="3">
        <f t="shared" si="9"/>
        <v>7</v>
      </c>
      <c r="H70" s="3">
        <f t="shared" si="6"/>
        <v>10</v>
      </c>
      <c r="I70" s="3" t="str">
        <f t="shared" si="10"/>
        <v>L</v>
      </c>
    </row>
    <row r="71" spans="1:10" x14ac:dyDescent="0.25">
      <c r="E71" s="1"/>
      <c r="F71" s="3"/>
      <c r="G71" s="3"/>
      <c r="H71" s="3"/>
      <c r="I71" s="3" t="str">
        <f t="shared" si="10"/>
        <v/>
      </c>
    </row>
    <row r="72" spans="1:10" x14ac:dyDescent="0.25">
      <c r="A72" s="70" t="s">
        <v>1</v>
      </c>
      <c r="B72" s="70" t="s">
        <v>2</v>
      </c>
      <c r="C72" s="70" t="s">
        <v>469</v>
      </c>
      <c r="D72" s="70" t="s">
        <v>135</v>
      </c>
      <c r="E72" s="71" t="s">
        <v>136</v>
      </c>
      <c r="F72" s="72" t="s">
        <v>137</v>
      </c>
      <c r="G72" s="72" t="s">
        <v>138</v>
      </c>
      <c r="H72" s="73" t="s">
        <v>3</v>
      </c>
      <c r="I72" s="70" t="s">
        <v>494</v>
      </c>
      <c r="J72" s="74" t="s">
        <v>495</v>
      </c>
    </row>
    <row r="73" spans="1:10" x14ac:dyDescent="0.25">
      <c r="A73" s="32" t="s">
        <v>448</v>
      </c>
      <c r="B73" s="32" t="s">
        <v>192</v>
      </c>
      <c r="C73" s="32" t="s">
        <v>336</v>
      </c>
      <c r="D73" s="32" t="str">
        <f>IF(LEFT(STC!$B73,1)="@","Away","Home")</f>
        <v>Away</v>
      </c>
      <c r="E73" s="64">
        <f>_xlfn.NUMBERVALUE(MID(LEFT(STC!$C73,FIND("-",STC!$C73)-1),FIND(" ",STC!$C73)+1,LEN(STC!$C73)))</f>
        <v>8</v>
      </c>
      <c r="F73" s="65">
        <f>_xlfn.NUMBERVALUE(RIGHT(STC!$C73,LEN(STC!$C73)-FIND("-",STC!$C73)))</f>
        <v>4</v>
      </c>
      <c r="G73" s="65">
        <f t="shared" ref="G73" si="11">E73+F73</f>
        <v>12</v>
      </c>
      <c r="H73" s="66" t="str">
        <f>LEFT(STC!$C73,1)</f>
        <v>W</v>
      </c>
      <c r="I73" s="62" t="str">
        <f>VLOOKUP(IF(Table27[[#This Row],[At]]="Home",Table27[[#This Row],[Opponent]],RIGHT(Table27[[#This Row],[Opponent]],LEN(Table27[[#This Row],[Opponent]])-1)),CHOOSE({1,2},[1]StandingsRAW!$J$1:$J$22,[1]StandingsRAW!$L$1:$L$22),2,FALSE)</f>
        <v>WAT</v>
      </c>
      <c r="J73" s="63">
        <f>VLOOKUP(Table27[[#This Row],[OPP]],Raw!$L$2:$S$23,7,FALSE)-Raw!$U$2</f>
        <v>-3.3415553472384971</v>
      </c>
    </row>
    <row r="74" spans="1:10" x14ac:dyDescent="0.25">
      <c r="A74" s="32" t="s">
        <v>449</v>
      </c>
      <c r="B74" s="32" t="s">
        <v>192</v>
      </c>
      <c r="C74" s="32" t="s">
        <v>85</v>
      </c>
      <c r="D74" s="32" t="str">
        <f>IF(LEFT(STC!$B74,1)="@","Away","Home")</f>
        <v>Away</v>
      </c>
      <c r="E74" s="64">
        <f>_xlfn.NUMBERVALUE(MID(LEFT(STC!$C74,FIND("-",STC!$C74)-1),FIND(" ",STC!$C74)+1,LEN(STC!$C74)))</f>
        <v>5</v>
      </c>
      <c r="F74" s="65">
        <f>_xlfn.NUMBERVALUE(RIGHT(STC!$C74,LEN(STC!$C74)-FIND("-",STC!$C74)))</f>
        <v>3</v>
      </c>
      <c r="G74" s="65">
        <f t="shared" ref="G74:G92" si="12">E74+F74</f>
        <v>8</v>
      </c>
      <c r="H74" s="66" t="str">
        <f>LEFT(STC!$C74,1)</f>
        <v>W</v>
      </c>
      <c r="I74" s="62" t="str">
        <f>VLOOKUP(IF(Table27[[#This Row],[At]]="Home",Table27[[#This Row],[Opponent]],RIGHT(Table27[[#This Row],[Opponent]],LEN(Table27[[#This Row],[Opponent]])-1)),CHOOSE({1,2},[1]StandingsRAW!$J$1:$J$22,[1]StandingsRAW!$L$1:$L$22),2,FALSE)</f>
        <v>WAT</v>
      </c>
      <c r="J74" s="63">
        <f>VLOOKUP(Table27[[#This Row],[OPP]],Raw!$L$2:$S$23,7,FALSE)-Raw!$U$2</f>
        <v>-3.3415553472384971</v>
      </c>
    </row>
    <row r="75" spans="1:10" x14ac:dyDescent="0.25">
      <c r="A75" s="32" t="s">
        <v>450</v>
      </c>
      <c r="B75" s="32" t="s">
        <v>190</v>
      </c>
      <c r="C75" s="32" t="s">
        <v>429</v>
      </c>
      <c r="D75" s="32" t="str">
        <f>IF(LEFT(STC!$B75,1)="@","Away","Home")</f>
        <v>Away</v>
      </c>
      <c r="E75" s="64">
        <f>_xlfn.NUMBERVALUE(MID(LEFT(STC!$C75,FIND("-",STC!$C75)-1),FIND(" ",STC!$C75)+1,LEN(STC!$C75)))</f>
        <v>16</v>
      </c>
      <c r="F75" s="65">
        <f>_xlfn.NUMBERVALUE(RIGHT(STC!$C75,LEN(STC!$C75)-FIND("-",STC!$C75)))</f>
        <v>6</v>
      </c>
      <c r="G75" s="65">
        <f t="shared" si="12"/>
        <v>22</v>
      </c>
      <c r="H75" s="66" t="str">
        <f>LEFT(STC!$C75,1)</f>
        <v>W</v>
      </c>
      <c r="I75" s="62" t="str">
        <f>VLOOKUP(IF(Table27[[#This Row],[At]]="Home",Table27[[#This Row],[Opponent]],RIGHT(Table27[[#This Row],[Opponent]],LEN(Table27[[#This Row],[Opponent]])-1)),CHOOSE({1,2},[1]StandingsRAW!$J$1:$J$22,[1]StandingsRAW!$L$1:$L$22),2,FALSE)</f>
        <v>LAC</v>
      </c>
      <c r="J75" s="63">
        <f>VLOOKUP(Table27[[#This Row],[OPP]],Raw!$L$2:$S$23,7,FALSE)-Raw!$U$2</f>
        <v>-0.25332005312084993</v>
      </c>
    </row>
    <row r="76" spans="1:10" x14ac:dyDescent="0.25">
      <c r="A76" s="32" t="s">
        <v>451</v>
      </c>
      <c r="B76" s="32" t="s">
        <v>190</v>
      </c>
      <c r="C76" s="32" t="s">
        <v>264</v>
      </c>
      <c r="D76" s="32" t="str">
        <f>IF(LEFT(STC!$B76,1)="@","Away","Home")</f>
        <v>Away</v>
      </c>
      <c r="E76" s="64">
        <f>_xlfn.NUMBERVALUE(MID(LEFT(STC!$C76,FIND("-",STC!$C76)-1),FIND(" ",STC!$C76)+1,LEN(STC!$C76)))</f>
        <v>6</v>
      </c>
      <c r="F76" s="65">
        <f>_xlfn.NUMBERVALUE(RIGHT(STC!$C76,LEN(STC!$C76)-FIND("-",STC!$C76)))</f>
        <v>2</v>
      </c>
      <c r="G76" s="65">
        <f t="shared" si="12"/>
        <v>8</v>
      </c>
      <c r="H76" s="66" t="str">
        <f>LEFT(STC!$C76,1)</f>
        <v>W</v>
      </c>
      <c r="I76" s="62" t="str">
        <f>VLOOKUP(IF(Table27[[#This Row],[At]]="Home",Table27[[#This Row],[Opponent]],RIGHT(Table27[[#This Row],[Opponent]],LEN(Table27[[#This Row],[Opponent]])-1)),CHOOSE({1,2},[1]StandingsRAW!$J$1:$J$22,[1]StandingsRAW!$L$1:$L$22),2,FALSE)</f>
        <v>LAC</v>
      </c>
      <c r="J76" s="63">
        <f>VLOOKUP(Table27[[#This Row],[OPP]],Raw!$L$2:$S$23,7,FALSE)-Raw!$U$2</f>
        <v>-0.25332005312084993</v>
      </c>
    </row>
    <row r="77" spans="1:10" x14ac:dyDescent="0.25">
      <c r="A77" s="32" t="s">
        <v>453</v>
      </c>
      <c r="B77" s="32" t="s">
        <v>241</v>
      </c>
      <c r="C77" s="32" t="s">
        <v>329</v>
      </c>
      <c r="D77" s="32" t="str">
        <f>IF(LEFT(STC!$B77,1)="@","Away","Home")</f>
        <v>Home</v>
      </c>
      <c r="E77" s="64">
        <f>_xlfn.NUMBERVALUE(MID(LEFT(STC!$C77,FIND("-",STC!$C77)-1),FIND(" ",STC!$C77)+1,LEN(STC!$C77)))</f>
        <v>5</v>
      </c>
      <c r="F77" s="65">
        <f>_xlfn.NUMBERVALUE(RIGHT(STC!$C77,LEN(STC!$C77)-FIND("-",STC!$C77)))</f>
        <v>2</v>
      </c>
      <c r="G77" s="65">
        <f t="shared" si="12"/>
        <v>7</v>
      </c>
      <c r="H77" s="66" t="str">
        <f>LEFT(STC!$C77,1)</f>
        <v>W</v>
      </c>
      <c r="I77" s="62" t="str">
        <f>VLOOKUP(IF(Table27[[#This Row],[At]]="Home",Table27[[#This Row],[Opponent]],RIGHT(Table27[[#This Row],[Opponent]],LEN(Table27[[#This Row],[Opponent]])-1)),CHOOSE({1,2},[1]StandingsRAW!$J$1:$J$22,[1]StandingsRAW!$L$1:$L$22),2,FALSE)</f>
        <v>MIN</v>
      </c>
      <c r="J77" s="63">
        <f>VLOOKUP(Table27[[#This Row],[OPP]],Raw!$L$2:$S$23,7,FALSE)-Raw!$U$2</f>
        <v>-2.6422089420097388</v>
      </c>
    </row>
    <row r="78" spans="1:10" x14ac:dyDescent="0.25">
      <c r="A78" s="32" t="s">
        <v>455</v>
      </c>
      <c r="B78" s="32" t="s">
        <v>250</v>
      </c>
      <c r="C78" s="32" t="s">
        <v>61</v>
      </c>
      <c r="D78" s="32" t="str">
        <f>IF(LEFT(STC!$B78,1)="@","Away","Home")</f>
        <v>Home</v>
      </c>
      <c r="E78" s="64">
        <f>_xlfn.NUMBERVALUE(MID(LEFT(STC!$C78,FIND("-",STC!$C78)-1),FIND(" ",STC!$C78)+1,LEN(STC!$C78)))</f>
        <v>7</v>
      </c>
      <c r="F78" s="65">
        <f>_xlfn.NUMBERVALUE(RIGHT(STC!$C78,LEN(STC!$C78)-FIND("-",STC!$C78)))</f>
        <v>3</v>
      </c>
      <c r="G78" s="65">
        <f t="shared" si="12"/>
        <v>10</v>
      </c>
      <c r="H78" s="66" t="str">
        <f>LEFT(STC!$C78,1)</f>
        <v>W</v>
      </c>
      <c r="I78" s="62" t="str">
        <f>VLOOKUP(IF(Table27[[#This Row],[At]]="Home",Table27[[#This Row],[Opponent]],RIGHT(Table27[[#This Row],[Opponent]],LEN(Table27[[#This Row],[Opponent]])-1)),CHOOSE({1,2},[1]StandingsRAW!$J$1:$J$22,[1]StandingsRAW!$L$1:$L$22),2,FALSE)</f>
        <v>MAN</v>
      </c>
      <c r="J78" s="63">
        <f>VLOOKUP(Table27[[#This Row],[OPP]],Raw!$L$2:$S$23,7,FALSE)-Raw!$U$2</f>
        <v>0.73197406452620895</v>
      </c>
    </row>
    <row r="79" spans="1:10" x14ac:dyDescent="0.25">
      <c r="A79" s="32" t="s">
        <v>456</v>
      </c>
      <c r="B79" s="32" t="s">
        <v>206</v>
      </c>
      <c r="C79" s="32" t="s">
        <v>217</v>
      </c>
      <c r="D79" s="32" t="str">
        <f>IF(LEFT(STC!$B79,1)="@","Away","Home")</f>
        <v>Away</v>
      </c>
      <c r="E79" s="64">
        <f>_xlfn.NUMBERVALUE(MID(LEFT(STC!$C79,FIND("-",STC!$C79)-1),FIND(" ",STC!$C79)+1,LEN(STC!$C79)))</f>
        <v>3</v>
      </c>
      <c r="F79" s="65">
        <f>_xlfn.NUMBERVALUE(RIGHT(STC!$C79,LEN(STC!$C79)-FIND("-",STC!$C79)))</f>
        <v>0</v>
      </c>
      <c r="G79" s="65">
        <f t="shared" si="12"/>
        <v>3</v>
      </c>
      <c r="H79" s="66" t="str">
        <f>LEFT(STC!$C79,1)</f>
        <v>W</v>
      </c>
      <c r="I79" s="62" t="str">
        <f>VLOOKUP(IF(Table27[[#This Row],[At]]="Home",Table27[[#This Row],[Opponent]],RIGHT(Table27[[#This Row],[Opponent]],LEN(Table27[[#This Row],[Opponent]])-1)),CHOOSE({1,2},[1]StandingsRAW!$J$1:$J$22,[1]StandingsRAW!$L$1:$L$22),2,FALSE)</f>
        <v>MAN</v>
      </c>
      <c r="J79" s="63">
        <f>VLOOKUP(Table27[[#This Row],[OPP]],Raw!$L$2:$S$23,7,FALSE)-Raw!$U$2</f>
        <v>0.73197406452620895</v>
      </c>
    </row>
    <row r="80" spans="1:10" x14ac:dyDescent="0.25">
      <c r="A80" s="32" t="s">
        <v>470</v>
      </c>
      <c r="B80" s="32" t="s">
        <v>278</v>
      </c>
      <c r="C80" s="32" t="s">
        <v>233</v>
      </c>
      <c r="D80" s="32" t="str">
        <f>IF(LEFT(STC!$B80,1)="@","Away","Home")</f>
        <v>Home</v>
      </c>
      <c r="E80" s="64">
        <f>_xlfn.NUMBERVALUE(MID(LEFT(STC!$C80,FIND("-",STC!$C80)-1),FIND(" ",STC!$C80)+1,LEN(STC!$C80)))</f>
        <v>10</v>
      </c>
      <c r="F80" s="65">
        <f>_xlfn.NUMBERVALUE(RIGHT(STC!$C80,LEN(STC!$C80)-FIND("-",STC!$C80)))</f>
        <v>1</v>
      </c>
      <c r="G80" s="65">
        <f t="shared" si="12"/>
        <v>11</v>
      </c>
      <c r="H80" s="66" t="str">
        <f>LEFT(STC!$C80,1)</f>
        <v>W</v>
      </c>
      <c r="I80" s="62" t="str">
        <f>VLOOKUP(IF(Table27[[#This Row],[At]]="Home",Table27[[#This Row],[Opponent]],RIGHT(Table27[[#This Row],[Opponent]],LEN(Table27[[#This Row],[Opponent]])-1)),CHOOSE({1,2},[1]StandingsRAW!$J$1:$J$22,[1]StandingsRAW!$L$1:$L$22),2,FALSE)</f>
        <v>BIS</v>
      </c>
      <c r="J80" s="63">
        <f>VLOOKUP(Table27[[#This Row],[OPP]],Raw!$L$2:$S$23,7,FALSE)-Raw!$U$2</f>
        <v>-1.915084759003203</v>
      </c>
    </row>
    <row r="81" spans="1:10" x14ac:dyDescent="0.25">
      <c r="A81" s="32" t="s">
        <v>457</v>
      </c>
      <c r="B81" s="32" t="s">
        <v>278</v>
      </c>
      <c r="C81" s="32" t="s">
        <v>15</v>
      </c>
      <c r="D81" s="32" t="str">
        <f>IF(LEFT(STC!$B81,1)="@","Away","Home")</f>
        <v>Home</v>
      </c>
      <c r="E81" s="64">
        <f>_xlfn.NUMBERVALUE(MID(LEFT(STC!$C81,FIND("-",STC!$C81)-1),FIND(" ",STC!$C81)+1,LEN(STC!$C81)))</f>
        <v>3</v>
      </c>
      <c r="F81" s="65">
        <f>_xlfn.NUMBERVALUE(RIGHT(STC!$C81,LEN(STC!$C81)-FIND("-",STC!$C81)))</f>
        <v>1</v>
      </c>
      <c r="G81" s="65">
        <f t="shared" si="12"/>
        <v>4</v>
      </c>
      <c r="H81" s="66" t="str">
        <f>LEFT(STC!$C81,1)</f>
        <v>W</v>
      </c>
      <c r="I81" s="62" t="str">
        <f>VLOOKUP(IF(Table27[[#This Row],[At]]="Home",Table27[[#This Row],[Opponent]],RIGHT(Table27[[#This Row],[Opponent]],LEN(Table27[[#This Row],[Opponent]])-1)),CHOOSE({1,2},[1]StandingsRAW!$J$1:$J$22,[1]StandingsRAW!$L$1:$L$22),2,FALSE)</f>
        <v>BIS</v>
      </c>
      <c r="J81" s="63">
        <f>VLOOKUP(Table27[[#This Row],[OPP]],Raw!$L$2:$S$23,7,FALSE)-Raw!$U$2</f>
        <v>-1.915084759003203</v>
      </c>
    </row>
    <row r="82" spans="1:10" x14ac:dyDescent="0.25">
      <c r="A82" s="32" t="s">
        <v>458</v>
      </c>
      <c r="B82" s="32" t="s">
        <v>225</v>
      </c>
      <c r="C82" s="32" t="s">
        <v>224</v>
      </c>
      <c r="D82" s="32" t="str">
        <f>IF(LEFT(STC!$B82,1)="@","Away","Home")</f>
        <v>Home</v>
      </c>
      <c r="E82" s="64">
        <f>_xlfn.NUMBERVALUE(MID(LEFT(STC!$C82,FIND("-",STC!$C82)-1),FIND(" ",STC!$C82)+1,LEN(STC!$C82)))</f>
        <v>0</v>
      </c>
      <c r="F82" s="65">
        <f>_xlfn.NUMBERVALUE(RIGHT(STC!$C82,LEN(STC!$C82)-FIND("-",STC!$C82)))</f>
        <v>6</v>
      </c>
      <c r="G82" s="65">
        <f t="shared" si="12"/>
        <v>6</v>
      </c>
      <c r="H82" s="66" t="str">
        <f>LEFT(STC!$C82,1)</f>
        <v>L</v>
      </c>
      <c r="I82" s="62" t="str">
        <f>VLOOKUP(IF(Table27[[#This Row],[At]]="Home",Table27[[#This Row],[Opponent]],RIGHT(Table27[[#This Row],[Opponent]],LEN(Table27[[#This Row],[Opponent]])-1)),CHOOSE({1,2},[1]StandingsRAW!$J$1:$J$22,[1]StandingsRAW!$L$1:$L$22),2,FALSE)</f>
        <v>DUL</v>
      </c>
      <c r="J82" s="63">
        <f>VLOOKUP(Table27[[#This Row],[OPP]],Raw!$L$2:$S$23,7,FALSE)-Raw!$U$2</f>
        <v>-0.37645438147905891</v>
      </c>
    </row>
    <row r="83" spans="1:10" x14ac:dyDescent="0.25">
      <c r="A83" s="32" t="s">
        <v>459</v>
      </c>
      <c r="B83" s="32" t="s">
        <v>225</v>
      </c>
      <c r="C83" s="32" t="s">
        <v>24</v>
      </c>
      <c r="D83" s="32" t="str">
        <f>IF(LEFT(STC!$B83,1)="@","Away","Home")</f>
        <v>Home</v>
      </c>
      <c r="E83" s="64">
        <f>_xlfn.NUMBERVALUE(MID(LEFT(STC!$C83,FIND("-",STC!$C83)-1),FIND(" ",STC!$C83)+1,LEN(STC!$C83)))</f>
        <v>10</v>
      </c>
      <c r="F83" s="65">
        <f>_xlfn.NUMBERVALUE(RIGHT(STC!$C83,LEN(STC!$C83)-FIND("-",STC!$C83)))</f>
        <v>5</v>
      </c>
      <c r="G83" s="65">
        <f t="shared" si="12"/>
        <v>15</v>
      </c>
      <c r="H83" s="66" t="str">
        <f>LEFT(STC!$C83,1)</f>
        <v>W</v>
      </c>
      <c r="I83" s="62" t="str">
        <f>VLOOKUP(IF(Table27[[#This Row],[At]]="Home",Table27[[#This Row],[Opponent]],RIGHT(Table27[[#This Row],[Opponent]],LEN(Table27[[#This Row],[Opponent]])-1)),CHOOSE({1,2},[1]StandingsRAW!$J$1:$J$22,[1]StandingsRAW!$L$1:$L$22),2,FALSE)</f>
        <v>DUL</v>
      </c>
      <c r="J83" s="63">
        <f>VLOOKUP(Table27[[#This Row],[OPP]],Raw!$L$2:$S$23,7,FALSE)-Raw!$U$2</f>
        <v>-0.37645438147905891</v>
      </c>
    </row>
    <row r="84" spans="1:10" x14ac:dyDescent="0.25">
      <c r="A84" s="32" t="s">
        <v>460</v>
      </c>
      <c r="B84" s="32" t="s">
        <v>222</v>
      </c>
      <c r="C84" s="32" t="s">
        <v>240</v>
      </c>
      <c r="D84" s="32" t="str">
        <f>IF(LEFT(STC!$B84,1)="@","Away","Home")</f>
        <v>Home</v>
      </c>
      <c r="E84" s="64">
        <f>_xlfn.NUMBERVALUE(MID(LEFT(STC!$C84,FIND("-",STC!$C84)-1),FIND(" ",STC!$C84)+1,LEN(STC!$C84)))</f>
        <v>1</v>
      </c>
      <c r="F84" s="65">
        <f>_xlfn.NUMBERVALUE(RIGHT(STC!$C84,LEN(STC!$C84)-FIND("-",STC!$C84)))</f>
        <v>3</v>
      </c>
      <c r="G84" s="65">
        <f t="shared" si="12"/>
        <v>4</v>
      </c>
      <c r="H84" s="66" t="str">
        <f>LEFT(STC!$C84,1)</f>
        <v>L</v>
      </c>
      <c r="I84" s="62" t="str">
        <f>VLOOKUP(IF(Table27[[#This Row],[At]]="Home",Table27[[#This Row],[Opponent]],RIGHT(Table27[[#This Row],[Opponent]],LEN(Table27[[#This Row],[Opponent]])-1)),CHOOSE({1,2},[1]StandingsRAW!$J$1:$J$22,[1]StandingsRAW!$L$1:$L$22),2,FALSE)</f>
        <v>WIL</v>
      </c>
      <c r="J84" s="63">
        <f>VLOOKUP(Table27[[#This Row],[OPP]],Raw!$L$2:$S$23,7,FALSE)-Raw!$U$2</f>
        <v>3.0407975939379734</v>
      </c>
    </row>
    <row r="85" spans="1:10" x14ac:dyDescent="0.25">
      <c r="A85" s="32" t="s">
        <v>471</v>
      </c>
      <c r="B85" s="32" t="s">
        <v>211</v>
      </c>
      <c r="C85" s="32" t="s">
        <v>35</v>
      </c>
      <c r="D85" s="32" t="str">
        <f>IF(LEFT(STC!$B85,1)="@","Away","Home")</f>
        <v>Away</v>
      </c>
      <c r="E85" s="64">
        <f>_xlfn.NUMBERVALUE(MID(LEFT(STC!$C85,FIND("-",STC!$C85)-1),FIND(" ",STC!$C85)+1,LEN(STC!$C85)))</f>
        <v>4</v>
      </c>
      <c r="F85" s="65">
        <f>_xlfn.NUMBERVALUE(RIGHT(STC!$C85,LEN(STC!$C85)-FIND("-",STC!$C85)))</f>
        <v>1</v>
      </c>
      <c r="G85" s="65">
        <f t="shared" si="12"/>
        <v>5</v>
      </c>
      <c r="H85" s="66" t="str">
        <f>LEFT(STC!$C85,1)</f>
        <v>W</v>
      </c>
      <c r="I85" s="62" t="str">
        <f>VLOOKUP(IF(Table27[[#This Row],[At]]="Home",Table27[[#This Row],[Opponent]],RIGHT(Table27[[#This Row],[Opponent]],LEN(Table27[[#This Row],[Opponent]])-1)),CHOOSE({1,2},[1]StandingsRAW!$J$1:$J$22,[1]StandingsRAW!$L$1:$L$22),2,FALSE)</f>
        <v>WIL</v>
      </c>
      <c r="J85" s="63">
        <f>VLOOKUP(Table27[[#This Row],[OPP]],Raw!$L$2:$S$23,7,FALSE)-Raw!$U$2</f>
        <v>3.0407975939379734</v>
      </c>
    </row>
    <row r="86" spans="1:10" x14ac:dyDescent="0.25">
      <c r="A86" s="32" t="s">
        <v>463</v>
      </c>
      <c r="B86" s="32" t="s">
        <v>210</v>
      </c>
      <c r="C86" s="32" t="s">
        <v>369</v>
      </c>
      <c r="D86" s="32" t="str">
        <f>IF(LEFT(STC!$B86,1)="@","Away","Home")</f>
        <v>Away</v>
      </c>
      <c r="E86" s="64">
        <f>_xlfn.NUMBERVALUE(MID(LEFT(STC!$C86,FIND("-",STC!$C86)-1),FIND(" ",STC!$C86)+1,LEN(STC!$C86)))</f>
        <v>11</v>
      </c>
      <c r="F86" s="65">
        <f>_xlfn.NUMBERVALUE(RIGHT(STC!$C86,LEN(STC!$C86)-FIND("-",STC!$C86)))</f>
        <v>13</v>
      </c>
      <c r="G86" s="65">
        <f t="shared" si="12"/>
        <v>24</v>
      </c>
      <c r="H86" s="66" t="str">
        <f>LEFT(STC!$C86,1)</f>
        <v>L</v>
      </c>
      <c r="I86" s="62" t="str">
        <f>VLOOKUP(IF(Table27[[#This Row],[At]]="Home",Table27[[#This Row],[Opponent]],RIGHT(Table27[[#This Row],[Opponent]],LEN(Table27[[#This Row],[Opponent]])-1)),CHOOSE({1,2},[1]StandingsRAW!$J$1:$J$22,[1]StandingsRAW!$L$1:$L$22),2,FALSE)</f>
        <v>ROC</v>
      </c>
      <c r="J86" s="63">
        <f>VLOOKUP(Table27[[#This Row],[OPP]],Raw!$L$2:$S$23,7,FALSE)-Raw!$U$2</f>
        <v>-0.20920240606202639</v>
      </c>
    </row>
    <row r="87" spans="1:10" x14ac:dyDescent="0.25">
      <c r="A87" s="32" t="s">
        <v>463</v>
      </c>
      <c r="B87" s="32" t="s">
        <v>210</v>
      </c>
      <c r="C87" s="32" t="s">
        <v>400</v>
      </c>
      <c r="D87" s="32" t="str">
        <f>IF(LEFT(STC!$B87,1)="@","Away","Home")</f>
        <v>Away</v>
      </c>
      <c r="E87" s="64">
        <f>_xlfn.NUMBERVALUE(MID(LEFT(STC!$C87,FIND("-",STC!$C87)-1),FIND(" ",STC!$C87)+1,LEN(STC!$C87)))</f>
        <v>19</v>
      </c>
      <c r="F87" s="65">
        <f>_xlfn.NUMBERVALUE(RIGHT(STC!$C87,LEN(STC!$C87)-FIND("-",STC!$C87)))</f>
        <v>3</v>
      </c>
      <c r="G87" s="65">
        <f t="shared" si="12"/>
        <v>22</v>
      </c>
      <c r="H87" s="66" t="str">
        <f>LEFT(STC!$C87,1)</f>
        <v>W</v>
      </c>
      <c r="I87" s="62" t="str">
        <f>VLOOKUP(IF(Table27[[#This Row],[At]]="Home",Table27[[#This Row],[Opponent]],RIGHT(Table27[[#This Row],[Opponent]],LEN(Table27[[#This Row],[Opponent]])-1)),CHOOSE({1,2},[1]StandingsRAW!$J$1:$J$22,[1]StandingsRAW!$L$1:$L$22),2,FALSE)</f>
        <v>ROC</v>
      </c>
      <c r="J87" s="63">
        <f>VLOOKUP(Table27[[#This Row],[OPP]],Raw!$L$2:$S$23,7,FALSE)-Raw!$U$2</f>
        <v>-0.20920240606202639</v>
      </c>
    </row>
    <row r="88" spans="1:10" x14ac:dyDescent="0.25">
      <c r="A88" s="32" t="s">
        <v>464</v>
      </c>
      <c r="B88" s="32" t="s">
        <v>206</v>
      </c>
      <c r="C88" s="32" t="s">
        <v>389</v>
      </c>
      <c r="D88" s="32" t="str">
        <f>IF(LEFT(STC!$B88,1)="@","Away","Home")</f>
        <v>Away</v>
      </c>
      <c r="E88" s="64">
        <f>_xlfn.NUMBERVALUE(MID(LEFT(STC!$C88,FIND("-",STC!$C88)-1),FIND(" ",STC!$C88)+1,LEN(STC!$C88)))</f>
        <v>11</v>
      </c>
      <c r="F88" s="65">
        <f>_xlfn.NUMBERVALUE(RIGHT(STC!$C88,LEN(STC!$C88)-FIND("-",STC!$C88)))</f>
        <v>0</v>
      </c>
      <c r="G88" s="65">
        <f t="shared" si="12"/>
        <v>11</v>
      </c>
      <c r="H88" s="66" t="str">
        <f>LEFT(STC!$C88,1)</f>
        <v>W</v>
      </c>
      <c r="I88" s="62" t="str">
        <f>VLOOKUP(IF(Table27[[#This Row],[At]]="Home",Table27[[#This Row],[Opponent]],RIGHT(Table27[[#This Row],[Opponent]],LEN(Table27[[#This Row],[Opponent]])-1)),CHOOSE({1,2},[1]StandingsRAW!$J$1:$J$22,[1]StandingsRAW!$L$1:$L$22),2,FALSE)</f>
        <v>MAN</v>
      </c>
      <c r="J88" s="63">
        <f>VLOOKUP(Table27[[#This Row],[OPP]],Raw!$L$2:$S$23,7,FALSE)-Raw!$U$2</f>
        <v>0.73197406452620895</v>
      </c>
    </row>
    <row r="89" spans="1:10" x14ac:dyDescent="0.25">
      <c r="A89" s="32" t="s">
        <v>465</v>
      </c>
      <c r="B89" s="32" t="s">
        <v>250</v>
      </c>
      <c r="C89" s="32" t="s">
        <v>409</v>
      </c>
      <c r="D89" s="32" t="str">
        <f>IF(LEFT(STC!$B89,1)="@","Away","Home")</f>
        <v>Home</v>
      </c>
      <c r="E89" s="64">
        <f>_xlfn.NUMBERVALUE(MID(LEFT(STC!$C89,FIND("-",STC!$C89)-1),FIND(" ",STC!$C89)+1,LEN(STC!$C89)))</f>
        <v>9</v>
      </c>
      <c r="F89" s="65">
        <f>_xlfn.NUMBERVALUE(RIGHT(STC!$C89,LEN(STC!$C89)-FIND("-",STC!$C89)))</f>
        <v>0</v>
      </c>
      <c r="G89" s="65">
        <f t="shared" si="12"/>
        <v>9</v>
      </c>
      <c r="H89" s="66" t="str">
        <f>LEFT(STC!$C89,1)</f>
        <v>W</v>
      </c>
      <c r="I89" s="62" t="str">
        <f>VLOOKUP(IF(Table27[[#This Row],[At]]="Home",Table27[[#This Row],[Opponent]],RIGHT(Table27[[#This Row],[Opponent]],LEN(Table27[[#This Row],[Opponent]])-1)),CHOOSE({1,2},[1]StandingsRAW!$J$1:$J$22,[1]StandingsRAW!$L$1:$L$22),2,FALSE)</f>
        <v>MAN</v>
      </c>
      <c r="J89" s="63">
        <f>VLOOKUP(Table27[[#This Row],[OPP]],Raw!$L$2:$S$23,7,FALSE)-Raw!$U$2</f>
        <v>0.73197406452620895</v>
      </c>
    </row>
    <row r="90" spans="1:10" x14ac:dyDescent="0.25">
      <c r="A90" s="32" t="s">
        <v>466</v>
      </c>
      <c r="B90" s="32" t="s">
        <v>211</v>
      </c>
      <c r="C90" s="32" t="s">
        <v>318</v>
      </c>
      <c r="D90" s="32" t="str">
        <f>IF(LEFT(STC!$B90,1)="@","Away","Home")</f>
        <v>Away</v>
      </c>
      <c r="E90" s="64">
        <f>_xlfn.NUMBERVALUE(MID(LEFT(STC!$C90,FIND("-",STC!$C90)-1),FIND(" ",STC!$C90)+1,LEN(STC!$C90)))</f>
        <v>11</v>
      </c>
      <c r="F90" s="65">
        <f>_xlfn.NUMBERVALUE(RIGHT(STC!$C90,LEN(STC!$C90)-FIND("-",STC!$C90)))</f>
        <v>4</v>
      </c>
      <c r="G90" s="65">
        <f t="shared" si="12"/>
        <v>15</v>
      </c>
      <c r="H90" s="66" t="str">
        <f>LEFT(STC!$C90,1)</f>
        <v>W</v>
      </c>
      <c r="I90" s="62" t="str">
        <f>VLOOKUP(IF(Table27[[#This Row],[At]]="Home",Table27[[#This Row],[Opponent]],RIGHT(Table27[[#This Row],[Opponent]],LEN(Table27[[#This Row],[Opponent]])-1)),CHOOSE({1,2},[1]StandingsRAW!$J$1:$J$22,[1]StandingsRAW!$L$1:$L$22),2,FALSE)</f>
        <v>WIL</v>
      </c>
      <c r="J90" s="63">
        <f>VLOOKUP(Table27[[#This Row],[OPP]],Raw!$L$2:$S$23,7,FALSE)-Raw!$U$2</f>
        <v>3.0407975939379734</v>
      </c>
    </row>
    <row r="91" spans="1:10" x14ac:dyDescent="0.25">
      <c r="A91" s="32" t="s">
        <v>467</v>
      </c>
      <c r="B91" s="32" t="s">
        <v>222</v>
      </c>
      <c r="C91" s="32" t="s">
        <v>329</v>
      </c>
      <c r="D91" s="32" t="str">
        <f>IF(LEFT(STC!$B91,1)="@","Away","Home")</f>
        <v>Home</v>
      </c>
      <c r="E91" s="64">
        <f>_xlfn.NUMBERVALUE(MID(LEFT(STC!$C91,FIND("-",STC!$C91)-1),FIND(" ",STC!$C91)+1,LEN(STC!$C91)))</f>
        <v>5</v>
      </c>
      <c r="F91" s="65">
        <f>_xlfn.NUMBERVALUE(RIGHT(STC!$C91,LEN(STC!$C91)-FIND("-",STC!$C91)))</f>
        <v>2</v>
      </c>
      <c r="G91" s="65">
        <f t="shared" si="12"/>
        <v>7</v>
      </c>
      <c r="H91" s="66" t="str">
        <f>LEFT(STC!$C91,1)</f>
        <v>W</v>
      </c>
      <c r="I91" s="62" t="str">
        <f>VLOOKUP(IF(Table27[[#This Row],[At]]="Home",Table27[[#This Row],[Opponent]],RIGHT(Table27[[#This Row],[Opponent]],LEN(Table27[[#This Row],[Opponent]])-1)),CHOOSE({1,2},[1]StandingsRAW!$J$1:$J$22,[1]StandingsRAW!$L$1:$L$22),2,FALSE)</f>
        <v>WIL</v>
      </c>
      <c r="J91" s="63">
        <f>VLOOKUP(Table27[[#This Row],[OPP]],Raw!$L$2:$S$23,7,FALSE)-Raw!$U$2</f>
        <v>3.0407975939379734</v>
      </c>
    </row>
    <row r="92" spans="1:10" x14ac:dyDescent="0.25">
      <c r="A92" s="29" t="s">
        <v>468</v>
      </c>
      <c r="B92" s="29" t="s">
        <v>235</v>
      </c>
      <c r="C92" s="29" t="s">
        <v>244</v>
      </c>
      <c r="D92" s="29" t="str">
        <f>IF(LEFT(STC!$B92,1)="@","Away","Home")</f>
        <v>Home</v>
      </c>
      <c r="E92" s="67">
        <f>_xlfn.NUMBERVALUE(MID(LEFT(STC!$C92,FIND("-",STC!$C92)-1),FIND(" ",STC!$C92)+1,LEN(STC!$C92)))</f>
        <v>6</v>
      </c>
      <c r="F92" s="68">
        <f>_xlfn.NUMBERVALUE(RIGHT(STC!$C92,LEN(STC!$C92)-FIND("-",STC!$C92)))</f>
        <v>3</v>
      </c>
      <c r="G92" s="68">
        <f t="shared" si="12"/>
        <v>9</v>
      </c>
      <c r="H92" s="69" t="str">
        <f>LEFT(STC!$C92,1)</f>
        <v>W</v>
      </c>
      <c r="I92" s="62" t="str">
        <f>VLOOKUP(IF(Table27[[#This Row],[At]]="Home",Table27[[#This Row],[Opponent]],RIGHT(Table27[[#This Row],[Opponent]],LEN(Table27[[#This Row],[Opponent]])-1)),CHOOSE({1,2},[1]StandingsRAW!$J$1:$J$22,[1]StandingsRAW!$L$1:$L$22),2,FALSE)</f>
        <v>EC</v>
      </c>
      <c r="J92" s="63">
        <f>VLOOKUP(Table27[[#This Row],[OPP]],Raw!$L$2:$S$23,7,FALSE)-Raw!$U$2</f>
        <v>1.1143270057026795</v>
      </c>
    </row>
    <row r="93" spans="1:10" x14ac:dyDescent="0.25">
      <c r="A93" s="32" t="s">
        <v>498</v>
      </c>
      <c r="B93" s="32" t="s">
        <v>235</v>
      </c>
      <c r="C93" s="32" t="s">
        <v>85</v>
      </c>
      <c r="D93" s="32" t="str">
        <f>IF(LEFT(STC!$B93,1)="@","Away","Home")</f>
        <v>Home</v>
      </c>
      <c r="E93" s="64">
        <f>_xlfn.NUMBERVALUE(MID(LEFT(STC!$C93,FIND("-",STC!$C93)-1),FIND(" ",STC!$C93)+1,LEN(STC!$C93)))</f>
        <v>5</v>
      </c>
      <c r="F93" s="65">
        <f>_xlfn.NUMBERVALUE(RIGHT(STC!$C93,LEN(STC!$C93)-FIND("-",STC!$C93)))</f>
        <v>3</v>
      </c>
      <c r="G93" s="65">
        <f t="shared" ref="G93:G95" si="13">E93+F93</f>
        <v>8</v>
      </c>
      <c r="H93" s="66" t="str">
        <f>LEFT(STC!$C93,1)</f>
        <v>W</v>
      </c>
      <c r="I93" s="17" t="str">
        <f>VLOOKUP(IF(Table27[[#This Row],[At]]="Home",Table27[[#This Row],[Opponent]],RIGHT(Table27[[#This Row],[Opponent]],LEN(Table27[[#This Row],[Opponent]])-1)),CHOOSE({1,2},[1]StandingsRAW!$J$1:$J$22,[1]StandingsRAW!$L$1:$L$22),2,FALSE)</f>
        <v>EC</v>
      </c>
      <c r="J93" s="33">
        <f>VLOOKUP(Table27[[#This Row],[OPP]],Raw!$L$2:$S$23,7,FALSE)-Raw!$U$2</f>
        <v>1.1143270057026795</v>
      </c>
    </row>
    <row r="94" spans="1:10" x14ac:dyDescent="0.25">
      <c r="A94" t="s">
        <v>499</v>
      </c>
      <c r="B94" t="s">
        <v>222</v>
      </c>
      <c r="C94" t="s">
        <v>212</v>
      </c>
      <c r="D94" t="str">
        <f>IF(LEFT(STC!$B94,1)="@","Away","Home")</f>
        <v>Home</v>
      </c>
      <c r="E94" s="1">
        <f>_xlfn.NUMBERVALUE(MID(LEFT(STC!$C94,FIND("-",STC!$C94)-1),FIND(" ",STC!$C94)+1,LEN(STC!$C94)))</f>
        <v>6</v>
      </c>
      <c r="F94" s="3">
        <f>_xlfn.NUMBERVALUE(RIGHT(STC!$C94,LEN(STC!$C94)-FIND("-",STC!$C94)))</f>
        <v>10</v>
      </c>
      <c r="G94" s="3">
        <f t="shared" si="13"/>
        <v>16</v>
      </c>
      <c r="H94" s="87" t="str">
        <f>LEFT(STC!$C94,1)</f>
        <v>L</v>
      </c>
      <c r="I94" s="17" t="str">
        <f>VLOOKUP(IF(Table27[[#This Row],[At]]="Home",Table27[[#This Row],[Opponent]],RIGHT(Table27[[#This Row],[Opponent]],LEN(Table27[[#This Row],[Opponent]])-1)),CHOOSE({1,2},[1]StandingsRAW!$J$1:$J$22,[1]StandingsRAW!$L$1:$L$22),2,FALSE)</f>
        <v>WIL</v>
      </c>
      <c r="J94" s="33">
        <f>VLOOKUP(Table27[[#This Row],[OPP]],Raw!$L$2:$S$23,7,FALSE)-Raw!$U$2</f>
        <v>3.0407975939379734</v>
      </c>
    </row>
    <row r="95" spans="1:10" x14ac:dyDescent="0.25">
      <c r="A95" t="s">
        <v>500</v>
      </c>
      <c r="B95" t="s">
        <v>211</v>
      </c>
      <c r="C95" t="s">
        <v>50</v>
      </c>
      <c r="D95" t="str">
        <f>IF(LEFT(STC!$B95,1)="@","Away","Home")</f>
        <v>Away</v>
      </c>
      <c r="E95" s="1">
        <f>_xlfn.NUMBERVALUE(MID(LEFT(STC!$C95,FIND("-",STC!$C95)-1),FIND(" ",STC!$C95)+1,LEN(STC!$C95)))</f>
        <v>3</v>
      </c>
      <c r="F95" s="3">
        <f>_xlfn.NUMBERVALUE(RIGHT(STC!$C95,LEN(STC!$C95)-FIND("-",STC!$C95)))</f>
        <v>4</v>
      </c>
      <c r="G95" s="3">
        <f t="shared" si="13"/>
        <v>7</v>
      </c>
      <c r="H95" s="87" t="str">
        <f>LEFT(STC!$C95,1)</f>
        <v>L</v>
      </c>
      <c r="I95" s="17" t="str">
        <f>VLOOKUP(IF(Table27[[#This Row],[At]]="Home",Table27[[#This Row],[Opponent]],RIGHT(Table27[[#This Row],[Opponent]],LEN(Table27[[#This Row],[Opponent]])-1)),CHOOSE({1,2},[1]StandingsRAW!$J$1:$J$22,[1]StandingsRAW!$L$1:$L$22),2,FALSE)</f>
        <v>WIL</v>
      </c>
      <c r="J95" s="33">
        <f>VLOOKUP(Table27[[#This Row],[OPP]],Raw!$L$2:$S$23,7,FALSE)-Raw!$U$2</f>
        <v>3.0407975939379734</v>
      </c>
    </row>
    <row r="96" spans="1:10" x14ac:dyDescent="0.25">
      <c r="A96" s="32" t="s">
        <v>501</v>
      </c>
      <c r="B96" s="32" t="s">
        <v>206</v>
      </c>
      <c r="C96" s="32" t="s">
        <v>301</v>
      </c>
      <c r="D96" s="32" t="str">
        <f>IF(LEFT(STC!$B96,1)="@","Away","Home")</f>
        <v>Away</v>
      </c>
      <c r="E96" s="64">
        <f>_xlfn.NUMBERVALUE(MID(LEFT(STC!$C96,FIND("-",STC!$C96)-1),FIND(" ",STC!$C96)+1,LEN(STC!$C96)))</f>
        <v>3</v>
      </c>
      <c r="F96" s="65">
        <f>_xlfn.NUMBERVALUE(RIGHT(STC!$C96,LEN(STC!$C96)-FIND("-",STC!$C96)))</f>
        <v>9</v>
      </c>
      <c r="G96" s="65">
        <f t="shared" ref="G96:G97" si="14">E96+F96</f>
        <v>12</v>
      </c>
      <c r="H96" s="66" t="str">
        <f>LEFT(STC!$C96,1)</f>
        <v>L</v>
      </c>
      <c r="I96" s="17" t="str">
        <f>VLOOKUP(IF(Table27[[#This Row],[At]]="Home",Table27[[#This Row],[Opponent]],RIGHT(Table27[[#This Row],[Opponent]],LEN(Table27[[#This Row],[Opponent]])-1)),CHOOSE({1,2},[1]StandingsRAW!$J$1:$J$22,[1]StandingsRAW!$L$1:$L$22),2,FALSE)</f>
        <v>MAN</v>
      </c>
      <c r="J96" s="33">
        <f>VLOOKUP(Table27[[#This Row],[OPP]],Raw!$L$2:$S$23,7,FALSE)-Raw!$U$2</f>
        <v>0.73197406452620895</v>
      </c>
    </row>
    <row r="97" spans="1:10" x14ac:dyDescent="0.25">
      <c r="A97" t="s">
        <v>502</v>
      </c>
      <c r="B97" t="s">
        <v>250</v>
      </c>
      <c r="C97" t="s">
        <v>106</v>
      </c>
      <c r="D97" t="str">
        <f>IF(LEFT(STC!$B97,1)="@","Away","Home")</f>
        <v>Home</v>
      </c>
      <c r="E97" s="1">
        <f>_xlfn.NUMBERVALUE(MID(LEFT(STC!$C97,FIND("-",STC!$C97)-1),FIND(" ",STC!$C97)+1,LEN(STC!$C97)))</f>
        <v>12</v>
      </c>
      <c r="F97" s="3">
        <f>_xlfn.NUMBERVALUE(RIGHT(STC!$C97,LEN(STC!$C97)-FIND("-",STC!$C97)))</f>
        <v>5</v>
      </c>
      <c r="G97" s="3">
        <f t="shared" si="14"/>
        <v>17</v>
      </c>
      <c r="H97" s="87" t="str">
        <f>LEFT(STC!$C97,1)</f>
        <v>W</v>
      </c>
      <c r="I97" s="17" t="str">
        <f>VLOOKUP(IF(Table27[[#This Row],[At]]="Home",Table27[[#This Row],[Opponent]],RIGHT(Table27[[#This Row],[Opponent]],LEN(Table27[[#This Row],[Opponent]])-1)),CHOOSE({1,2},[1]StandingsRAW!$J$1:$J$22,[1]StandingsRAW!$L$1:$L$22),2,FALSE)</f>
        <v>MAN</v>
      </c>
      <c r="J97" s="33">
        <f>VLOOKUP(Table27[[#This Row],[OPP]],Raw!$L$2:$S$23,7,FALSE)-Raw!$U$2</f>
        <v>0.73197406452620895</v>
      </c>
    </row>
    <row r="98" spans="1:10" x14ac:dyDescent="0.25">
      <c r="A98" s="32" t="s">
        <v>505</v>
      </c>
      <c r="B98" s="32" t="s">
        <v>231</v>
      </c>
      <c r="C98" s="32" t="s">
        <v>238</v>
      </c>
      <c r="D98" s="32" t="str">
        <f>IF(LEFT(STC!$B98,1)="@","Away","Home")</f>
        <v>Home</v>
      </c>
      <c r="E98" s="64">
        <f>_xlfn.NUMBERVALUE(MID(LEFT(STC!$C98,FIND("-",STC!$C98)-1),FIND(" ",STC!$C98)+1,LEN(STC!$C98)))</f>
        <v>10</v>
      </c>
      <c r="F98" s="65">
        <f>_xlfn.NUMBERVALUE(RIGHT(STC!$C98,LEN(STC!$C98)-FIND("-",STC!$C98)))</f>
        <v>2</v>
      </c>
      <c r="G98" s="65">
        <f>E98+F98</f>
        <v>12</v>
      </c>
      <c r="H98" s="66" t="str">
        <f>LEFT(STC!$C98,1)</f>
        <v>W</v>
      </c>
      <c r="I98" s="17" t="str">
        <f>VLOOKUP(IF(Table27[[#This Row],[At]]="Home",Table27[[#This Row],[Opponent]],RIGHT(Table27[[#This Row],[Opponent]],LEN(Table27[[#This Row],[Opponent]])-1)),CHOOSE({1,2},[1]StandingsRAW!$J$1:$J$22,[1]StandingsRAW!$L$1:$L$22),2,FALSE)</f>
        <v>LAC</v>
      </c>
      <c r="J98" s="33">
        <f>VLOOKUP(Table27[[#This Row],[OPP]],Raw!$L$2:$S$23,7,FALSE)-Raw!$U$2</f>
        <v>-0.25332005312084993</v>
      </c>
    </row>
    <row r="99" spans="1:10" x14ac:dyDescent="0.25">
      <c r="A99" s="32" t="s">
        <v>508</v>
      </c>
      <c r="B99" s="32" t="s">
        <v>231</v>
      </c>
      <c r="C99" s="32" t="s">
        <v>351</v>
      </c>
      <c r="D99" s="32" t="str">
        <f>IF(LEFT(STC!$B99,1)="@","Away","Home")</f>
        <v>Home</v>
      </c>
      <c r="E99" s="64">
        <f>_xlfn.NUMBERVALUE(MID(LEFT(STC!$C99,FIND("-",STC!$C99)-1),FIND(" ",STC!$C99)+1,LEN(STC!$C99)))</f>
        <v>2</v>
      </c>
      <c r="F99" s="65">
        <f>_xlfn.NUMBERVALUE(RIGHT(STC!$C99,LEN(STC!$C99)-FIND("-",STC!$C99)))</f>
        <v>1</v>
      </c>
      <c r="G99" s="65">
        <f t="shared" ref="G99:G101" si="15">E99+F99</f>
        <v>3</v>
      </c>
      <c r="H99" s="66" t="str">
        <f>LEFT(STC!$C99,1)</f>
        <v>W</v>
      </c>
      <c r="I99" s="17" t="str">
        <f>VLOOKUP(IF(Table27[[#This Row],[At]]="Home",Table27[[#This Row],[Opponent]],RIGHT(Table27[[#This Row],[Opponent]],LEN(Table27[[#This Row],[Opponent]])-1)),CHOOSE({1,2},[1]StandingsRAW!$J$1:$J$22,[1]StandingsRAW!$L$1:$L$22),2,FALSE)</f>
        <v>LAC</v>
      </c>
      <c r="J99" s="33">
        <f>VLOOKUP(Table27[[#This Row],[OPP]],Raw!$L$2:$S$23,7,FALSE)-Raw!$U$2</f>
        <v>-0.25332005312084993</v>
      </c>
    </row>
    <row r="100" spans="1:10" x14ac:dyDescent="0.25">
      <c r="A100" t="s">
        <v>509</v>
      </c>
      <c r="B100" t="s">
        <v>203</v>
      </c>
      <c r="C100" t="s">
        <v>236</v>
      </c>
      <c r="D100" t="str">
        <f>IF(LEFT(STC!$B100,1)="@","Away","Home")</f>
        <v>Away</v>
      </c>
      <c r="E100" s="1">
        <f>_xlfn.NUMBERVALUE(MID(LEFT(STC!$C100,FIND("-",STC!$C100)-1),FIND(" ",STC!$C100)+1,LEN(STC!$C100)))</f>
        <v>7</v>
      </c>
      <c r="F100" s="3">
        <f>_xlfn.NUMBERVALUE(RIGHT(STC!$C100,LEN(STC!$C100)-FIND("-",STC!$C100)))</f>
        <v>0</v>
      </c>
      <c r="G100" s="3">
        <f t="shared" si="15"/>
        <v>7</v>
      </c>
      <c r="H100" s="87" t="str">
        <f>LEFT(STC!$C100,1)</f>
        <v>W</v>
      </c>
      <c r="I100" s="17" t="str">
        <f>VLOOKUP(IF(Table27[[#This Row],[At]]="Home",Table27[[#This Row],[Opponent]],RIGHT(Table27[[#This Row],[Opponent]],LEN(Table27[[#This Row],[Opponent]])-1)),CHOOSE({1,2},[1]StandingsRAW!$J$1:$J$22,[1]StandingsRAW!$L$1:$L$22),2,FALSE)</f>
        <v>BIS</v>
      </c>
      <c r="J100" s="33">
        <f>VLOOKUP(Table27[[#This Row],[OPP]],Raw!$L$2:$S$23,7,FALSE)-Raw!$U$2</f>
        <v>-1.915084759003203</v>
      </c>
    </row>
    <row r="101" spans="1:10" x14ac:dyDescent="0.25">
      <c r="A101" t="s">
        <v>510</v>
      </c>
      <c r="B101" t="s">
        <v>203</v>
      </c>
      <c r="C101" t="s">
        <v>316</v>
      </c>
      <c r="D101" t="str">
        <f>IF(LEFT(STC!$B101,1)="@","Away","Home")</f>
        <v>Away</v>
      </c>
      <c r="E101" s="1">
        <f>_xlfn.NUMBERVALUE(MID(LEFT(STC!$C101,FIND("-",STC!$C101)-1),FIND(" ",STC!$C101)+1,LEN(STC!$C101)))</f>
        <v>9</v>
      </c>
      <c r="F101" s="3">
        <f>_xlfn.NUMBERVALUE(RIGHT(STC!$C101,LEN(STC!$C101)-FIND("-",STC!$C101)))</f>
        <v>6</v>
      </c>
      <c r="G101" s="3">
        <f t="shared" si="15"/>
        <v>15</v>
      </c>
      <c r="H101" s="87" t="str">
        <f>LEFT(STC!$C101,1)</f>
        <v>W</v>
      </c>
      <c r="I101" s="17" t="str">
        <f>VLOOKUP(IF(Table27[[#This Row],[At]]="Home",Table27[[#This Row],[Opponent]],RIGHT(Table27[[#This Row],[Opponent]],LEN(Table27[[#This Row],[Opponent]])-1)),CHOOSE({1,2},[1]StandingsRAW!$J$1:$J$22,[1]StandingsRAW!$L$1:$L$22),2,FALSE)</f>
        <v>BIS</v>
      </c>
      <c r="J101" s="33">
        <f>VLOOKUP(Table27[[#This Row],[OPP]],Raw!$L$2:$S$23,7,FALSE)-Raw!$U$2</f>
        <v>-1.915084759003203</v>
      </c>
    </row>
    <row r="102" spans="1:10" x14ac:dyDescent="0.25">
      <c r="A102" s="32" t="s">
        <v>515</v>
      </c>
      <c r="B102" s="32" t="s">
        <v>235</v>
      </c>
      <c r="C102" s="32" t="s">
        <v>270</v>
      </c>
      <c r="D102" s="32" t="str">
        <f>IF(LEFT(STC!$B102,1)="@","Away","Home")</f>
        <v>Home</v>
      </c>
      <c r="E102" s="64">
        <f>_xlfn.NUMBERVALUE(MID(LEFT(STC!$C102,FIND("-",STC!$C102)-1),FIND(" ",STC!$C102)+1,LEN(STC!$C102)))</f>
        <v>4</v>
      </c>
      <c r="F102" s="65">
        <f>_xlfn.NUMBERVALUE(RIGHT(STC!$C102,LEN(STC!$C102)-FIND("-",STC!$C102)))</f>
        <v>3</v>
      </c>
      <c r="G102" s="65">
        <f>E102+F102</f>
        <v>7</v>
      </c>
      <c r="H102" s="66" t="str">
        <f>LEFT(STC!$C102,1)</f>
        <v>W</v>
      </c>
      <c r="I102" s="17" t="str">
        <f>VLOOKUP(IF(Table27[[#This Row],[At]]="Home",Table27[[#This Row],[Opponent]],RIGHT(Table27[[#This Row],[Opponent]],LEN(Table27[[#This Row],[Opponent]])-1)),CHOOSE({1,2},[1]StandingsRAW!$J$1:$J$22,[1]StandingsRAW!$L$1:$L$22),2,FALSE)</f>
        <v>EC</v>
      </c>
      <c r="J102" s="33">
        <f>VLOOKUP(Table27[[#This Row],[OPP]],Raw!$L$2:$S$23,7,FALSE)-Raw!$U$2</f>
        <v>1.1143270057026795</v>
      </c>
    </row>
    <row r="103" spans="1:10" x14ac:dyDescent="0.25">
      <c r="A103" s="32" t="s">
        <v>518</v>
      </c>
      <c r="B103" s="32" t="s">
        <v>235</v>
      </c>
      <c r="C103" s="32" t="s">
        <v>267</v>
      </c>
      <c r="D103" s="32" t="str">
        <f>IF(LEFT(STC!$B103,1)="@","Away","Home")</f>
        <v>Home</v>
      </c>
      <c r="E103" s="64">
        <f>_xlfn.NUMBERVALUE(MID(LEFT(STC!$C103,FIND("-",STC!$C103)-1),FIND(" ",STC!$C103)+1,LEN(STC!$C103)))</f>
        <v>8</v>
      </c>
      <c r="F103" s="65">
        <f>_xlfn.NUMBERVALUE(RIGHT(STC!$C103,LEN(STC!$C103)-FIND("-",STC!$C103)))</f>
        <v>7</v>
      </c>
      <c r="G103" s="65">
        <f t="shared" ref="G103:G106" si="16">E103+F103</f>
        <v>15</v>
      </c>
      <c r="H103" s="66" t="str">
        <f>LEFT(STC!$C103,1)</f>
        <v>W</v>
      </c>
      <c r="I103" s="17" t="str">
        <f>VLOOKUP(IF(Table27[[#This Row],[At]]="Home",Table27[[#This Row],[Opponent]],RIGHT(Table27[[#This Row],[Opponent]],LEN(Table27[[#This Row],[Opponent]])-1)),CHOOSE({1,2},[1]StandingsRAW!$J$1:$J$22,[1]StandingsRAW!$L$1:$L$22),2,FALSE)</f>
        <v>EC</v>
      </c>
      <c r="J103" s="33">
        <f>VLOOKUP(Table27[[#This Row],[OPP]],Raw!$L$2:$S$23,7,FALSE)-Raw!$U$2</f>
        <v>1.1143270057026795</v>
      </c>
    </row>
    <row r="104" spans="1:10" x14ac:dyDescent="0.25">
      <c r="A104" t="s">
        <v>519</v>
      </c>
      <c r="B104" t="s">
        <v>194</v>
      </c>
      <c r="C104" t="s">
        <v>48</v>
      </c>
      <c r="D104" t="str">
        <f>IF(LEFT(STC!$B104,1)="@","Away","Home")</f>
        <v>Away</v>
      </c>
      <c r="E104" s="1">
        <f>_xlfn.NUMBERVALUE(MID(LEFT(STC!$C104,FIND("-",STC!$C104)-1),FIND(" ",STC!$C104)+1,LEN(STC!$C104)))</f>
        <v>4</v>
      </c>
      <c r="F104" s="3">
        <f>_xlfn.NUMBERVALUE(RIGHT(STC!$C104,LEN(STC!$C104)-FIND("-",STC!$C104)))</f>
        <v>5</v>
      </c>
      <c r="G104" s="3">
        <f t="shared" si="16"/>
        <v>9</v>
      </c>
      <c r="H104" s="87" t="str">
        <f>LEFT(STC!$C104,1)</f>
        <v>L</v>
      </c>
      <c r="I104" s="17" t="str">
        <f>VLOOKUP(IF(Table27[[#This Row],[At]]="Home",Table27[[#This Row],[Opponent]],RIGHT(Table27[[#This Row],[Opponent]],LEN(Table27[[#This Row],[Opponent]])-1)),CHOOSE({1,2},[1]StandingsRAW!$J$1:$J$22,[1]StandingsRAW!$L$1:$L$22),2,FALSE)</f>
        <v>EC</v>
      </c>
      <c r="J104" s="33">
        <f>VLOOKUP(Table27[[#This Row],[OPP]],Raw!$L$2:$S$23,7,FALSE)-Raw!$U$2</f>
        <v>1.1143270057026795</v>
      </c>
    </row>
    <row r="105" spans="1:10" x14ac:dyDescent="0.25">
      <c r="A105" t="s">
        <v>520</v>
      </c>
      <c r="B105" t="s">
        <v>194</v>
      </c>
      <c r="C105" t="s">
        <v>18</v>
      </c>
      <c r="D105" t="str">
        <f>IF(LEFT(STC!$B105,1)="@","Away","Home")</f>
        <v>Away</v>
      </c>
      <c r="E105" s="1">
        <f>_xlfn.NUMBERVALUE(MID(LEFT(STC!$C105,FIND("-",STC!$C105)-1),FIND(" ",STC!$C105)+1,LEN(STC!$C105)))</f>
        <v>8</v>
      </c>
      <c r="F105" s="3">
        <f>_xlfn.NUMBERVALUE(RIGHT(STC!$C105,LEN(STC!$C105)-FIND("-",STC!$C105)))</f>
        <v>9</v>
      </c>
      <c r="G105" s="3">
        <f t="shared" si="16"/>
        <v>17</v>
      </c>
      <c r="H105" s="87" t="str">
        <f>LEFT(STC!$C105,1)</f>
        <v>L</v>
      </c>
      <c r="I105" s="17" t="str">
        <f>VLOOKUP(IF(Table27[[#This Row],[At]]="Home",Table27[[#This Row],[Opponent]],RIGHT(Table27[[#This Row],[Opponent]],LEN(Table27[[#This Row],[Opponent]])-1)),CHOOSE({1,2},[1]StandingsRAW!$J$1:$J$22,[1]StandingsRAW!$L$1:$L$22),2,FALSE)</f>
        <v>EC</v>
      </c>
      <c r="J105" s="33">
        <f>VLOOKUP(Table27[[#This Row],[OPP]],Raw!$L$2:$S$23,7,FALSE)-Raw!$U$2</f>
        <v>1.1143270057026795</v>
      </c>
    </row>
    <row r="106" spans="1:10" x14ac:dyDescent="0.25">
      <c r="A106" t="s">
        <v>521</v>
      </c>
      <c r="B106" t="s">
        <v>222</v>
      </c>
      <c r="C106" t="s">
        <v>366</v>
      </c>
      <c r="D106" t="str">
        <f>IF(LEFT(STC!$B106,1)="@","Away","Home")</f>
        <v>Home</v>
      </c>
      <c r="E106" s="1">
        <f>_xlfn.NUMBERVALUE(MID(LEFT(STC!$C106,FIND("-",STC!$C106)-1),FIND(" ",STC!$C106)+1,LEN(STC!$C106)))</f>
        <v>10</v>
      </c>
      <c r="F106" s="3">
        <f>_xlfn.NUMBERVALUE(RIGHT(STC!$C106,LEN(STC!$C106)-FIND("-",STC!$C106)))</f>
        <v>0</v>
      </c>
      <c r="G106" s="3">
        <f t="shared" si="16"/>
        <v>10</v>
      </c>
      <c r="H106" s="87" t="str">
        <f>LEFT(STC!$C106,1)</f>
        <v>W</v>
      </c>
      <c r="I106" s="17" t="str">
        <f>VLOOKUP(IF(Table27[[#This Row],[At]]="Home",Table27[[#This Row],[Opponent]],RIGHT(Table27[[#This Row],[Opponent]],LEN(Table27[[#This Row],[Opponent]])-1)),CHOOSE({1,2},[1]StandingsRAW!$J$1:$J$22,[1]StandingsRAW!$L$1:$L$22),2,FALSE)</f>
        <v>WIL</v>
      </c>
      <c r="J106" s="33">
        <f>VLOOKUP(Table27[[#This Row],[OPP]],Raw!$L$2:$S$23,7,FALSE)-Raw!$U$2</f>
        <v>3.0407975939379734</v>
      </c>
    </row>
    <row r="107" spans="1:10" x14ac:dyDescent="0.25">
      <c r="A107" s="32" t="s">
        <v>524</v>
      </c>
      <c r="B107" s="32" t="s">
        <v>211</v>
      </c>
      <c r="C107" s="32" t="s">
        <v>116</v>
      </c>
      <c r="D107" s="32" t="str">
        <f>IF(LEFT(STC!$B107,1)="@","Away","Home")</f>
        <v>Away</v>
      </c>
      <c r="E107" s="64">
        <f>_xlfn.NUMBERVALUE(MID(LEFT(STC!$C107,FIND("-",STC!$C107)-1),FIND(" ",STC!$C107)+1,LEN(STC!$C107)))</f>
        <v>9</v>
      </c>
      <c r="F107" s="65">
        <f>_xlfn.NUMBERVALUE(RIGHT(STC!$C107,LEN(STC!$C107)-FIND("-",STC!$C107)))</f>
        <v>3</v>
      </c>
      <c r="G107" s="65">
        <f t="shared" ref="G107:G113" si="17">E107+F107</f>
        <v>12</v>
      </c>
      <c r="H107" s="66" t="str">
        <f>LEFT(STC!$C107,1)</f>
        <v>W</v>
      </c>
      <c r="I107" s="17" t="str">
        <f>VLOOKUP(IF(Table27[[#This Row],[At]]="Home",Table27[[#This Row],[Opponent]],RIGHT(Table27[[#This Row],[Opponent]],LEN(Table27[[#This Row],[Opponent]])-1)),CHOOSE({1,2},[1]StandingsRAW!$J$1:$J$22,[1]StandingsRAW!$L$1:$L$22),2,FALSE)</f>
        <v>WIL</v>
      </c>
      <c r="J107" s="33">
        <f>VLOOKUP(Table27[[#This Row],[OPP]],Raw!$L$2:$S$23,7,FALSE)-Raw!$U$2</f>
        <v>3.0407975939379734</v>
      </c>
    </row>
    <row r="108" spans="1:10" x14ac:dyDescent="0.25">
      <c r="A108" t="s">
        <v>525</v>
      </c>
      <c r="B108" t="s">
        <v>210</v>
      </c>
      <c r="C108" t="s">
        <v>384</v>
      </c>
      <c r="D108" t="str">
        <f>IF(LEFT(STC!$B108,1)="@","Away","Home")</f>
        <v>Away</v>
      </c>
      <c r="E108" s="1">
        <f>_xlfn.NUMBERVALUE(MID(LEFT(STC!$C108,FIND("-",STC!$C108)-1),FIND(" ",STC!$C108)+1,LEN(STC!$C108)))</f>
        <v>7</v>
      </c>
      <c r="F108" s="3">
        <f>_xlfn.NUMBERVALUE(RIGHT(STC!$C108,LEN(STC!$C108)-FIND("-",STC!$C108)))</f>
        <v>5</v>
      </c>
      <c r="G108" s="3">
        <f t="shared" si="17"/>
        <v>12</v>
      </c>
      <c r="H108" s="87" t="str">
        <f>LEFT(STC!$C108,1)</f>
        <v>W</v>
      </c>
      <c r="I108" s="17" t="str">
        <f>VLOOKUP(IF(Table27[[#This Row],[At]]="Home",Table27[[#This Row],[Opponent]],RIGHT(Table27[[#This Row],[Opponent]],LEN(Table27[[#This Row],[Opponent]])-1)),CHOOSE({1,2},[1]StandingsRAW!$J$1:$J$22,[1]StandingsRAW!$L$1:$L$22),2,FALSE)</f>
        <v>ROC</v>
      </c>
      <c r="J108" s="33">
        <f>VLOOKUP(Table27[[#This Row],[OPP]],Raw!$L$2:$S$23,7,FALSE)-Raw!$U$2</f>
        <v>-0.20920240606202639</v>
      </c>
    </row>
    <row r="109" spans="1:10" x14ac:dyDescent="0.25">
      <c r="A109" t="s">
        <v>526</v>
      </c>
      <c r="B109" t="s">
        <v>210</v>
      </c>
      <c r="C109" t="s">
        <v>244</v>
      </c>
      <c r="D109" t="str">
        <f>IF(LEFT(STC!$B109,1)="@","Away","Home")</f>
        <v>Away</v>
      </c>
      <c r="E109" s="1">
        <f>_xlfn.NUMBERVALUE(MID(LEFT(STC!$C109,FIND("-",STC!$C109)-1),FIND(" ",STC!$C109)+1,LEN(STC!$C109)))</f>
        <v>6</v>
      </c>
      <c r="F109" s="3">
        <f>_xlfn.NUMBERVALUE(RIGHT(STC!$C109,LEN(STC!$C109)-FIND("-",STC!$C109)))</f>
        <v>3</v>
      </c>
      <c r="G109" s="3">
        <f t="shared" si="17"/>
        <v>9</v>
      </c>
      <c r="H109" s="87" t="str">
        <f>LEFT(STC!$C109,1)</f>
        <v>W</v>
      </c>
      <c r="I109" s="17" t="str">
        <f>VLOOKUP(IF(Table27[[#This Row],[At]]="Home",Table27[[#This Row],[Opponent]],RIGHT(Table27[[#This Row],[Opponent]],LEN(Table27[[#This Row],[Opponent]])-1)),CHOOSE({1,2},[1]StandingsRAW!$J$1:$J$22,[1]StandingsRAW!$L$1:$L$22),2,FALSE)</f>
        <v>ROC</v>
      </c>
      <c r="J109" s="33">
        <f>VLOOKUP(Table27[[#This Row],[OPP]],Raw!$L$2:$S$23,7,FALSE)-Raw!$U$2</f>
        <v>-0.20920240606202639</v>
      </c>
    </row>
    <row r="110" spans="1:10" x14ac:dyDescent="0.25">
      <c r="A110" t="s">
        <v>527</v>
      </c>
      <c r="B110" t="s">
        <v>198</v>
      </c>
      <c r="C110" t="s">
        <v>85</v>
      </c>
      <c r="D110" t="str">
        <f>IF(LEFT(STC!$B110,1)="@","Away","Home")</f>
        <v>Away</v>
      </c>
      <c r="E110" s="1">
        <f>_xlfn.NUMBERVALUE(MID(LEFT(STC!$C110,FIND("-",STC!$C110)-1),FIND(" ",STC!$C110)+1,LEN(STC!$C110)))</f>
        <v>5</v>
      </c>
      <c r="F110" s="3">
        <f>_xlfn.NUMBERVALUE(RIGHT(STC!$C110,LEN(STC!$C110)-FIND("-",STC!$C110)))</f>
        <v>3</v>
      </c>
      <c r="G110" s="3">
        <f t="shared" si="17"/>
        <v>8</v>
      </c>
      <c r="H110" s="87" t="str">
        <f>LEFT(STC!$C110,1)</f>
        <v>W</v>
      </c>
      <c r="I110" s="17" t="str">
        <f>VLOOKUP(IF(Table27[[#This Row],[At]]="Home",Table27[[#This Row],[Opponent]],RIGHT(Table27[[#This Row],[Opponent]],LEN(Table27[[#This Row],[Opponent]])-1)),CHOOSE({1,2},[1]StandingsRAW!$J$1:$J$22,[1]StandingsRAW!$L$1:$L$22),2,FALSE)</f>
        <v>DUL</v>
      </c>
      <c r="J110" s="33">
        <f>VLOOKUP(Table27[[#This Row],[OPP]],Raw!$L$2:$S$23,7,FALSE)-Raw!$U$2</f>
        <v>-0.37645438147905891</v>
      </c>
    </row>
    <row r="111" spans="1:10" x14ac:dyDescent="0.25">
      <c r="A111" t="s">
        <v>528</v>
      </c>
      <c r="B111" t="s">
        <v>198</v>
      </c>
      <c r="C111" t="s">
        <v>28</v>
      </c>
      <c r="D111" t="str">
        <f>IF(LEFT(STC!$B111,1)="@","Away","Home")</f>
        <v>Away</v>
      </c>
      <c r="E111" s="1">
        <f>_xlfn.NUMBERVALUE(MID(LEFT(STC!$C111,FIND("-",STC!$C111)-1),FIND(" ",STC!$C111)+1,LEN(STC!$C111)))</f>
        <v>4</v>
      </c>
      <c r="F111" s="3">
        <f>_xlfn.NUMBERVALUE(RIGHT(STC!$C111,LEN(STC!$C111)-FIND("-",STC!$C111)))</f>
        <v>2</v>
      </c>
      <c r="G111" s="3">
        <f t="shared" si="17"/>
        <v>6</v>
      </c>
      <c r="H111" s="87" t="str">
        <f>LEFT(STC!$C111,1)</f>
        <v>W</v>
      </c>
      <c r="I111" s="17" t="str">
        <f>VLOOKUP(IF(Table27[[#This Row],[At]]="Home",Table27[[#This Row],[Opponent]],RIGHT(Table27[[#This Row],[Opponent]],LEN(Table27[[#This Row],[Opponent]])-1)),CHOOSE({1,2},[1]StandingsRAW!$J$1:$J$22,[1]StandingsRAW!$L$1:$L$22),2,FALSE)</f>
        <v>DUL</v>
      </c>
      <c r="J111" s="33">
        <f>VLOOKUP(Table27[[#This Row],[OPP]],Raw!$L$2:$S$23,7,FALSE)-Raw!$U$2</f>
        <v>-0.37645438147905891</v>
      </c>
    </row>
    <row r="112" spans="1:10" x14ac:dyDescent="0.25">
      <c r="A112" t="s">
        <v>529</v>
      </c>
      <c r="B112" t="s">
        <v>231</v>
      </c>
      <c r="C112" t="s">
        <v>270</v>
      </c>
      <c r="D112" t="str">
        <f>IF(LEFT(STC!$B112,1)="@","Away","Home")</f>
        <v>Home</v>
      </c>
      <c r="E112" s="1">
        <f>_xlfn.NUMBERVALUE(MID(LEFT(STC!$C112,FIND("-",STC!$C112)-1),FIND(" ",STC!$C112)+1,LEN(STC!$C112)))</f>
        <v>4</v>
      </c>
      <c r="F112" s="3">
        <f>_xlfn.NUMBERVALUE(RIGHT(STC!$C112,LEN(STC!$C112)-FIND("-",STC!$C112)))</f>
        <v>3</v>
      </c>
      <c r="G112" s="3">
        <f t="shared" si="17"/>
        <v>7</v>
      </c>
      <c r="H112" s="87" t="str">
        <f>LEFT(STC!$C112,1)</f>
        <v>W</v>
      </c>
      <c r="I112" s="17" t="str">
        <f>VLOOKUP(IF(Table27[[#This Row],[At]]="Home",Table27[[#This Row],[Opponent]],RIGHT(Table27[[#This Row],[Opponent]],LEN(Table27[[#This Row],[Opponent]])-1)),CHOOSE({1,2},[1]StandingsRAW!$J$1:$J$22,[1]StandingsRAW!$L$1:$L$22),2,FALSE)</f>
        <v>LAC</v>
      </c>
      <c r="J112" s="33">
        <f>VLOOKUP(Table27[[#This Row],[OPP]],Raw!$L$2:$S$23,7,FALSE)-Raw!$U$2</f>
        <v>-0.25332005312084993</v>
      </c>
    </row>
    <row r="113" spans="1:10" x14ac:dyDescent="0.25">
      <c r="A113" t="s">
        <v>530</v>
      </c>
      <c r="B113" t="s">
        <v>231</v>
      </c>
      <c r="C113" t="s">
        <v>38</v>
      </c>
      <c r="D113" t="str">
        <f>IF(LEFT(STC!$B113,1)="@","Away","Home")</f>
        <v>Home</v>
      </c>
      <c r="E113" s="1">
        <f>_xlfn.NUMBERVALUE(MID(LEFT(STC!$C113,FIND("-",STC!$C113)-1),FIND(" ",STC!$C113)+1,LEN(STC!$C113)))</f>
        <v>3</v>
      </c>
      <c r="F113" s="3">
        <f>_xlfn.NUMBERVALUE(RIGHT(STC!$C113,LEN(STC!$C113)-FIND("-",STC!$C113)))</f>
        <v>5</v>
      </c>
      <c r="G113" s="3">
        <f t="shared" si="17"/>
        <v>8</v>
      </c>
      <c r="H113" s="87" t="str">
        <f>LEFT(STC!$C113,1)</f>
        <v>L</v>
      </c>
      <c r="I113" s="17" t="str">
        <f>VLOOKUP(IF(Table27[[#This Row],[At]]="Home",Table27[[#This Row],[Opponent]],RIGHT(Table27[[#This Row],[Opponent]],LEN(Table27[[#This Row],[Opponent]])-1)),CHOOSE({1,2},[1]StandingsRAW!$J$1:$J$22,[1]StandingsRAW!$L$1:$L$22),2,FALSE)</f>
        <v>LAC</v>
      </c>
      <c r="J113" s="33">
        <f>VLOOKUP(Table27[[#This Row],[OPP]],Raw!$L$2:$S$23,7,FALSE)-Raw!$U$2</f>
        <v>-0.25332005312084993</v>
      </c>
    </row>
    <row r="114" spans="1:10" x14ac:dyDescent="0.25">
      <c r="A114" s="32" t="s">
        <v>541</v>
      </c>
      <c r="B114" s="32" t="s">
        <v>194</v>
      </c>
      <c r="C114" s="32" t="s">
        <v>197</v>
      </c>
      <c r="D114" s="32" t="str">
        <f>IF(LEFT(STC!$B114,1)="@","Away","Home")</f>
        <v>Away</v>
      </c>
      <c r="E114" s="64">
        <f>_xlfn.NUMBERVALUE(MID(LEFT(STC!$C114,FIND("-",STC!$C114)-1),FIND(" ",STC!$C114)+1,LEN(STC!$C114)))</f>
        <v>0</v>
      </c>
      <c r="F114" s="65">
        <f>_xlfn.NUMBERVALUE(RIGHT(STC!$C114,LEN(STC!$C114)-FIND("-",STC!$C114)))</f>
        <v>1</v>
      </c>
      <c r="G114" s="65">
        <f>E114+F114</f>
        <v>1</v>
      </c>
      <c r="H114" s="66" t="str">
        <f>LEFT(STC!$C114,1)</f>
        <v>L</v>
      </c>
      <c r="I114" s="17" t="str">
        <f>VLOOKUP(IF(Table27[[#This Row],[At]]="Home",Table27[[#This Row],[Opponent]],RIGHT(Table27[[#This Row],[Opponent]],LEN(Table27[[#This Row],[Opponent]])-1)),CHOOSE({1,2},[1]StandingsRAW!$J$1:$J$22,[1]StandingsRAW!$L$1:$L$22),2,FALSE)</f>
        <v>EC</v>
      </c>
      <c r="J114" s="33">
        <f>VLOOKUP(Table27[[#This Row],[OPP]],Raw!$L$2:$S$23,7,FALSE)-Raw!$U$2</f>
        <v>1.1143270057026795</v>
      </c>
    </row>
    <row r="115" spans="1:10" x14ac:dyDescent="0.25">
      <c r="A115" s="32" t="s">
        <v>542</v>
      </c>
      <c r="B115" s="32" t="s">
        <v>194</v>
      </c>
      <c r="C115" s="32" t="s">
        <v>279</v>
      </c>
      <c r="D115" s="32" t="str">
        <f>IF(LEFT(STC!$B115,1)="@","Away","Home")</f>
        <v>Away</v>
      </c>
      <c r="E115" s="64">
        <f>_xlfn.NUMBERVALUE(MID(LEFT(STC!$C115,FIND("-",STC!$C115)-1),FIND(" ",STC!$C115)+1,LEN(STC!$C115)))</f>
        <v>7</v>
      </c>
      <c r="F115" s="65">
        <f>_xlfn.NUMBERVALUE(RIGHT(STC!$C115,LEN(STC!$C115)-FIND("-",STC!$C115)))</f>
        <v>2</v>
      </c>
      <c r="G115" s="65">
        <f>E115+F115</f>
        <v>9</v>
      </c>
      <c r="H115" s="66" t="str">
        <f>LEFT(STC!$C115,1)</f>
        <v>W</v>
      </c>
      <c r="I115" s="17" t="str">
        <f>VLOOKUP(IF(Table27[[#This Row],[At]]="Home",Table27[[#This Row],[Opponent]],RIGHT(Table27[[#This Row],[Opponent]],LEN(Table27[[#This Row],[Opponent]])-1)),CHOOSE({1,2},[1]StandingsRAW!$J$1:$J$22,[1]StandingsRAW!$L$1:$L$22),2,FALSE)</f>
        <v>EC</v>
      </c>
      <c r="J115" s="33">
        <f>VLOOKUP(Table27[[#This Row],[OPP]],Raw!$L$2:$S$23,7,FALSE)-Raw!$U$2</f>
        <v>1.1143270057026795</v>
      </c>
    </row>
    <row r="116" spans="1:10" x14ac:dyDescent="0.25">
      <c r="A116" s="32" t="s">
        <v>543</v>
      </c>
      <c r="B116" s="32" t="s">
        <v>263</v>
      </c>
      <c r="C116" s="32" t="s">
        <v>212</v>
      </c>
      <c r="D116" s="32" t="str">
        <f>IF(LEFT(STC!$B116,1)="@","Away","Home")</f>
        <v>Home</v>
      </c>
      <c r="E116" s="64">
        <f>_xlfn.NUMBERVALUE(MID(LEFT(STC!$C116,FIND("-",STC!$C116)-1),FIND(" ",STC!$C116)+1,LEN(STC!$C116)))</f>
        <v>6</v>
      </c>
      <c r="F116" s="65">
        <f>_xlfn.NUMBERVALUE(RIGHT(STC!$C116,LEN(STC!$C116)-FIND("-",STC!$C116)))</f>
        <v>10</v>
      </c>
      <c r="G116" s="65">
        <f>E116+F116</f>
        <v>16</v>
      </c>
      <c r="H116" s="66" t="str">
        <f>LEFT(STC!$C116,1)</f>
        <v>L</v>
      </c>
      <c r="I116" s="17" t="str">
        <f>VLOOKUP(IF(Table27[[#This Row],[At]]="Home",Table27[[#This Row],[Opponent]],RIGHT(Table27[[#This Row],[Opponent]],LEN(Table27[[#This Row],[Opponent]])-1)),CHOOSE({1,2},[1]StandingsRAW!$J$1:$J$22,[1]StandingsRAW!$L$1:$L$22),2,FALSE)</f>
        <v>ROC</v>
      </c>
      <c r="J116" s="33">
        <f>VLOOKUP(Table27[[#This Row],[OPP]],Raw!$L$2:$S$23,7,FALSE)-Raw!$U$2</f>
        <v>-0.20920240606202639</v>
      </c>
    </row>
    <row r="117" spans="1:10" x14ac:dyDescent="0.25">
      <c r="A117" s="32" t="s">
        <v>546</v>
      </c>
      <c r="B117" s="32" t="s">
        <v>263</v>
      </c>
      <c r="C117" s="32" t="s">
        <v>318</v>
      </c>
      <c r="D117" s="32" t="str">
        <f>IF(LEFT(STC!$B117,1)="@","Away","Home")</f>
        <v>Home</v>
      </c>
      <c r="E117" s="64">
        <f>_xlfn.NUMBERVALUE(MID(LEFT(STC!$C117,FIND("-",STC!$C117)-1),FIND(" ",STC!$C117)+1,LEN(STC!$C117)))</f>
        <v>11</v>
      </c>
      <c r="F117" s="65">
        <f>_xlfn.NUMBERVALUE(RIGHT(STC!$C117,LEN(STC!$C117)-FIND("-",STC!$C117)))</f>
        <v>4</v>
      </c>
      <c r="G117" s="65">
        <f>E117+F117</f>
        <v>15</v>
      </c>
      <c r="H117" s="66" t="str">
        <f>LEFT(STC!$C117,1)</f>
        <v>W</v>
      </c>
      <c r="I117" s="17" t="str">
        <f>VLOOKUP(IF(Table27[[#This Row],[At]]="Home",Table27[[#This Row],[Opponent]],RIGHT(Table27[[#This Row],[Opponent]],LEN(Table27[[#This Row],[Opponent]])-1)),CHOOSE({1,2},[1]StandingsRAW!$J$1:$J$22,[1]StandingsRAW!$L$1:$L$22),2,FALSE)</f>
        <v>ROC</v>
      </c>
      <c r="J117" s="33">
        <f>VLOOKUP(Table27[[#This Row],[OPP]],Raw!$L$2:$S$23,7,FALSE)-Raw!$U$2</f>
        <v>-0.20920240606202639</v>
      </c>
    </row>
    <row r="118" spans="1:10" x14ac:dyDescent="0.25">
      <c r="A118" s="32" t="s">
        <v>549</v>
      </c>
      <c r="B118" s="32" t="s">
        <v>278</v>
      </c>
      <c r="C118" s="32" t="s">
        <v>419</v>
      </c>
      <c r="D118" s="32" t="str">
        <f>IF(LEFT(STC!$B118,1)="@","Away","Home")</f>
        <v>Home</v>
      </c>
      <c r="E118" s="64">
        <f>_xlfn.NUMBERVALUE(MID(LEFT(STC!$C118,FIND("-",STC!$C118)-1),FIND(" ",STC!$C118)+1,LEN(STC!$C118)))</f>
        <v>4</v>
      </c>
      <c r="F118" s="65">
        <f>_xlfn.NUMBERVALUE(RIGHT(STC!$C118,LEN(STC!$C118)-FIND("-",STC!$C118)))</f>
        <v>14</v>
      </c>
      <c r="G118" s="65">
        <f t="shared" ref="G118:G121" si="18">E118+F118</f>
        <v>18</v>
      </c>
      <c r="H118" s="66" t="str">
        <f>LEFT(STC!$C118,1)</f>
        <v>L</v>
      </c>
      <c r="I118" s="17" t="str">
        <f>VLOOKUP(IF(Table27[[#This Row],[At]]="Home",Table27[[#This Row],[Opponent]],RIGHT(Table27[[#This Row],[Opponent]],LEN(Table27[[#This Row],[Opponent]])-1)),CHOOSE({1,2},[1]StandingsRAW!$J$1:$J$22,[1]StandingsRAW!$L$1:$L$22),2,FALSE)</f>
        <v>BIS</v>
      </c>
      <c r="J118" s="33">
        <f>VLOOKUP(Table27[[#This Row],[OPP]],Raw!$L$2:$S$23,7,FALSE)-Raw!$U$2</f>
        <v>-1.915084759003203</v>
      </c>
    </row>
    <row r="119" spans="1:10" x14ac:dyDescent="0.25">
      <c r="A119" t="s">
        <v>550</v>
      </c>
      <c r="B119" t="s">
        <v>278</v>
      </c>
      <c r="C119" t="s">
        <v>128</v>
      </c>
      <c r="D119" t="str">
        <f>IF(LEFT(STC!$B119,1)="@","Away","Home")</f>
        <v>Home</v>
      </c>
      <c r="E119" s="1">
        <f>_xlfn.NUMBERVALUE(MID(LEFT(STC!$C119,FIND("-",STC!$C119)-1),FIND(" ",STC!$C119)+1,LEN(STC!$C119)))</f>
        <v>6</v>
      </c>
      <c r="F119" s="3">
        <f>_xlfn.NUMBERVALUE(RIGHT(STC!$C119,LEN(STC!$C119)-FIND("-",STC!$C119)))</f>
        <v>5</v>
      </c>
      <c r="G119" s="3">
        <f t="shared" si="18"/>
        <v>11</v>
      </c>
      <c r="H119" s="87" t="str">
        <f>LEFT(STC!$C119,1)</f>
        <v>W</v>
      </c>
      <c r="I119" s="17" t="str">
        <f>VLOOKUP(IF(Table27[[#This Row],[At]]="Home",Table27[[#This Row],[Opponent]],RIGHT(Table27[[#This Row],[Opponent]],LEN(Table27[[#This Row],[Opponent]])-1)),CHOOSE({1,2},[1]StandingsRAW!$J$1:$J$22,[1]StandingsRAW!$L$1:$L$22),2,FALSE)</f>
        <v>BIS</v>
      </c>
      <c r="J119" s="33">
        <f>VLOOKUP(Table27[[#This Row],[OPP]],Raw!$L$2:$S$23,7,FALSE)-Raw!$U$2</f>
        <v>-1.915084759003203</v>
      </c>
    </row>
    <row r="120" spans="1:10" x14ac:dyDescent="0.25">
      <c r="A120" t="s">
        <v>551</v>
      </c>
      <c r="B120" t="s">
        <v>198</v>
      </c>
      <c r="C120" t="s">
        <v>298</v>
      </c>
      <c r="D120" t="str">
        <f>IF(LEFT(STC!$B120,1)="@","Away","Home")</f>
        <v>Away</v>
      </c>
      <c r="E120" s="1">
        <f>_xlfn.NUMBERVALUE(MID(LEFT(STC!$C120,FIND("-",STC!$C120)-1),FIND(" ",STC!$C120)+1,LEN(STC!$C120)))</f>
        <v>1</v>
      </c>
      <c r="F120" s="3">
        <f>_xlfn.NUMBERVALUE(RIGHT(STC!$C120,LEN(STC!$C120)-FIND("-",STC!$C120)))</f>
        <v>2</v>
      </c>
      <c r="G120" s="3">
        <f t="shared" si="18"/>
        <v>3</v>
      </c>
      <c r="H120" s="87" t="str">
        <f>LEFT(STC!$C120,1)</f>
        <v>L</v>
      </c>
      <c r="I120" s="17" t="str">
        <f>VLOOKUP(IF(Table27[[#This Row],[At]]="Home",Table27[[#This Row],[Opponent]],RIGHT(Table27[[#This Row],[Opponent]],LEN(Table27[[#This Row],[Opponent]])-1)),CHOOSE({1,2},[1]StandingsRAW!$J$1:$J$22,[1]StandingsRAW!$L$1:$L$22),2,FALSE)</f>
        <v>DUL</v>
      </c>
      <c r="J120" s="33">
        <f>VLOOKUP(Table27[[#This Row],[OPP]],Raw!$L$2:$S$23,7,FALSE)-Raw!$U$2</f>
        <v>-0.37645438147905891</v>
      </c>
    </row>
    <row r="121" spans="1:10" x14ac:dyDescent="0.25">
      <c r="A121" t="s">
        <v>552</v>
      </c>
      <c r="B121" t="s">
        <v>198</v>
      </c>
      <c r="C121" t="s">
        <v>205</v>
      </c>
      <c r="D121" t="str">
        <f>IF(LEFT(STC!$B121,1)="@","Away","Home")</f>
        <v>Away</v>
      </c>
      <c r="E121" s="1">
        <f>_xlfn.NUMBERVALUE(MID(LEFT(STC!$C121,FIND("-",STC!$C121)-1),FIND(" ",STC!$C121)+1,LEN(STC!$C121)))</f>
        <v>5</v>
      </c>
      <c r="F121" s="3">
        <f>_xlfn.NUMBERVALUE(RIGHT(STC!$C121,LEN(STC!$C121)-FIND("-",STC!$C121)))</f>
        <v>6</v>
      </c>
      <c r="G121" s="3">
        <f t="shared" si="18"/>
        <v>11</v>
      </c>
      <c r="H121" s="87" t="str">
        <f>LEFT(STC!$C121,1)</f>
        <v>L</v>
      </c>
      <c r="I121" s="17" t="str">
        <f>VLOOKUP(IF(Table27[[#This Row],[At]]="Home",Table27[[#This Row],[Opponent]],RIGHT(Table27[[#This Row],[Opponent]],LEN(Table27[[#This Row],[Opponent]])-1)),CHOOSE({1,2},[1]StandingsRAW!$J$1:$J$22,[1]StandingsRAW!$L$1:$L$22),2,FALSE)</f>
        <v>DUL</v>
      </c>
      <c r="J121" s="33">
        <f>VLOOKUP(Table27[[#This Row],[OPP]],Raw!$L$2:$S$23,7,FALSE)-Raw!$U$2</f>
        <v>-0.37645438147905891</v>
      </c>
    </row>
    <row r="122" spans="1:10" x14ac:dyDescent="0.25">
      <c r="A122" s="32" t="s">
        <v>555</v>
      </c>
      <c r="B122" s="32" t="s">
        <v>225</v>
      </c>
      <c r="C122" s="32" t="s">
        <v>85</v>
      </c>
      <c r="D122" s="32" t="str">
        <f>IF(LEFT(STC!$B122,1)="@","Away","Home")</f>
        <v>Home</v>
      </c>
      <c r="E122" s="64">
        <f>_xlfn.NUMBERVALUE(MID(LEFT(STC!$C122,FIND("-",STC!$C122)-1),FIND(" ",STC!$C122)+1,LEN(STC!$C122)))</f>
        <v>5</v>
      </c>
      <c r="F122" s="65">
        <f>_xlfn.NUMBERVALUE(RIGHT(STC!$C122,LEN(STC!$C122)-FIND("-",STC!$C122)))</f>
        <v>3</v>
      </c>
      <c r="G122" s="65">
        <f>E122+F122</f>
        <v>8</v>
      </c>
      <c r="H122" s="66" t="str">
        <f>LEFT(STC!$C122,1)</f>
        <v>W</v>
      </c>
      <c r="I122" s="17" t="str">
        <f>VLOOKUP(IF(Table27[[#This Row],[At]]="Home",Table27[[#This Row],[Opponent]],RIGHT(Table27[[#This Row],[Opponent]],LEN(Table27[[#This Row],[Opponent]])-1)),CHOOSE({1,2},[1]StandingsRAW!$J$1:$J$22,[1]StandingsRAW!$L$1:$L$22),2,FALSE)</f>
        <v>DUL</v>
      </c>
      <c r="J122" s="33">
        <f>VLOOKUP(Table27[[#This Row],[OPP]],Raw!$L$2:$S$23,7,FALSE)-Raw!$U$2</f>
        <v>-0.37645438147905891</v>
      </c>
    </row>
    <row r="123" spans="1:10" x14ac:dyDescent="0.25">
      <c r="A123" s="32" t="s">
        <v>557</v>
      </c>
      <c r="B123" s="32" t="s">
        <v>225</v>
      </c>
      <c r="C123" s="32" t="s">
        <v>85</v>
      </c>
      <c r="D123" s="32" t="str">
        <f>IF(LEFT(STC!$B123,1)="@","Away","Home")</f>
        <v>Home</v>
      </c>
      <c r="E123" s="64">
        <f>_xlfn.NUMBERVALUE(MID(LEFT(STC!$C123,FIND("-",STC!$C123)-1),FIND(" ",STC!$C123)+1,LEN(STC!$C123)))</f>
        <v>5</v>
      </c>
      <c r="F123" s="65">
        <f>_xlfn.NUMBERVALUE(RIGHT(STC!$C123,LEN(STC!$C123)-FIND("-",STC!$C123)))</f>
        <v>3</v>
      </c>
      <c r="G123" s="65">
        <f>E123+F123</f>
        <v>8</v>
      </c>
      <c r="H123" s="66" t="str">
        <f>LEFT(STC!$C123,1)</f>
        <v>W</v>
      </c>
      <c r="I123" s="17" t="str">
        <f>VLOOKUP(IF(Table27[[#This Row],[At]]="Home",Table27[[#This Row],[Opponent]],RIGHT(Table27[[#This Row],[Opponent]],LEN(Table27[[#This Row],[Opponent]])-1)),CHOOSE({1,2},[1]StandingsRAW!$J$1:$J$22,[1]StandingsRAW!$L$1:$L$22),2,FALSE)</f>
        <v>DUL</v>
      </c>
      <c r="J123" s="33">
        <f>VLOOKUP(Table27[[#This Row],[OPP]],Raw!$L$2:$S$23,7,FALSE)-Raw!$U$2</f>
        <v>-0.37645438147905891</v>
      </c>
    </row>
    <row r="124" spans="1:10" x14ac:dyDescent="0.25">
      <c r="A124" s="32" t="s">
        <v>558</v>
      </c>
      <c r="B124" s="32" t="s">
        <v>263</v>
      </c>
      <c r="C124" s="32" t="s">
        <v>347</v>
      </c>
      <c r="D124" s="32" t="str">
        <f>IF(LEFT(STC!$B124,1)="@","Away","Home")</f>
        <v>Home</v>
      </c>
      <c r="E124" s="64">
        <f>_xlfn.NUMBERVALUE(MID(LEFT(STC!$C124,FIND("-",STC!$C124)-1),FIND(" ",STC!$C124)+1,LEN(STC!$C124)))</f>
        <v>9</v>
      </c>
      <c r="F124" s="65">
        <f>_xlfn.NUMBERVALUE(RIGHT(STC!$C124,LEN(STC!$C124)-FIND("-",STC!$C124)))</f>
        <v>5</v>
      </c>
      <c r="G124" s="65">
        <f t="shared" ref="G124:G125" si="19">E124+F124</f>
        <v>14</v>
      </c>
      <c r="H124" s="66" t="str">
        <f>LEFT(STC!$C124,1)</f>
        <v>W</v>
      </c>
      <c r="I124" s="17" t="str">
        <f>VLOOKUP(IF(Table27[[#This Row],[At]]="Home",Table27[[#This Row],[Opponent]],RIGHT(Table27[[#This Row],[Opponent]],LEN(Table27[[#This Row],[Opponent]])-1)),CHOOSE({1,2},[1]StandingsRAW!$J$1:$J$22,[1]StandingsRAW!$L$1:$L$22),2,FALSE)</f>
        <v>ROC</v>
      </c>
      <c r="J124" s="33">
        <f>VLOOKUP(Table27[[#This Row],[OPP]],Raw!$L$2:$S$23,7,FALSE)-Raw!$U$2</f>
        <v>-0.20920240606202639</v>
      </c>
    </row>
    <row r="125" spans="1:10" x14ac:dyDescent="0.25">
      <c r="A125" t="s">
        <v>558</v>
      </c>
      <c r="B125" t="s">
        <v>263</v>
      </c>
      <c r="C125" t="s">
        <v>46</v>
      </c>
      <c r="D125" t="str">
        <f>IF(LEFT(STC!$B125,1)="@","Away","Home")</f>
        <v>Home</v>
      </c>
      <c r="E125" s="1">
        <f>_xlfn.NUMBERVALUE(MID(LEFT(STC!$C125,FIND("-",STC!$C125)-1),FIND(" ",STC!$C125)+1,LEN(STC!$C125)))</f>
        <v>6</v>
      </c>
      <c r="F125" s="3">
        <f>_xlfn.NUMBERVALUE(RIGHT(STC!$C125,LEN(STC!$C125)-FIND("-",STC!$C125)))</f>
        <v>8</v>
      </c>
      <c r="G125" s="3">
        <f t="shared" si="19"/>
        <v>14</v>
      </c>
      <c r="H125" s="87" t="str">
        <f>LEFT(STC!$C125,1)</f>
        <v>L</v>
      </c>
      <c r="I125" s="17" t="str">
        <f>VLOOKUP(IF(Table27[[#This Row],[At]]="Home",Table27[[#This Row],[Opponent]],RIGHT(Table27[[#This Row],[Opponent]],LEN(Table27[[#This Row],[Opponent]])-1)),CHOOSE({1,2},[1]StandingsRAW!$J$1:$J$22,[1]StandingsRAW!$L$1:$L$22),2,FALSE)</f>
        <v>ROC</v>
      </c>
      <c r="J125" s="33">
        <f>VLOOKUP(Table27[[#This Row],[OPP]],Raw!$L$2:$S$23,7,FALSE)-Raw!$U$2</f>
        <v>-0.20920240606202639</v>
      </c>
    </row>
    <row r="126" spans="1:10" x14ac:dyDescent="0.25">
      <c r="A126" s="32" t="s">
        <v>563</v>
      </c>
      <c r="B126" s="32" t="s">
        <v>258</v>
      </c>
      <c r="C126" s="32" t="s">
        <v>303</v>
      </c>
      <c r="D126" s="32" t="str">
        <f>IF(LEFT(STC!$B126,1)="@","Away","Home")</f>
        <v>Home</v>
      </c>
      <c r="E126" s="64">
        <f>_xlfn.NUMBERVALUE(MID(LEFT(STC!$C126,FIND("-",STC!$C126)-1),FIND(" ",STC!$C126)+1,LEN(STC!$C126)))</f>
        <v>8</v>
      </c>
      <c r="F126" s="65">
        <f>_xlfn.NUMBERVALUE(RIGHT(STC!$C126,LEN(STC!$C126)-FIND("-",STC!$C126)))</f>
        <v>2</v>
      </c>
      <c r="G126" s="65">
        <f>E126+F126</f>
        <v>10</v>
      </c>
      <c r="H126" s="66" t="str">
        <f>LEFT(STC!$C126,1)</f>
        <v>W</v>
      </c>
      <c r="I126" s="17" t="str">
        <f>VLOOKUP(IF(Table27[[#This Row],[At]]="Home",Table27[[#This Row],[Opponent]],RIGHT(Table27[[#This Row],[Opponent]],LEN(Table27[[#This Row],[Opponent]])-1)),CHOOSE({1,2},[1]StandingsRAW!$J$1:$J$22,[1]StandingsRAW!$L$1:$L$22),2,FALSE)</f>
        <v>WAT</v>
      </c>
      <c r="J126" s="33">
        <f>VLOOKUP(Table27[[#This Row],[OPP]],Raw!$L$2:$S$23,7,FALSE)-Raw!$U$2</f>
        <v>-3.3415553472384971</v>
      </c>
    </row>
    <row r="127" spans="1:10" x14ac:dyDescent="0.25">
      <c r="A127" s="32" t="s">
        <v>564</v>
      </c>
      <c r="B127" s="32" t="s">
        <v>258</v>
      </c>
      <c r="C127" s="32" t="s">
        <v>223</v>
      </c>
      <c r="D127" s="32" t="str">
        <f>IF(LEFT(STC!$B127,1)="@","Away","Home")</f>
        <v>Home</v>
      </c>
      <c r="E127" s="64">
        <f>_xlfn.NUMBERVALUE(MID(LEFT(STC!$C127,FIND("-",STC!$C127)-1),FIND(" ",STC!$C127)+1,LEN(STC!$C127)))</f>
        <v>10</v>
      </c>
      <c r="F127" s="65">
        <f>_xlfn.NUMBERVALUE(RIGHT(STC!$C127,LEN(STC!$C127)-FIND("-",STC!$C127)))</f>
        <v>4</v>
      </c>
      <c r="G127" s="65">
        <f t="shared" ref="G127:G130" si="20">E127+F127</f>
        <v>14</v>
      </c>
      <c r="H127" s="66" t="str">
        <f>LEFT(STC!$C127,1)</f>
        <v>W</v>
      </c>
      <c r="I127" s="17" t="str">
        <f>VLOOKUP(IF(Table27[[#This Row],[At]]="Home",Table27[[#This Row],[Opponent]],RIGHT(Table27[[#This Row],[Opponent]],LEN(Table27[[#This Row],[Opponent]])-1)),CHOOSE({1,2},[1]StandingsRAW!$J$1:$J$22,[1]StandingsRAW!$L$1:$L$22),2,FALSE)</f>
        <v>WAT</v>
      </c>
      <c r="J127" s="33">
        <f>VLOOKUP(Table27[[#This Row],[OPP]],Raw!$L$2:$S$23,7,FALSE)-Raw!$U$2</f>
        <v>-3.3415553472384971</v>
      </c>
    </row>
    <row r="128" spans="1:10" x14ac:dyDescent="0.25">
      <c r="A128" t="s">
        <v>565</v>
      </c>
      <c r="B128" t="s">
        <v>190</v>
      </c>
      <c r="C128" t="s">
        <v>574</v>
      </c>
      <c r="D128" t="str">
        <f>IF(LEFT(STC!$B128,1)="@","Away","Home")</f>
        <v>Away</v>
      </c>
      <c r="E128" s="1">
        <f>_xlfn.NUMBERVALUE(MID(LEFT(STC!$C128,FIND("-",STC!$C128)-1),FIND(" ",STC!$C128)+1,LEN(STC!$C128)))</f>
        <v>15</v>
      </c>
      <c r="F128" s="3">
        <f>_xlfn.NUMBERVALUE(RIGHT(STC!$C128,LEN(STC!$C128)-FIND("-",STC!$C128)))</f>
        <v>10</v>
      </c>
      <c r="G128" s="3">
        <f t="shared" si="20"/>
        <v>25</v>
      </c>
      <c r="H128" s="87" t="str">
        <f>LEFT(STC!$C128,1)</f>
        <v>W</v>
      </c>
      <c r="I128" s="17" t="str">
        <f>VLOOKUP(IF(Table27[[#This Row],[At]]="Home",Table27[[#This Row],[Opponent]],RIGHT(Table27[[#This Row],[Opponent]],LEN(Table27[[#This Row],[Opponent]])-1)),CHOOSE({1,2},[1]StandingsRAW!$J$1:$J$22,[1]StandingsRAW!$L$1:$L$22),2,FALSE)</f>
        <v>LAC</v>
      </c>
      <c r="J128" s="33">
        <f>VLOOKUP(Table27[[#This Row],[OPP]],Raw!$L$2:$S$23,7,FALSE)-Raw!$U$2</f>
        <v>-0.25332005312084993</v>
      </c>
    </row>
    <row r="129" spans="1:10" x14ac:dyDescent="0.25">
      <c r="A129" t="s">
        <v>566</v>
      </c>
      <c r="B129" t="s">
        <v>190</v>
      </c>
      <c r="C129" t="s">
        <v>320</v>
      </c>
      <c r="D129" t="str">
        <f>IF(LEFT(STC!$B129,1)="@","Away","Home")</f>
        <v>Away</v>
      </c>
      <c r="E129" s="1">
        <f>_xlfn.NUMBERVALUE(MID(LEFT(STC!$C129,FIND("-",STC!$C129)-1),FIND(" ",STC!$C129)+1,LEN(STC!$C129)))</f>
        <v>5</v>
      </c>
      <c r="F129" s="3">
        <f>_xlfn.NUMBERVALUE(RIGHT(STC!$C129,LEN(STC!$C129)-FIND("-",STC!$C129)))</f>
        <v>1</v>
      </c>
      <c r="G129" s="3">
        <f t="shared" si="20"/>
        <v>6</v>
      </c>
      <c r="H129" s="87" t="str">
        <f>LEFT(STC!$C129,1)</f>
        <v>W</v>
      </c>
      <c r="I129" s="17" t="str">
        <f>VLOOKUP(IF(Table27[[#This Row],[At]]="Home",Table27[[#This Row],[Opponent]],RIGHT(Table27[[#This Row],[Opponent]],LEN(Table27[[#This Row],[Opponent]])-1)),CHOOSE({1,2},[1]StandingsRAW!$J$1:$J$22,[1]StandingsRAW!$L$1:$L$22),2,FALSE)</f>
        <v>LAC</v>
      </c>
      <c r="J129" s="33">
        <f>VLOOKUP(Table27[[#This Row],[OPP]],Raw!$L$2:$S$23,7,FALSE)-Raw!$U$2</f>
        <v>-0.25332005312084993</v>
      </c>
    </row>
    <row r="130" spans="1:10" x14ac:dyDescent="0.25">
      <c r="A130" t="s">
        <v>568</v>
      </c>
      <c r="B130" t="s">
        <v>206</v>
      </c>
      <c r="C130" t="s">
        <v>36</v>
      </c>
      <c r="D130" t="str">
        <f>IF(LEFT(STC!$B130,1)="@","Away","Home")</f>
        <v>Away</v>
      </c>
      <c r="E130" s="1">
        <f>_xlfn.NUMBERVALUE(MID(LEFT(STC!$C130,FIND("-",STC!$C130)-1),FIND(" ",STC!$C130)+1,LEN(STC!$C130)))</f>
        <v>1</v>
      </c>
      <c r="F130" s="3">
        <f>_xlfn.NUMBERVALUE(RIGHT(STC!$C130,LEN(STC!$C130)-FIND("-",STC!$C130)))</f>
        <v>5</v>
      </c>
      <c r="G130" s="3">
        <f t="shared" si="20"/>
        <v>6</v>
      </c>
      <c r="H130" s="87" t="str">
        <f>LEFT(STC!$C130,1)</f>
        <v>L</v>
      </c>
      <c r="I130" s="17" t="str">
        <f>VLOOKUP(IF(Table27[[#This Row],[At]]="Home",Table27[[#This Row],[Opponent]],RIGHT(Table27[[#This Row],[Opponent]],LEN(Table27[[#This Row],[Opponent]])-1)),CHOOSE({1,2},[1]StandingsRAW!$J$1:$J$22,[1]StandingsRAW!$L$1:$L$22),2,FALSE)</f>
        <v>MAN</v>
      </c>
      <c r="J130" s="33">
        <f>VLOOKUP(Table27[[#This Row],[OPP]],Raw!$L$2:$S$23,7,FALSE)-Raw!$U$2</f>
        <v>0.73197406452620895</v>
      </c>
    </row>
    <row r="131" spans="1:10" x14ac:dyDescent="0.25">
      <c r="A131" s="32" t="s">
        <v>589</v>
      </c>
      <c r="B131" s="32" t="s">
        <v>250</v>
      </c>
      <c r="C131" s="32" t="s">
        <v>298</v>
      </c>
      <c r="D131" s="32" t="str">
        <f>IF(LEFT(STC!$B131,1)="@","Away","Home")</f>
        <v>Home</v>
      </c>
      <c r="E131" s="64">
        <f>_xlfn.NUMBERVALUE(MID(LEFT(STC!$C131,FIND("-",STC!$C131)-1),FIND(" ",STC!$C131)+1,LEN(STC!$C131)))</f>
        <v>1</v>
      </c>
      <c r="F131" s="65">
        <f>_xlfn.NUMBERVALUE(RIGHT(STC!$C131,LEN(STC!$C131)-FIND("-",STC!$C131)))</f>
        <v>2</v>
      </c>
      <c r="G131" s="65">
        <f>E131+F131</f>
        <v>3</v>
      </c>
      <c r="H131" s="66" t="str">
        <f>LEFT(STC!$C131,1)</f>
        <v>L</v>
      </c>
      <c r="I131" s="17" t="str">
        <f>VLOOKUP(IF(Table27[[#This Row],[At]]="Home",Table27[[#This Row],[Opponent]],RIGHT(Table27[[#This Row],[Opponent]],LEN(Table27[[#This Row],[Opponent]])-1)),CHOOSE({1,2},[1]StandingsRAW!$J$1:$J$22,[1]StandingsRAW!$L$1:$L$22),2,FALSE)</f>
        <v>MAN</v>
      </c>
      <c r="J131" s="33">
        <f>VLOOKUP(Table27[[#This Row],[OPP]],Raw!$L$2:$S$23,7,FALSE)-Raw!$U$2</f>
        <v>0.73197406452620895</v>
      </c>
    </row>
    <row r="132" spans="1:10" x14ac:dyDescent="0.25">
      <c r="A132" s="32" t="s">
        <v>595</v>
      </c>
      <c r="B132" s="32" t="s">
        <v>241</v>
      </c>
      <c r="C132" s="32" t="s">
        <v>280</v>
      </c>
      <c r="D132" s="32" t="str">
        <f>IF(LEFT(STC!$B132,1)="@","Away","Home")</f>
        <v>Home</v>
      </c>
      <c r="E132" s="64">
        <f>_xlfn.NUMBERVALUE(MID(LEFT(STC!$C132,FIND("-",STC!$C132)-1),FIND(" ",STC!$C132)+1,LEN(STC!$C132)))</f>
        <v>8</v>
      </c>
      <c r="F132" s="65">
        <f>_xlfn.NUMBERVALUE(RIGHT(STC!$C132,LEN(STC!$C132)-FIND("-",STC!$C132)))</f>
        <v>3</v>
      </c>
      <c r="G132" s="65">
        <f>E132+F132</f>
        <v>11</v>
      </c>
      <c r="H132" s="66" t="str">
        <f>LEFT(STC!$C132,1)</f>
        <v>W</v>
      </c>
      <c r="I132" s="17" t="str">
        <f>VLOOKUP(IF(Table27[[#This Row],[At]]="Home",Table27[[#This Row],[Opponent]],RIGHT(Table27[[#This Row],[Opponent]],LEN(Table27[[#This Row],[Opponent]])-1)),CHOOSE({1,2},[1]StandingsRAW!$J$1:$J$22,[1]StandingsRAW!$L$1:$L$22),2,FALSE)</f>
        <v>MIN</v>
      </c>
      <c r="J132" s="33">
        <f>VLOOKUP(Table27[[#This Row],[OPP]],Raw!$L$2:$S$23,7,FALSE)-Raw!$U$2</f>
        <v>-2.6422089420097388</v>
      </c>
    </row>
    <row r="133" spans="1:10" x14ac:dyDescent="0.25">
      <c r="A133" s="32" t="s">
        <v>598</v>
      </c>
      <c r="B133" s="32" t="s">
        <v>258</v>
      </c>
      <c r="C133" s="32" t="s">
        <v>264</v>
      </c>
      <c r="D133" s="32" t="str">
        <f>IF(LEFT(STC!$B133,1)="@","Away","Home")</f>
        <v>Home</v>
      </c>
      <c r="E133" s="64">
        <f>_xlfn.NUMBERVALUE(MID(LEFT(STC!$C133,FIND("-",STC!$C133)-1),FIND(" ",STC!$C133)+1,LEN(STC!$C133)))</f>
        <v>6</v>
      </c>
      <c r="F133" s="65">
        <f>_xlfn.NUMBERVALUE(RIGHT(STC!$C133,LEN(STC!$C133)-FIND("-",STC!$C133)))</f>
        <v>2</v>
      </c>
      <c r="G133" s="65">
        <f>E133+F133</f>
        <v>8</v>
      </c>
      <c r="H133" s="66" t="str">
        <f>LEFT(STC!$C133,1)</f>
        <v>W</v>
      </c>
      <c r="I133" s="17" t="str">
        <f>VLOOKUP(IF(Table27[[#This Row],[At]]="Home",Table27[[#This Row],[Opponent]],RIGHT(Table27[[#This Row],[Opponent]],LEN(Table27[[#This Row],[Opponent]])-1)),CHOOSE({1,2},[1]StandingsRAW!$J$1:$J$22,[1]StandingsRAW!$L$1:$L$22),2,FALSE)</f>
        <v>WAT</v>
      </c>
      <c r="J133" s="33">
        <f>VLOOKUP(Table27[[#This Row],[OPP]],Raw!$L$2:$S$23,7,FALSE)-Raw!$U$2</f>
        <v>-3.3415553472384971</v>
      </c>
    </row>
    <row r="134" spans="1:10" x14ac:dyDescent="0.25">
      <c r="A134" s="32" t="s">
        <v>599</v>
      </c>
      <c r="B134" s="32" t="s">
        <v>258</v>
      </c>
      <c r="C134" s="32" t="s">
        <v>26</v>
      </c>
      <c r="D134" s="32" t="str">
        <f>IF(LEFT(STC!$B134,1)="@","Away","Home")</f>
        <v>Home</v>
      </c>
      <c r="E134" s="64">
        <f>_xlfn.NUMBERVALUE(MID(LEFT(STC!$C134,FIND("-",STC!$C134)-1),FIND(" ",STC!$C134)+1,LEN(STC!$C134)))</f>
        <v>10</v>
      </c>
      <c r="F134" s="65">
        <f>_xlfn.NUMBERVALUE(RIGHT(STC!$C134,LEN(STC!$C134)-FIND("-",STC!$C134)))</f>
        <v>6</v>
      </c>
      <c r="G134" s="65">
        <f>E134+F134</f>
        <v>16</v>
      </c>
      <c r="H134" s="66" t="str">
        <f>LEFT(STC!$C134,1)</f>
        <v>W</v>
      </c>
      <c r="I134" s="17" t="str">
        <f>VLOOKUP(IF(Table27[[#This Row],[At]]="Home",Table27[[#This Row],[Opponent]],RIGHT(Table27[[#This Row],[Opponent]],LEN(Table27[[#This Row],[Opponent]])-1)),CHOOSE({1,2},[1]StandingsRAW!$J$1:$J$22,[1]StandingsRAW!$L$1:$L$22),2,FALSE)</f>
        <v>WAT</v>
      </c>
      <c r="J134" s="33">
        <f>VLOOKUP(Table27[[#This Row],[OPP]],Raw!$L$2:$S$23,7,FALSE)-Raw!$U$2</f>
        <v>-3.3415553472384971</v>
      </c>
    </row>
    <row r="135" spans="1:10" x14ac:dyDescent="0.25">
      <c r="A135" s="32" t="s">
        <v>600</v>
      </c>
      <c r="B135" s="32" t="s">
        <v>192</v>
      </c>
      <c r="C135" s="32" t="s">
        <v>116</v>
      </c>
      <c r="D135" s="32" t="str">
        <f>IF(LEFT(STC!$B135,1)="@","Away","Home")</f>
        <v>Away</v>
      </c>
      <c r="E135" s="64">
        <f>_xlfn.NUMBERVALUE(MID(LEFT(STC!$C135,FIND("-",STC!$C135)-1),FIND(" ",STC!$C135)+1,LEN(STC!$C135)))</f>
        <v>9</v>
      </c>
      <c r="F135" s="65">
        <f>_xlfn.NUMBERVALUE(RIGHT(STC!$C135,LEN(STC!$C135)-FIND("-",STC!$C135)))</f>
        <v>3</v>
      </c>
      <c r="G135" s="65">
        <f t="shared" ref="G135:G138" si="21">E135+F135</f>
        <v>12</v>
      </c>
      <c r="H135" s="66" t="str">
        <f>LEFT(STC!$C135,1)</f>
        <v>W</v>
      </c>
      <c r="I135" s="17" t="str">
        <f>VLOOKUP(IF(Table27[[#This Row],[At]]="Home",Table27[[#This Row],[Opponent]],RIGHT(Table27[[#This Row],[Opponent]],LEN(Table27[[#This Row],[Opponent]])-1)),CHOOSE({1,2},[1]StandingsRAW!$J$1:$J$22,[1]StandingsRAW!$L$1:$L$22),2,FALSE)</f>
        <v>WAT</v>
      </c>
      <c r="J135" s="33">
        <f>VLOOKUP(Table27[[#This Row],[OPP]],Raw!$L$2:$S$23,7,FALSE)-Raw!$U$2</f>
        <v>-3.3415553472384971</v>
      </c>
    </row>
    <row r="136" spans="1:10" x14ac:dyDescent="0.25">
      <c r="A136" t="s">
        <v>601</v>
      </c>
      <c r="B136" t="s">
        <v>192</v>
      </c>
      <c r="C136" t="s">
        <v>421</v>
      </c>
      <c r="D136" t="str">
        <f>IF(LEFT(STC!$B136,1)="@","Away","Home")</f>
        <v>Away</v>
      </c>
      <c r="E136" s="1">
        <f>_xlfn.NUMBERVALUE(MID(LEFT(STC!$C136,FIND("-",STC!$C136)-1),FIND(" ",STC!$C136)+1,LEN(STC!$C136)))</f>
        <v>13</v>
      </c>
      <c r="F136" s="3">
        <f>_xlfn.NUMBERVALUE(RIGHT(STC!$C136,LEN(STC!$C136)-FIND("-",STC!$C136)))</f>
        <v>8</v>
      </c>
      <c r="G136" s="3">
        <f t="shared" si="21"/>
        <v>21</v>
      </c>
      <c r="H136" s="87" t="str">
        <f>LEFT(STC!$C136,1)</f>
        <v>W</v>
      </c>
      <c r="I136" s="17" t="str">
        <f>VLOOKUP(IF(Table27[[#This Row],[At]]="Home",Table27[[#This Row],[Opponent]],RIGHT(Table27[[#This Row],[Opponent]],LEN(Table27[[#This Row],[Opponent]])-1)),CHOOSE({1,2},[1]StandingsRAW!$J$1:$J$22,[1]StandingsRAW!$L$1:$L$22),2,FALSE)</f>
        <v>WAT</v>
      </c>
      <c r="J136" s="33">
        <f>VLOOKUP(Table27[[#This Row],[OPP]],Raw!$L$2:$S$23,7,FALSE)-Raw!$U$2</f>
        <v>-3.3415553472384971</v>
      </c>
    </row>
    <row r="137" spans="1:10" x14ac:dyDescent="0.25">
      <c r="A137" t="s">
        <v>602</v>
      </c>
      <c r="B137" t="s">
        <v>241</v>
      </c>
      <c r="C137" t="s">
        <v>327</v>
      </c>
      <c r="D137" t="str">
        <f>IF(LEFT(STC!$B137,1)="@","Away","Home")</f>
        <v>Home</v>
      </c>
      <c r="E137" s="1">
        <f>_xlfn.NUMBERVALUE(MID(LEFT(STC!$C137,FIND("-",STC!$C137)-1),FIND(" ",STC!$C137)+1,LEN(STC!$C137)))</f>
        <v>9</v>
      </c>
      <c r="F137" s="3">
        <f>_xlfn.NUMBERVALUE(RIGHT(STC!$C137,LEN(STC!$C137)-FIND("-",STC!$C137)))</f>
        <v>7</v>
      </c>
      <c r="G137" s="3">
        <f t="shared" si="21"/>
        <v>16</v>
      </c>
      <c r="H137" s="87" t="str">
        <f>LEFT(STC!$C137,1)</f>
        <v>W</v>
      </c>
      <c r="I137" s="17" t="str">
        <f>VLOOKUP(IF(Table27[[#This Row],[At]]="Home",Table27[[#This Row],[Opponent]],RIGHT(Table27[[#This Row],[Opponent]],LEN(Table27[[#This Row],[Opponent]])-1)),CHOOSE({1,2},[1]StandingsRAW!$J$1:$J$22,[1]StandingsRAW!$L$1:$L$22),2,FALSE)</f>
        <v>MIN</v>
      </c>
      <c r="J137" s="33">
        <f>VLOOKUP(Table27[[#This Row],[OPP]],Raw!$L$2:$S$23,7,FALSE)-Raw!$U$2</f>
        <v>-2.6422089420097388</v>
      </c>
    </row>
    <row r="138" spans="1:10" x14ac:dyDescent="0.25">
      <c r="A138" t="s">
        <v>603</v>
      </c>
      <c r="B138" t="s">
        <v>241</v>
      </c>
      <c r="C138" t="s">
        <v>323</v>
      </c>
      <c r="D138" t="str">
        <f>IF(LEFT(STC!$B138,1)="@","Away","Home")</f>
        <v>Home</v>
      </c>
      <c r="E138" s="1">
        <f>_xlfn.NUMBERVALUE(MID(LEFT(STC!$C138,FIND("-",STC!$C138)-1),FIND(" ",STC!$C138)+1,LEN(STC!$C138)))</f>
        <v>7</v>
      </c>
      <c r="F138" s="3">
        <f>_xlfn.NUMBERVALUE(RIGHT(STC!$C138,LEN(STC!$C138)-FIND("-",STC!$C138)))</f>
        <v>6</v>
      </c>
      <c r="G138" s="3">
        <f t="shared" si="21"/>
        <v>13</v>
      </c>
      <c r="H138" s="87" t="str">
        <f>LEFT(STC!$C138,1)</f>
        <v>W</v>
      </c>
      <c r="I138" s="17" t="str">
        <f>VLOOKUP(IF(Table27[[#This Row],[At]]="Home",Table27[[#This Row],[Opponent]],RIGHT(Table27[[#This Row],[Opponent]],LEN(Table27[[#This Row],[Opponent]])-1)),CHOOSE({1,2},[1]StandingsRAW!$J$1:$J$22,[1]StandingsRAW!$L$1:$L$22),2,FALSE)</f>
        <v>MIN</v>
      </c>
      <c r="J138" s="33">
        <f>VLOOKUP(Table27[[#This Row],[OPP]],Raw!$L$2:$S$23,7,FALSE)-Raw!$U$2</f>
        <v>-2.6422089420097388</v>
      </c>
    </row>
    <row r="139" spans="1:10" x14ac:dyDescent="0.25">
      <c r="A139" s="106" t="s">
        <v>608</v>
      </c>
      <c r="B139" s="106" t="s">
        <v>203</v>
      </c>
      <c r="C139" s="106" t="s">
        <v>276</v>
      </c>
      <c r="D139" s="106" t="str">
        <f>IF(LEFT(STC!$B139,1)="@","Away","Home")</f>
        <v>Away</v>
      </c>
      <c r="E139" s="111">
        <f>_xlfn.NUMBERVALUE(MID(LEFT(STC!$C139,FIND("-",STC!$C139)-1),FIND(" ",STC!$C139)+1,LEN(STC!$C139)))</f>
        <v>2</v>
      </c>
      <c r="F139" s="112">
        <f>_xlfn.NUMBERVALUE(RIGHT(STC!$C139,LEN(STC!$C139)-FIND("-",STC!$C139)))</f>
        <v>4</v>
      </c>
      <c r="G139" s="112">
        <f t="shared" ref="G139:G140" si="22">E139+F139</f>
        <v>6</v>
      </c>
      <c r="H139" s="113" t="str">
        <f>LEFT(STC!$C139,1)</f>
        <v>L</v>
      </c>
      <c r="I139" s="17" t="str">
        <f>VLOOKUP(IF(Table27[[#This Row],[At]]="Home",Table27[[#This Row],[Opponent]],RIGHT(Table27[[#This Row],[Opponent]],LEN(Table27[[#This Row],[Opponent]])-1)),CHOOSE({1,2},[1]StandingsRAW!$J$1:$J$22,[1]StandingsRAW!$L$1:$L$22),2,FALSE)</f>
        <v>BIS</v>
      </c>
      <c r="J139" s="33">
        <f>VLOOKUP(Table27[[#This Row],[OPP]],Raw!$L$2:$S$23,7,FALSE)-Raw!$U$2</f>
        <v>-1.915084759003203</v>
      </c>
    </row>
    <row r="140" spans="1:10" x14ac:dyDescent="0.25">
      <c r="A140" s="95" t="s">
        <v>609</v>
      </c>
      <c r="B140" s="95" t="s">
        <v>203</v>
      </c>
      <c r="C140" s="95" t="s">
        <v>244</v>
      </c>
      <c r="D140" s="95" t="str">
        <f>IF(LEFT(STC!$B140,1)="@","Away","Home")</f>
        <v>Away</v>
      </c>
      <c r="E140" s="97">
        <f>_xlfn.NUMBERVALUE(MID(LEFT(STC!$C140,FIND("-",STC!$C140)-1),FIND(" ",STC!$C140)+1,LEN(STC!$C140)))</f>
        <v>6</v>
      </c>
      <c r="F140" s="99">
        <f>_xlfn.NUMBERVALUE(RIGHT(STC!$C140,LEN(STC!$C140)-FIND("-",STC!$C140)))</f>
        <v>3</v>
      </c>
      <c r="G140" s="99">
        <f t="shared" si="22"/>
        <v>9</v>
      </c>
      <c r="H140" s="114" t="str">
        <f>LEFT(STC!$C140,1)</f>
        <v>W</v>
      </c>
      <c r="I140" s="17" t="str">
        <f>VLOOKUP(IF(Table27[[#This Row],[At]]="Home",Table27[[#This Row],[Opponent]],RIGHT(Table27[[#This Row],[Opponent]],LEN(Table27[[#This Row],[Opponent]])-1)),CHOOSE({1,2},[1]StandingsRAW!$J$1:$J$22,[1]StandingsRAW!$L$1:$L$22),2,FALSE)</f>
        <v>BIS</v>
      </c>
      <c r="J140" s="33">
        <f>VLOOKUP(Table27[[#This Row],[OPP]],Raw!$L$2:$S$23,7,FALSE)-Raw!$U$2</f>
        <v>-1.915084759003203</v>
      </c>
    </row>
    <row r="141" spans="1:10" x14ac:dyDescent="0.25">
      <c r="E141" s="1"/>
      <c r="F141" s="3"/>
      <c r="G141" s="3"/>
      <c r="H141" s="3"/>
    </row>
    <row r="142" spans="1:10" x14ac:dyDescent="0.25">
      <c r="E142" s="1"/>
      <c r="F142" s="3"/>
      <c r="G142" s="3"/>
      <c r="H142" s="3"/>
    </row>
  </sheetData>
  <conditionalFormatting sqref="L17">
    <cfRule type="cellIs" dxfId="29" priority="4" operator="greaterThan">
      <formula>100</formula>
    </cfRule>
    <cfRule type="cellIs" dxfId="28" priority="5" operator="lessThan">
      <formula>100</formula>
    </cfRule>
  </conditionalFormatting>
  <conditionalFormatting sqref="L18">
    <cfRule type="cellIs" dxfId="27" priority="2" operator="greaterThan">
      <formula>100</formula>
    </cfRule>
    <cfRule type="cellIs" dxfId="26" priority="3" operator="lessThan">
      <formula>100</formula>
    </cfRule>
  </conditionalFormatting>
  <conditionalFormatting sqref="L17:L18">
    <cfRule type="cellIs" dxfId="25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3638-4617-423C-87F1-9195BA520F35}">
  <sheetPr codeName="Sheet2"/>
  <dimension ref="A1:AE26"/>
  <sheetViews>
    <sheetView topLeftCell="L3" workbookViewId="0">
      <selection activeCell="AD2" sqref="AD2:AE23"/>
    </sheetView>
  </sheetViews>
  <sheetFormatPr defaultRowHeight="15" x14ac:dyDescent="0.25"/>
  <sheetData>
    <row r="1" spans="1:31" x14ac:dyDescent="0.25">
      <c r="A1" s="4">
        <v>2021</v>
      </c>
      <c r="B1" s="4" t="s">
        <v>178</v>
      </c>
      <c r="C1" s="4" t="s">
        <v>153</v>
      </c>
      <c r="D1" s="4" t="s">
        <v>176</v>
      </c>
      <c r="E1" s="4" t="s">
        <v>177</v>
      </c>
      <c r="F1" s="4" t="s">
        <v>181</v>
      </c>
      <c r="G1" s="4" t="s">
        <v>492</v>
      </c>
      <c r="H1" s="4" t="s">
        <v>490</v>
      </c>
      <c r="I1" s="4" t="s">
        <v>493</v>
      </c>
      <c r="J1" s="4" t="s">
        <v>491</v>
      </c>
      <c r="L1" s="4">
        <v>2022</v>
      </c>
      <c r="M1" s="4" t="s">
        <v>178</v>
      </c>
      <c r="N1" s="4" t="s">
        <v>153</v>
      </c>
      <c r="O1" s="4" t="s">
        <v>176</v>
      </c>
      <c r="P1" s="4" t="s">
        <v>177</v>
      </c>
      <c r="Q1" s="4" t="s">
        <v>181</v>
      </c>
      <c r="R1" s="4" t="s">
        <v>497</v>
      </c>
      <c r="S1" s="4" t="s">
        <v>490</v>
      </c>
      <c r="T1" s="4" t="s">
        <v>493</v>
      </c>
      <c r="U1" s="4" t="s">
        <v>491</v>
      </c>
      <c r="V1" s="4" t="s">
        <v>578</v>
      </c>
      <c r="W1" s="4" t="s">
        <v>579</v>
      </c>
      <c r="X1" s="4" t="s">
        <v>580</v>
      </c>
      <c r="Y1" s="4" t="s">
        <v>581</v>
      </c>
      <c r="Z1" s="4" t="s">
        <v>582</v>
      </c>
      <c r="AA1" s="4" t="s">
        <v>583</v>
      </c>
      <c r="AB1" s="4" t="s">
        <v>584</v>
      </c>
      <c r="AC1" s="4" t="s">
        <v>585</v>
      </c>
      <c r="AD1" s="4" t="s">
        <v>586</v>
      </c>
      <c r="AE1" s="4" t="s">
        <v>587</v>
      </c>
    </row>
    <row r="2" spans="1:31" x14ac:dyDescent="0.25">
      <c r="A2" t="s">
        <v>167</v>
      </c>
      <c r="B2" s="1" t="s">
        <v>179</v>
      </c>
      <c r="C2" s="1">
        <v>72</v>
      </c>
      <c r="D2" s="1">
        <v>338</v>
      </c>
      <c r="E2" s="1">
        <v>487</v>
      </c>
      <c r="F2" s="3">
        <f>(D2+E2)</f>
        <v>825</v>
      </c>
      <c r="G2" s="2">
        <f>D2/C2</f>
        <v>4.6944444444444446</v>
      </c>
      <c r="H2" s="2">
        <f>F2/C2</f>
        <v>11.458333333333334</v>
      </c>
      <c r="I2" s="2"/>
      <c r="J2" s="2">
        <f>SUM(D2:D23)/SUM(C2:C23)</f>
        <v>5.4455511288180611</v>
      </c>
      <c r="L2" t="s">
        <v>167</v>
      </c>
      <c r="M2" s="1" t="s">
        <v>179</v>
      </c>
      <c r="N2" s="1">
        <f>VLOOKUP($L2,[1]!Table3[[#All],[ABBR]:[Games]],27,FALSE)</f>
        <v>72</v>
      </c>
      <c r="O2" s="1">
        <f>VLOOKUP($L2,[1]!Table3[[#All],[ABBR]:[Games]],15,FALSE)</f>
        <v>430</v>
      </c>
      <c r="P2" s="1">
        <f>VLOOKUP($L2,[1]!Table3[[#All],[ABBR]:[Games]],16,FALSE)</f>
        <v>474</v>
      </c>
      <c r="Q2" s="3">
        <f>(O2+P2)</f>
        <v>904</v>
      </c>
      <c r="R2" s="2">
        <f>(O2-P2)/N2</f>
        <v>-0.61111111111111116</v>
      </c>
      <c r="S2" s="2">
        <f>Q2/N2</f>
        <v>12.555555555555555</v>
      </c>
      <c r="T2" s="2">
        <f>SUM(Table1[oRD])/N2</f>
        <v>-8.5055838201705453E-2</v>
      </c>
      <c r="U2" s="5">
        <f>(SUM(O2:O23)-SUM(P2:P23))/(SUM(N2:N23))</f>
        <v>3.3200531208499337E-3</v>
      </c>
      <c r="V2">
        <f>BC!K$23</f>
        <v>14</v>
      </c>
      <c r="W2">
        <f>BC!L$23</f>
        <v>22</v>
      </c>
      <c r="X2">
        <f>BC!M$23</f>
        <v>21</v>
      </c>
      <c r="Y2">
        <f>BC!N$23</f>
        <v>15</v>
      </c>
      <c r="Z2">
        <f>BC!K$26</f>
        <v>18</v>
      </c>
      <c r="AA2">
        <f>BC!L$26</f>
        <v>26</v>
      </c>
      <c r="AB2">
        <f>BC!M$26</f>
        <v>17</v>
      </c>
      <c r="AC2">
        <f>BC!N$26</f>
        <v>11</v>
      </c>
      <c r="AD2" s="89">
        <f>BC!N$3</f>
        <v>11.375</v>
      </c>
      <c r="AE2" s="89">
        <f>BC!N4</f>
        <v>12.875</v>
      </c>
    </row>
    <row r="3" spans="1:31" x14ac:dyDescent="0.25">
      <c r="A3" t="s">
        <v>173</v>
      </c>
      <c r="B3" s="1" t="s">
        <v>180</v>
      </c>
      <c r="C3" s="1">
        <v>68</v>
      </c>
      <c r="D3" s="1">
        <v>359</v>
      </c>
      <c r="E3" s="1">
        <v>409</v>
      </c>
      <c r="F3" s="3">
        <f t="shared" ref="F3:F23" si="0">(D3+E3)</f>
        <v>768</v>
      </c>
      <c r="G3" s="2">
        <f t="shared" ref="G3:G23" si="1">D3/C3</f>
        <v>5.2794117647058822</v>
      </c>
      <c r="H3" s="2">
        <f t="shared" ref="H3:H23" si="2">F3/C3</f>
        <v>11.294117647058824</v>
      </c>
      <c r="I3" s="2"/>
      <c r="J3" s="2"/>
      <c r="L3" t="s">
        <v>173</v>
      </c>
      <c r="M3" s="1" t="s">
        <v>180</v>
      </c>
      <c r="N3" s="1">
        <f>VLOOKUP($L3,[1]!Table3[[#All],[ABBR]:[Games]],27,FALSE)</f>
        <v>68</v>
      </c>
      <c r="O3" s="1">
        <f>VLOOKUP($L3,[1]!Table3[[#All],[ABBR]:[Games]],15,FALSE)</f>
        <v>374</v>
      </c>
      <c r="P3" s="1">
        <f>VLOOKUP($L3,[1]!Table3[[#All],[ABBR]:[Games]],16,FALSE)</f>
        <v>504</v>
      </c>
      <c r="Q3" s="3">
        <f t="shared" ref="Q3:Q23" si="3">(O3+P3)</f>
        <v>878</v>
      </c>
      <c r="R3" s="2">
        <f t="shared" ref="R3:R23" si="4">(O3-P3)/N3</f>
        <v>-1.911764705882353</v>
      </c>
      <c r="S3" s="2">
        <f t="shared" ref="S3:S23" si="5">Q3/N3</f>
        <v>12.911764705882353</v>
      </c>
      <c r="T3" s="2">
        <f>SUM(Table3[oR/G])/N3</f>
        <v>0.23007898398887261</v>
      </c>
      <c r="V3">
        <f>BIS!K$23</f>
        <v>12</v>
      </c>
      <c r="W3">
        <f>BIS!L$23</f>
        <v>24</v>
      </c>
      <c r="X3">
        <f>BIS!M$23</f>
        <v>11</v>
      </c>
      <c r="Y3">
        <f>BIS!N$23</f>
        <v>21</v>
      </c>
      <c r="Z3">
        <f>BIS!K$26</f>
        <v>9</v>
      </c>
      <c r="AA3">
        <f>BIS!L$26</f>
        <v>23</v>
      </c>
      <c r="AB3">
        <f>BIS!M$26</f>
        <v>14</v>
      </c>
      <c r="AC3">
        <f>BIS!N$26</f>
        <v>22</v>
      </c>
      <c r="AD3" s="89">
        <f>BIS!N$3</f>
        <v>11.555555555555557</v>
      </c>
      <c r="AE3" s="89">
        <f>BIS!N4</f>
        <v>12.734375</v>
      </c>
    </row>
    <row r="4" spans="1:31" x14ac:dyDescent="0.25">
      <c r="A4" t="s">
        <v>159</v>
      </c>
      <c r="B4" s="1" t="s">
        <v>180</v>
      </c>
      <c r="C4" s="1">
        <v>68</v>
      </c>
      <c r="D4" s="1">
        <v>370</v>
      </c>
      <c r="E4" s="1">
        <v>425</v>
      </c>
      <c r="F4" s="3">
        <f t="shared" si="0"/>
        <v>795</v>
      </c>
      <c r="G4" s="2">
        <f t="shared" si="1"/>
        <v>5.4411764705882355</v>
      </c>
      <c r="H4" s="2">
        <f t="shared" si="2"/>
        <v>11.691176470588236</v>
      </c>
      <c r="I4" s="2"/>
      <c r="J4" s="2"/>
      <c r="L4" t="s">
        <v>159</v>
      </c>
      <c r="M4" s="1" t="s">
        <v>180</v>
      </c>
      <c r="N4" s="1">
        <f>VLOOKUP($L4,[1]!Table3[[#All],[ABBR]:[Games]],27,FALSE)</f>
        <v>67</v>
      </c>
      <c r="O4" s="1">
        <f>VLOOKUP($L4,[1]!Table3[[#All],[ABBR]:[Games]],15,FALSE)</f>
        <v>357</v>
      </c>
      <c r="P4" s="1">
        <f>VLOOKUP($L4,[1]!Table3[[#All],[ABBR]:[Games]],16,FALSE)</f>
        <v>382</v>
      </c>
      <c r="Q4" s="3">
        <f t="shared" si="3"/>
        <v>739</v>
      </c>
      <c r="R4" s="2">
        <f t="shared" si="4"/>
        <v>-0.37313432835820898</v>
      </c>
      <c r="S4" s="2">
        <f t="shared" si="5"/>
        <v>11.029850746268657</v>
      </c>
      <c r="T4" s="2">
        <f>SUM(Table4[oR/G])/N4</f>
        <v>4.9795938672390828E-2</v>
      </c>
      <c r="V4">
        <f>DUL!K$23</f>
        <v>21</v>
      </c>
      <c r="W4">
        <f>DUL!L$23</f>
        <v>15</v>
      </c>
      <c r="X4">
        <f>DUL!M$23</f>
        <v>13</v>
      </c>
      <c r="Y4">
        <f>DUL!N$23</f>
        <v>19</v>
      </c>
      <c r="Z4">
        <f>DUL!K$26</f>
        <v>9</v>
      </c>
      <c r="AA4">
        <f>DUL!L$26</f>
        <v>23</v>
      </c>
      <c r="AB4">
        <f>DUL!M$26</f>
        <v>25</v>
      </c>
      <c r="AC4">
        <f>DUL!N$26</f>
        <v>11</v>
      </c>
      <c r="AD4" s="89">
        <f>DUL!N$3</f>
        <v>11.444444444444445</v>
      </c>
      <c r="AE4" s="89">
        <f>DUL!N4</f>
        <v>11.09375</v>
      </c>
    </row>
    <row r="5" spans="1:31" x14ac:dyDescent="0.25">
      <c r="A5" t="s">
        <v>175</v>
      </c>
      <c r="B5" s="1" t="s">
        <v>180</v>
      </c>
      <c r="C5" s="1">
        <v>68</v>
      </c>
      <c r="D5" s="1">
        <v>305</v>
      </c>
      <c r="E5" s="1">
        <v>387</v>
      </c>
      <c r="F5" s="3">
        <f t="shared" si="0"/>
        <v>692</v>
      </c>
      <c r="G5" s="2">
        <f t="shared" si="1"/>
        <v>4.4852941176470589</v>
      </c>
      <c r="H5" s="2">
        <f t="shared" si="2"/>
        <v>10.176470588235293</v>
      </c>
      <c r="I5" s="2"/>
      <c r="J5" s="2"/>
      <c r="L5" t="s">
        <v>175</v>
      </c>
      <c r="M5" s="1" t="s">
        <v>180</v>
      </c>
      <c r="N5" s="1">
        <f>VLOOKUP($L5,[1]!Table3[[#All],[ABBR]:[Games]],27,FALSE)</f>
        <v>68</v>
      </c>
      <c r="O5" s="1">
        <f>VLOOKUP($L5,[1]!Table3[[#All],[ABBR]:[Games]],15,FALSE)</f>
        <v>403</v>
      </c>
      <c r="P5" s="1">
        <f>VLOOKUP($L5,[1]!Table3[[#All],[ABBR]:[Games]],16,FALSE)</f>
        <v>327</v>
      </c>
      <c r="Q5" s="3">
        <f t="shared" si="3"/>
        <v>730</v>
      </c>
      <c r="R5" s="2">
        <f t="shared" si="4"/>
        <v>1.1176470588235294</v>
      </c>
      <c r="S5" s="2">
        <f t="shared" si="5"/>
        <v>10.735294117647058</v>
      </c>
      <c r="T5" s="2">
        <f>SUM(Table5[oR/G])/N5</f>
        <v>-0.12632240009417242</v>
      </c>
      <c r="V5">
        <f>EC!K$23</f>
        <v>28</v>
      </c>
      <c r="W5">
        <f>EC!L$23</f>
        <v>8</v>
      </c>
      <c r="X5">
        <f>EC!M$23</f>
        <v>14</v>
      </c>
      <c r="Y5">
        <f>EC!N$23</f>
        <v>18</v>
      </c>
      <c r="Z5">
        <f>EC!K$26</f>
        <v>11</v>
      </c>
      <c r="AA5">
        <f>EC!L$26</f>
        <v>13</v>
      </c>
      <c r="AB5">
        <f>EC!M$26</f>
        <v>31</v>
      </c>
      <c r="AC5">
        <f>EC!N$26</f>
        <v>13</v>
      </c>
      <c r="AD5" s="89">
        <f>EC!N$3</f>
        <v>9.8194444444444429</v>
      </c>
      <c r="AE5" s="89">
        <f>EC!N4</f>
        <v>11.171875</v>
      </c>
    </row>
    <row r="6" spans="1:31" x14ac:dyDescent="0.25">
      <c r="A6" t="s">
        <v>155</v>
      </c>
      <c r="B6" s="1" t="s">
        <v>179</v>
      </c>
      <c r="C6" s="1">
        <v>71</v>
      </c>
      <c r="D6" s="1">
        <v>424</v>
      </c>
      <c r="E6" s="1">
        <v>351</v>
      </c>
      <c r="F6" s="3">
        <f t="shared" si="0"/>
        <v>775</v>
      </c>
      <c r="G6" s="2">
        <f t="shared" si="1"/>
        <v>5.971830985915493</v>
      </c>
      <c r="H6" s="2">
        <f t="shared" si="2"/>
        <v>10.915492957746478</v>
      </c>
      <c r="I6" s="2"/>
      <c r="J6" s="2"/>
      <c r="L6" t="s">
        <v>155</v>
      </c>
      <c r="M6" s="1" t="s">
        <v>179</v>
      </c>
      <c r="N6" s="1">
        <f>VLOOKUP($L6,[1]!Table3[[#All],[ABBR]:[Games]],27,FALSE)</f>
        <v>71</v>
      </c>
      <c r="O6" s="1">
        <f>VLOOKUP($L6,[1]!Table3[[#All],[ABBR]:[Games]],15,FALSE)</f>
        <v>519</v>
      </c>
      <c r="P6" s="1">
        <f>VLOOKUP($L6,[1]!Table3[[#All],[ABBR]:[Games]],16,FALSE)</f>
        <v>465</v>
      </c>
      <c r="Q6" s="3">
        <f t="shared" si="3"/>
        <v>984</v>
      </c>
      <c r="R6" s="2">
        <f t="shared" si="4"/>
        <v>0.76056338028169013</v>
      </c>
      <c r="S6" s="2">
        <f t="shared" si="5"/>
        <v>13.859154929577464</v>
      </c>
      <c r="T6" s="2">
        <f>SUM(Table6[oR/G])/N6</f>
        <v>-0.1512651591171075</v>
      </c>
      <c r="V6">
        <f>FDL!K$23</f>
        <v>18</v>
      </c>
      <c r="W6">
        <f>FDL!L$23</f>
        <v>18</v>
      </c>
      <c r="X6">
        <f>FDL!M$23</f>
        <v>18</v>
      </c>
      <c r="Y6">
        <f>FDL!N$23</f>
        <v>18</v>
      </c>
      <c r="Z6">
        <f>FDL!K$26</f>
        <v>14</v>
      </c>
      <c r="AA6">
        <f>FDL!L$26</f>
        <v>26</v>
      </c>
      <c r="AB6">
        <f>FDL!M$26</f>
        <v>22</v>
      </c>
      <c r="AC6">
        <f>FDL!N$26</f>
        <v>10</v>
      </c>
      <c r="AD6" s="89">
        <f>FDL!N$3</f>
        <v>12.718309859154928</v>
      </c>
      <c r="AE6" s="89">
        <f>FDL!N4</f>
        <v>11.888888888888889</v>
      </c>
    </row>
    <row r="7" spans="1:31" x14ac:dyDescent="0.25">
      <c r="A7" t="s">
        <v>163</v>
      </c>
      <c r="B7" s="1" t="s">
        <v>179</v>
      </c>
      <c r="C7" s="1">
        <v>72</v>
      </c>
      <c r="D7" s="1">
        <v>343</v>
      </c>
      <c r="E7" s="1">
        <v>442</v>
      </c>
      <c r="F7" s="3">
        <f t="shared" si="0"/>
        <v>785</v>
      </c>
      <c r="G7" s="2">
        <f t="shared" si="1"/>
        <v>4.7638888888888893</v>
      </c>
      <c r="H7" s="2">
        <f t="shared" si="2"/>
        <v>10.902777777777779</v>
      </c>
      <c r="I7" s="2"/>
      <c r="J7" s="2"/>
      <c r="L7" t="s">
        <v>163</v>
      </c>
      <c r="M7" s="1" t="s">
        <v>179</v>
      </c>
      <c r="N7" s="1">
        <f>VLOOKUP($L7,[1]!Table3[[#All],[ABBR]:[Games]],27,FALSE)</f>
        <v>72</v>
      </c>
      <c r="O7" s="1">
        <f>VLOOKUP($L7,[1]!Table3[[#All],[ABBR]:[Games]],15,FALSE)</f>
        <v>348</v>
      </c>
      <c r="P7" s="1">
        <f>VLOOKUP($L7,[1]!Table3[[#All],[ABBR]:[Games]],16,FALSE)</f>
        <v>449</v>
      </c>
      <c r="Q7" s="3">
        <f t="shared" si="3"/>
        <v>797</v>
      </c>
      <c r="R7" s="2">
        <f t="shared" si="4"/>
        <v>-1.4027777777777777</v>
      </c>
      <c r="S7" s="2">
        <f t="shared" si="5"/>
        <v>11.069444444444445</v>
      </c>
      <c r="T7" s="2">
        <f>SUM(Table7[oR/G])/N7</f>
        <v>0.54403040766857835</v>
      </c>
      <c r="V7">
        <f>GB!K$23</f>
        <v>14</v>
      </c>
      <c r="W7">
        <f>GB!L$23</f>
        <v>22</v>
      </c>
      <c r="X7">
        <f>GB!M$23</f>
        <v>16</v>
      </c>
      <c r="Y7">
        <f>GB!N$23</f>
        <v>20</v>
      </c>
      <c r="Z7">
        <f>GB!K$26</f>
        <v>23</v>
      </c>
      <c r="AA7">
        <f>GB!L$26</f>
        <v>37</v>
      </c>
      <c r="AB7">
        <f>GB!M$26</f>
        <v>7</v>
      </c>
      <c r="AC7">
        <f>GB!N$26</f>
        <v>5</v>
      </c>
      <c r="AD7" s="89">
        <f>GB!N$3</f>
        <v>11.638888888888889</v>
      </c>
      <c r="AE7" s="89">
        <f>GB!N4</f>
        <v>10.319444444444445</v>
      </c>
    </row>
    <row r="8" spans="1:31" x14ac:dyDescent="0.25">
      <c r="A8" t="s">
        <v>156</v>
      </c>
      <c r="B8" s="1" t="s">
        <v>179</v>
      </c>
      <c r="C8" s="1">
        <v>72</v>
      </c>
      <c r="D8" s="1">
        <v>459</v>
      </c>
      <c r="E8" s="1">
        <v>412</v>
      </c>
      <c r="F8" s="3">
        <f t="shared" si="0"/>
        <v>871</v>
      </c>
      <c r="G8" s="2">
        <f t="shared" si="1"/>
        <v>6.375</v>
      </c>
      <c r="H8" s="2">
        <f t="shared" si="2"/>
        <v>12.097222222222221</v>
      </c>
      <c r="I8" s="2"/>
      <c r="J8" s="2"/>
      <c r="L8" t="s">
        <v>156</v>
      </c>
      <c r="M8" s="1" t="s">
        <v>179</v>
      </c>
      <c r="N8" s="1">
        <f>VLOOKUP($L8,[1]!Table3[[#All],[ABBR]:[Games]],27,FALSE)</f>
        <v>71</v>
      </c>
      <c r="O8" s="1">
        <f>VLOOKUP($L8,[1]!Table3[[#All],[ABBR]:[Games]],15,FALSE)</f>
        <v>401</v>
      </c>
      <c r="P8" s="1">
        <f>VLOOKUP($L8,[1]!Table3[[#All],[ABBR]:[Games]],16,FALSE)</f>
        <v>401</v>
      </c>
      <c r="Q8" s="3">
        <f t="shared" si="3"/>
        <v>802</v>
      </c>
      <c r="R8" s="2">
        <f t="shared" si="4"/>
        <v>0</v>
      </c>
      <c r="S8" s="2">
        <f t="shared" si="5"/>
        <v>11.295774647887324</v>
      </c>
      <c r="T8" s="2">
        <f>SUM(Table8[oR/G])/N8</f>
        <v>1.2219191737974344E-2</v>
      </c>
      <c r="V8">
        <f>KEN!K$23</f>
        <v>19</v>
      </c>
      <c r="W8">
        <f>KEN!L$23</f>
        <v>17</v>
      </c>
      <c r="X8">
        <f>KEN!M$23</f>
        <v>14</v>
      </c>
      <c r="Y8">
        <f>KEN!N$23</f>
        <v>21</v>
      </c>
      <c r="Z8">
        <f>KEN!K$26</f>
        <v>21</v>
      </c>
      <c r="AA8">
        <f>KEN!L$26</f>
        <v>26</v>
      </c>
      <c r="AB8">
        <f>KEN!M$26</f>
        <v>12</v>
      </c>
      <c r="AC8">
        <f>KEN!N$26</f>
        <v>12</v>
      </c>
      <c r="AD8" s="89">
        <f>KEN!N$3</f>
        <v>12.611111111111111</v>
      </c>
      <c r="AE8" s="89">
        <f>KEN!N4</f>
        <v>10.788732394366196</v>
      </c>
    </row>
    <row r="9" spans="1:31" x14ac:dyDescent="0.25">
      <c r="A9" t="s">
        <v>161</v>
      </c>
      <c r="B9" s="1" t="s">
        <v>179</v>
      </c>
      <c r="C9" s="1">
        <v>72</v>
      </c>
      <c r="D9" s="1">
        <v>437</v>
      </c>
      <c r="E9" s="1">
        <v>363</v>
      </c>
      <c r="F9" s="3">
        <f t="shared" si="0"/>
        <v>800</v>
      </c>
      <c r="G9" s="2">
        <f t="shared" si="1"/>
        <v>6.0694444444444446</v>
      </c>
      <c r="H9" s="2">
        <f t="shared" si="2"/>
        <v>11.111111111111111</v>
      </c>
      <c r="I9" s="2"/>
      <c r="J9" s="2"/>
      <c r="L9" t="s">
        <v>161</v>
      </c>
      <c r="M9" s="1" t="s">
        <v>179</v>
      </c>
      <c r="N9" s="1">
        <f>VLOOKUP($L9,[1]!Table3[[#All],[ABBR]:[Games]],27,FALSE)</f>
        <v>71</v>
      </c>
      <c r="O9" s="1">
        <f>VLOOKUP($L9,[1]!Table3[[#All],[ABBR]:[Games]],15,FALSE)</f>
        <v>325</v>
      </c>
      <c r="P9" s="1">
        <f>VLOOKUP($L9,[1]!Table3[[#All],[ABBR]:[Games]],16,FALSE)</f>
        <v>545</v>
      </c>
      <c r="Q9" s="3">
        <f t="shared" si="3"/>
        <v>870</v>
      </c>
      <c r="R9" s="2">
        <f t="shared" si="4"/>
        <v>-3.0985915492957745</v>
      </c>
      <c r="S9" s="2">
        <f t="shared" si="5"/>
        <v>12.253521126760564</v>
      </c>
      <c r="T9" s="2">
        <f>SUM(Table9[oR/G])/N9</f>
        <v>0.48283521779223576</v>
      </c>
      <c r="V9">
        <f>KMO!K$23</f>
        <v>10</v>
      </c>
      <c r="W9">
        <f>KMO!L$23</f>
        <v>26</v>
      </c>
      <c r="X9">
        <f>KMO!M$23</f>
        <v>9</v>
      </c>
      <c r="Y9">
        <f>KMO!N$23</f>
        <v>27</v>
      </c>
      <c r="Z9">
        <f>KMO!K$26</f>
        <v>9</v>
      </c>
      <c r="AA9">
        <f>KMO!L$26</f>
        <v>35</v>
      </c>
      <c r="AB9">
        <f>KMO!M$26</f>
        <v>10</v>
      </c>
      <c r="AC9">
        <f>KMO!N$26</f>
        <v>18</v>
      </c>
      <c r="AD9" s="89">
        <f>KMO!N$3</f>
        <v>11.083333333333332</v>
      </c>
      <c r="AE9" s="89">
        <f>KMO!N4</f>
        <v>12.111111111111111</v>
      </c>
    </row>
    <row r="10" spans="1:31" x14ac:dyDescent="0.25">
      <c r="A10" t="s">
        <v>169</v>
      </c>
      <c r="B10" s="1" t="s">
        <v>179</v>
      </c>
      <c r="C10" s="1">
        <v>72</v>
      </c>
      <c r="D10" s="1">
        <v>358</v>
      </c>
      <c r="E10" s="1">
        <v>424</v>
      </c>
      <c r="F10" s="3">
        <f t="shared" si="0"/>
        <v>782</v>
      </c>
      <c r="G10" s="2">
        <f t="shared" si="1"/>
        <v>4.9722222222222223</v>
      </c>
      <c r="H10" s="2">
        <f t="shared" si="2"/>
        <v>10.861111111111111</v>
      </c>
      <c r="I10" s="2"/>
      <c r="J10" s="2"/>
      <c r="L10" t="s">
        <v>169</v>
      </c>
      <c r="M10" s="1" t="s">
        <v>179</v>
      </c>
      <c r="N10" s="1">
        <f>VLOOKUP($L10,[1]!Table3[[#All],[ABBR]:[Games]],27,FALSE)</f>
        <v>71</v>
      </c>
      <c r="O10" s="1">
        <f>VLOOKUP($L10,[1]!Table3[[#All],[ABBR]:[Games]],15,FALSE)</f>
        <v>516</v>
      </c>
      <c r="P10" s="1">
        <f>VLOOKUP($L10,[1]!Table3[[#All],[ABBR]:[Games]],16,FALSE)</f>
        <v>478</v>
      </c>
      <c r="Q10" s="3">
        <f t="shared" si="3"/>
        <v>994</v>
      </c>
      <c r="R10" s="2">
        <f t="shared" si="4"/>
        <v>0.53521126760563376</v>
      </c>
      <c r="S10" s="2">
        <f t="shared" si="5"/>
        <v>14</v>
      </c>
      <c r="T10" s="2">
        <f>SUM(Table10[oR/G])/N10</f>
        <v>-0.27120120544953241</v>
      </c>
      <c r="V10">
        <f>KZO!K$23</f>
        <v>18</v>
      </c>
      <c r="W10">
        <f>KZO!L$23</f>
        <v>17</v>
      </c>
      <c r="X10">
        <f>KZO!M$23</f>
        <v>18</v>
      </c>
      <c r="Y10">
        <f>KZO!N$23</f>
        <v>18</v>
      </c>
      <c r="Z10">
        <f>KZO!K$26</f>
        <v>11</v>
      </c>
      <c r="AA10">
        <f>KZO!L$26</f>
        <v>21</v>
      </c>
      <c r="AB10">
        <f>KZO!M$26</f>
        <v>25</v>
      </c>
      <c r="AC10">
        <f>KZO!N$26</f>
        <v>14</v>
      </c>
      <c r="AD10" s="89">
        <f>KZO!N$3</f>
        <v>12.535211267605632</v>
      </c>
      <c r="AE10" s="89">
        <f>KZO!N4</f>
        <v>12.402777777777779</v>
      </c>
    </row>
    <row r="11" spans="1:31" x14ac:dyDescent="0.25">
      <c r="A11" t="s">
        <v>166</v>
      </c>
      <c r="B11" s="1" t="s">
        <v>180</v>
      </c>
      <c r="C11" s="1">
        <v>68</v>
      </c>
      <c r="D11" s="1">
        <v>366</v>
      </c>
      <c r="E11" s="1">
        <v>447</v>
      </c>
      <c r="F11" s="3">
        <f t="shared" si="0"/>
        <v>813</v>
      </c>
      <c r="G11" s="2">
        <f t="shared" si="1"/>
        <v>5.382352941176471</v>
      </c>
      <c r="H11" s="2">
        <f t="shared" si="2"/>
        <v>11.955882352941176</v>
      </c>
      <c r="I11" s="2"/>
      <c r="J11" s="2"/>
      <c r="L11" t="s">
        <v>166</v>
      </c>
      <c r="M11" s="1" t="s">
        <v>180</v>
      </c>
      <c r="N11" s="1">
        <f>VLOOKUP($L11,[1]!Table3[[#All],[ABBR]:[Games]],27,FALSE)</f>
        <v>68</v>
      </c>
      <c r="O11" s="1">
        <f>VLOOKUP($L11,[1]!Table3[[#All],[ABBR]:[Games]],15,FALSE)</f>
        <v>431</v>
      </c>
      <c r="P11" s="1">
        <f>VLOOKUP($L11,[1]!Table3[[#All],[ABBR]:[Games]],16,FALSE)</f>
        <v>448</v>
      </c>
      <c r="Q11" s="3">
        <f t="shared" si="3"/>
        <v>879</v>
      </c>
      <c r="R11" s="2">
        <f t="shared" si="4"/>
        <v>-0.25</v>
      </c>
      <c r="S11" s="2">
        <f t="shared" si="5"/>
        <v>12.926470588235293</v>
      </c>
      <c r="T11" s="2">
        <f>SUM(Table24[oR/G])/N11</f>
        <v>3.4577253885066342E-2</v>
      </c>
      <c r="V11">
        <f>LAC!K$23</f>
        <v>20</v>
      </c>
      <c r="W11">
        <f>LAC!L$23</f>
        <v>16</v>
      </c>
      <c r="X11">
        <f>LAC!M$23</f>
        <v>11</v>
      </c>
      <c r="Y11">
        <f>LAC!N$23</f>
        <v>21</v>
      </c>
      <c r="Z11">
        <f>LAC!K$26</f>
        <v>12</v>
      </c>
      <c r="AA11">
        <f>LAC!L$26</f>
        <v>20</v>
      </c>
      <c r="AB11">
        <f>LAC!M$26</f>
        <v>19</v>
      </c>
      <c r="AC11">
        <f>LAC!N$26</f>
        <v>17</v>
      </c>
      <c r="AD11" s="89">
        <f>LAC!N$3</f>
        <v>13.541666666666668</v>
      </c>
      <c r="AE11" s="89">
        <f>LAC!N4</f>
        <v>11.21875</v>
      </c>
    </row>
    <row r="12" spans="1:31" x14ac:dyDescent="0.25">
      <c r="A12" t="s">
        <v>172</v>
      </c>
      <c r="B12" s="1" t="s">
        <v>179</v>
      </c>
      <c r="C12" s="1">
        <v>71</v>
      </c>
      <c r="D12" s="1">
        <v>361</v>
      </c>
      <c r="E12" s="1">
        <v>343</v>
      </c>
      <c r="F12" s="3">
        <f t="shared" si="0"/>
        <v>704</v>
      </c>
      <c r="G12" s="2">
        <f t="shared" si="1"/>
        <v>5.084507042253521</v>
      </c>
      <c r="H12" s="2">
        <f t="shared" si="2"/>
        <v>9.9154929577464781</v>
      </c>
      <c r="I12" s="2"/>
      <c r="J12" s="2"/>
      <c r="L12" t="s">
        <v>172</v>
      </c>
      <c r="M12" s="1" t="s">
        <v>179</v>
      </c>
      <c r="N12" s="1">
        <f>VLOOKUP($L12,[1]!Table3[[#All],[ABBR]:[Games]],27,FALSE)</f>
        <v>72</v>
      </c>
      <c r="O12" s="1">
        <f>VLOOKUP($L12,[1]!Table3[[#All],[ABBR]:[Games]],15,FALSE)</f>
        <v>398</v>
      </c>
      <c r="P12" s="1">
        <f>VLOOKUP($L12,[1]!Table3[[#All],[ABBR]:[Games]],16,FALSE)</f>
        <v>388</v>
      </c>
      <c r="Q12" s="3">
        <f t="shared" si="3"/>
        <v>786</v>
      </c>
      <c r="R12" s="2">
        <f t="shared" si="4"/>
        <v>0.1388888888888889</v>
      </c>
      <c r="S12" s="2">
        <f t="shared" si="5"/>
        <v>10.916666666666666</v>
      </c>
      <c r="T12" s="2">
        <f>SUM(Table12[oR/G])/N12</f>
        <v>0.17710509033246266</v>
      </c>
      <c r="V12">
        <f>LAK!K$23</f>
        <v>21</v>
      </c>
      <c r="W12">
        <f>LAK!L$23</f>
        <v>15</v>
      </c>
      <c r="X12">
        <f>LAK!M$23</f>
        <v>15</v>
      </c>
      <c r="Y12">
        <f>LAK!N$23</f>
        <v>21</v>
      </c>
      <c r="Z12">
        <f>LAK!K$26</f>
        <v>18</v>
      </c>
      <c r="AA12">
        <f>LAK!L$26</f>
        <v>22</v>
      </c>
      <c r="AB12">
        <f>LAK!M$26</f>
        <v>18</v>
      </c>
      <c r="AC12">
        <f>LAK!N$26</f>
        <v>14</v>
      </c>
      <c r="AD12" s="89">
        <f>LAK!N$3</f>
        <v>10.388888888888889</v>
      </c>
      <c r="AE12" s="89">
        <f>LAK!N4</f>
        <v>10.507042253521126</v>
      </c>
    </row>
    <row r="13" spans="1:31" x14ac:dyDescent="0.25">
      <c r="A13" t="s">
        <v>157</v>
      </c>
      <c r="B13" s="1" t="s">
        <v>179</v>
      </c>
      <c r="C13" s="1">
        <v>72</v>
      </c>
      <c r="D13" s="1">
        <v>380</v>
      </c>
      <c r="E13" s="1">
        <v>388</v>
      </c>
      <c r="F13" s="3">
        <f t="shared" si="0"/>
        <v>768</v>
      </c>
      <c r="G13" s="2">
        <f t="shared" si="1"/>
        <v>5.2777777777777777</v>
      </c>
      <c r="H13" s="2">
        <f t="shared" si="2"/>
        <v>10.666666666666666</v>
      </c>
      <c r="I13" s="2"/>
      <c r="J13" s="2"/>
      <c r="L13" t="s">
        <v>157</v>
      </c>
      <c r="M13" s="1" t="s">
        <v>179</v>
      </c>
      <c r="N13" s="1">
        <f>VLOOKUP($L13,[1]!Table3[[#All],[ABBR]:[Games]],27,FALSE)</f>
        <v>72</v>
      </c>
      <c r="O13" s="1">
        <f>VLOOKUP($L13,[1]!Table3[[#All],[ABBR]:[Games]],15,FALSE)</f>
        <v>394</v>
      </c>
      <c r="P13" s="1">
        <f>VLOOKUP($L13,[1]!Table3[[#All],[ABBR]:[Games]],16,FALSE)</f>
        <v>503</v>
      </c>
      <c r="Q13" s="3">
        <f t="shared" si="3"/>
        <v>897</v>
      </c>
      <c r="R13" s="2">
        <f t="shared" si="4"/>
        <v>-1.5138888888888888</v>
      </c>
      <c r="S13" s="2">
        <f t="shared" si="5"/>
        <v>12.458333333333334</v>
      </c>
      <c r="T13" s="2">
        <f>SUM(Table13[oR/G])/N13</f>
        <v>0.24647346105059859</v>
      </c>
      <c r="V13">
        <f>MAD!K$23</f>
        <v>14</v>
      </c>
      <c r="W13">
        <f>MAD!L$23</f>
        <v>22</v>
      </c>
      <c r="X13">
        <f>MAD!M$23</f>
        <v>12</v>
      </c>
      <c r="Y13">
        <f>MAD!N$23</f>
        <v>24</v>
      </c>
      <c r="Z13">
        <f>MAD!K$26</f>
        <v>17</v>
      </c>
      <c r="AA13">
        <f>MAD!L$26</f>
        <v>35</v>
      </c>
      <c r="AB13">
        <f>MAD!M$26</f>
        <v>9</v>
      </c>
      <c r="AC13">
        <f>MAD!N$26</f>
        <v>11</v>
      </c>
      <c r="AD13" s="89">
        <f>MAD!N$3</f>
        <v>10.861111111111111</v>
      </c>
      <c r="AE13" s="89">
        <f>MAD!N4</f>
        <v>12.263888888888889</v>
      </c>
    </row>
    <row r="14" spans="1:31" x14ac:dyDescent="0.25">
      <c r="A14" t="s">
        <v>160</v>
      </c>
      <c r="B14" s="1" t="s">
        <v>180</v>
      </c>
      <c r="C14" s="1">
        <v>68</v>
      </c>
      <c r="D14" s="1">
        <v>353</v>
      </c>
      <c r="E14" s="1">
        <v>296</v>
      </c>
      <c r="F14" s="3">
        <f t="shared" si="0"/>
        <v>649</v>
      </c>
      <c r="G14" s="2">
        <f t="shared" si="1"/>
        <v>5.1911764705882355</v>
      </c>
      <c r="H14" s="2">
        <f t="shared" si="2"/>
        <v>9.5441176470588243</v>
      </c>
      <c r="I14" s="2"/>
      <c r="J14" s="2"/>
      <c r="L14" t="s">
        <v>160</v>
      </c>
      <c r="M14" s="1" t="s">
        <v>180</v>
      </c>
      <c r="N14" s="1">
        <f>VLOOKUP($L14,[1]!Table3[[#All],[ABBR]:[Games]],27,FALSE)</f>
        <v>68</v>
      </c>
      <c r="O14" s="1">
        <f>VLOOKUP($L14,[1]!Table3[[#All],[ABBR]:[Games]],15,FALSE)</f>
        <v>426</v>
      </c>
      <c r="P14" s="1">
        <f>VLOOKUP($L14,[1]!Table3[[#All],[ABBR]:[Games]],16,FALSE)</f>
        <v>376</v>
      </c>
      <c r="Q14" s="3">
        <f t="shared" si="3"/>
        <v>802</v>
      </c>
      <c r="R14" s="2">
        <f t="shared" si="4"/>
        <v>0.73529411764705888</v>
      </c>
      <c r="S14" s="2">
        <f t="shared" si="5"/>
        <v>11.794117647058824</v>
      </c>
      <c r="T14" s="2">
        <f>SUM(Table25[oR/G])/N14</f>
        <v>-8.1339701132234737E-2</v>
      </c>
      <c r="V14">
        <f>MAN!K$23</f>
        <v>25</v>
      </c>
      <c r="W14">
        <f>MAN!L$23</f>
        <v>11</v>
      </c>
      <c r="X14">
        <f>MAN!M$23</f>
        <v>15</v>
      </c>
      <c r="Y14">
        <f>MAN!N$23</f>
        <v>17</v>
      </c>
      <c r="Z14">
        <f>MAN!K$26</f>
        <v>8</v>
      </c>
      <c r="AA14">
        <f>MAN!L$26</f>
        <v>16</v>
      </c>
      <c r="AB14">
        <f>MAN!M$26</f>
        <v>32</v>
      </c>
      <c r="AC14">
        <f>MAN!N$26</f>
        <v>12</v>
      </c>
      <c r="AD14" s="89">
        <f>MAN!N$3</f>
        <v>9.5277777777777786</v>
      </c>
      <c r="AE14" s="89">
        <f>MAN!N4</f>
        <v>11.96875</v>
      </c>
    </row>
    <row r="15" spans="1:31" x14ac:dyDescent="0.25">
      <c r="A15" t="s">
        <v>174</v>
      </c>
      <c r="B15" s="1" t="s">
        <v>180</v>
      </c>
      <c r="C15" s="1">
        <v>36</v>
      </c>
      <c r="D15" s="1">
        <v>157</v>
      </c>
      <c r="E15" s="1">
        <v>223</v>
      </c>
      <c r="F15" s="3">
        <f t="shared" si="0"/>
        <v>380</v>
      </c>
      <c r="G15" s="2">
        <f t="shared" si="1"/>
        <v>4.3611111111111107</v>
      </c>
      <c r="H15" s="2">
        <f t="shared" si="2"/>
        <v>10.555555555555555</v>
      </c>
      <c r="I15" s="2"/>
      <c r="J15" s="2"/>
      <c r="L15" t="s">
        <v>174</v>
      </c>
      <c r="M15" s="1" t="s">
        <v>180</v>
      </c>
      <c r="N15" s="1">
        <f>VLOOKUP($L15,[1]!Table3[[#All],[ABBR]:[Games]],27,FALSE)</f>
        <v>36</v>
      </c>
      <c r="O15" s="1">
        <f>VLOOKUP($L15,[1]!Table3[[#All],[ABBR]:[Games]],15,FALSE)</f>
        <v>175</v>
      </c>
      <c r="P15" s="1">
        <f>VLOOKUP($L15,[1]!Table3[[#All],[ABBR]:[Games]],16,FALSE)</f>
        <v>270</v>
      </c>
      <c r="Q15" s="3">
        <f t="shared" si="3"/>
        <v>445</v>
      </c>
      <c r="R15" s="2">
        <f t="shared" si="4"/>
        <v>-2.6388888888888888</v>
      </c>
      <c r="S15" s="2">
        <f t="shared" si="5"/>
        <v>12.361111111111111</v>
      </c>
      <c r="T15" s="2">
        <f>SUM(Table15[oR/G])/N15</f>
        <v>0.15129900843412036</v>
      </c>
      <c r="V15">
        <f>MIN!K$23</f>
        <v>0</v>
      </c>
      <c r="W15">
        <f>MIN!L$23</f>
        <v>0</v>
      </c>
      <c r="X15">
        <f>MIN!M$23</f>
        <v>7</v>
      </c>
      <c r="Y15">
        <f>MIN!N$23</f>
        <v>29</v>
      </c>
      <c r="Z15">
        <f>MIN!K$26</f>
        <v>1</v>
      </c>
      <c r="AA15">
        <f>MIN!L$26</f>
        <v>15</v>
      </c>
      <c r="AB15">
        <f>MIN!M$26</f>
        <v>6</v>
      </c>
      <c r="AC15">
        <f>MIN!N$26</f>
        <v>14</v>
      </c>
      <c r="AD15" s="89" t="s">
        <v>588</v>
      </c>
      <c r="AE15" s="89">
        <f>MIN!N4</f>
        <v>11.472222222222221</v>
      </c>
    </row>
    <row r="16" spans="1:31" x14ac:dyDescent="0.25">
      <c r="A16" t="s">
        <v>168</v>
      </c>
      <c r="B16" s="1" t="s">
        <v>179</v>
      </c>
      <c r="C16" s="1">
        <v>71</v>
      </c>
      <c r="D16" s="1">
        <v>392</v>
      </c>
      <c r="E16" s="1">
        <v>490</v>
      </c>
      <c r="F16" s="3">
        <f t="shared" si="0"/>
        <v>882</v>
      </c>
      <c r="G16" s="2">
        <f t="shared" si="1"/>
        <v>5.52112676056338</v>
      </c>
      <c r="H16" s="2">
        <f t="shared" si="2"/>
        <v>12.422535211267606</v>
      </c>
      <c r="I16" s="2"/>
      <c r="J16" s="2"/>
      <c r="L16" t="s">
        <v>168</v>
      </c>
      <c r="M16" s="1" t="s">
        <v>179</v>
      </c>
      <c r="N16" s="1">
        <f>VLOOKUP($L16,[1]!Table3[[#All],[ABBR]:[Games]],27,FALSE)</f>
        <v>72</v>
      </c>
      <c r="O16" s="1">
        <f>VLOOKUP($L16,[1]!Table3[[#All],[ABBR]:[Games]],15,FALSE)</f>
        <v>446</v>
      </c>
      <c r="P16" s="1">
        <f>VLOOKUP($L16,[1]!Table3[[#All],[ABBR]:[Games]],16,FALSE)</f>
        <v>386</v>
      </c>
      <c r="Q16" s="3">
        <f t="shared" si="3"/>
        <v>832</v>
      </c>
      <c r="R16" s="2">
        <f t="shared" si="4"/>
        <v>0.83333333333333337</v>
      </c>
      <c r="S16" s="2">
        <f t="shared" si="5"/>
        <v>11.555555555555555</v>
      </c>
      <c r="T16" s="2">
        <f>SUM(Table16[oR/G])/N16</f>
        <v>-0.29937726056303382</v>
      </c>
      <c r="V16">
        <f>RFD!K$23</f>
        <v>20</v>
      </c>
      <c r="W16">
        <f>RFD!L$23</f>
        <v>16</v>
      </c>
      <c r="X16">
        <f>RFD!M$23</f>
        <v>17</v>
      </c>
      <c r="Y16">
        <f>RFD!N$23</f>
        <v>19</v>
      </c>
      <c r="Z16">
        <f>RFD!K$26</f>
        <v>14</v>
      </c>
      <c r="AA16">
        <f>RFD!L$26</f>
        <v>14</v>
      </c>
      <c r="AB16">
        <f>RFD!M$26</f>
        <v>23</v>
      </c>
      <c r="AC16">
        <f>RFD!N$26</f>
        <v>21</v>
      </c>
      <c r="AD16" s="89">
        <f>RFD!N$3</f>
        <v>13.873239436619718</v>
      </c>
      <c r="AE16" s="89">
        <f>RFD!N4</f>
        <v>10.180555555555557</v>
      </c>
    </row>
    <row r="17" spans="1:31" x14ac:dyDescent="0.25">
      <c r="A17" t="s">
        <v>171</v>
      </c>
      <c r="B17" s="1" t="s">
        <v>180</v>
      </c>
      <c r="C17" s="1">
        <v>67</v>
      </c>
      <c r="D17" s="1">
        <v>361</v>
      </c>
      <c r="E17" s="1">
        <v>398</v>
      </c>
      <c r="F17" s="3">
        <f t="shared" si="0"/>
        <v>759</v>
      </c>
      <c r="G17" s="2">
        <f t="shared" si="1"/>
        <v>5.3880597014925371</v>
      </c>
      <c r="H17" s="2">
        <f t="shared" si="2"/>
        <v>11.328358208955224</v>
      </c>
      <c r="I17" s="2"/>
      <c r="J17" s="2"/>
      <c r="L17" t="s">
        <v>171</v>
      </c>
      <c r="M17" s="1" t="s">
        <v>180</v>
      </c>
      <c r="N17" s="1">
        <f>VLOOKUP($L17,[1]!Table3[[#All],[ABBR]:[Games]],27,FALSE)</f>
        <v>68</v>
      </c>
      <c r="O17" s="1">
        <f>VLOOKUP($L17,[1]!Table3[[#All],[ABBR]:[Games]],15,FALSE)</f>
        <v>455</v>
      </c>
      <c r="P17" s="1">
        <f>VLOOKUP($L17,[1]!Table3[[#All],[ABBR]:[Games]],16,FALSE)</f>
        <v>469</v>
      </c>
      <c r="Q17" s="3">
        <f t="shared" si="3"/>
        <v>924</v>
      </c>
      <c r="R17" s="2">
        <f t="shared" si="4"/>
        <v>-0.20588235294117646</v>
      </c>
      <c r="S17" s="2">
        <f t="shared" si="5"/>
        <v>13.588235294117647</v>
      </c>
      <c r="T17" s="2">
        <f>SUM(Table26[oR/G])/N17</f>
        <v>2.9386942466381176E-2</v>
      </c>
      <c r="V17">
        <f>ROC!K$23</f>
        <v>23</v>
      </c>
      <c r="W17">
        <f>ROC!L$23</f>
        <v>13</v>
      </c>
      <c r="X17">
        <f>ROC!M$23</f>
        <v>9</v>
      </c>
      <c r="Y17">
        <f>ROC!N$23</f>
        <v>23</v>
      </c>
      <c r="Z17">
        <f>ROC!K$26</f>
        <v>10</v>
      </c>
      <c r="AA17">
        <f>ROC!L$26</f>
        <v>22</v>
      </c>
      <c r="AB17">
        <f>ROC!M$26</f>
        <v>22</v>
      </c>
      <c r="AC17">
        <f>ROC!N$26</f>
        <v>14</v>
      </c>
      <c r="AD17" s="89">
        <f>ROC!N$3</f>
        <v>12.847222222222221</v>
      </c>
      <c r="AE17" s="89">
        <f>ROC!N4</f>
        <v>12.047619047619047</v>
      </c>
    </row>
    <row r="18" spans="1:31" x14ac:dyDescent="0.25">
      <c r="A18" t="s">
        <v>158</v>
      </c>
      <c r="B18" s="1" t="s">
        <v>180</v>
      </c>
      <c r="C18" s="1">
        <v>68</v>
      </c>
      <c r="D18" s="1">
        <v>425</v>
      </c>
      <c r="E18" s="1">
        <v>238</v>
      </c>
      <c r="F18" s="3">
        <f t="shared" si="0"/>
        <v>663</v>
      </c>
      <c r="G18" s="2">
        <f t="shared" si="1"/>
        <v>6.25</v>
      </c>
      <c r="H18" s="2">
        <f t="shared" si="2"/>
        <v>9.75</v>
      </c>
      <c r="I18" s="2"/>
      <c r="J18" s="2"/>
      <c r="L18" t="s">
        <v>158</v>
      </c>
      <c r="M18" s="1" t="s">
        <v>180</v>
      </c>
      <c r="N18" s="1">
        <f>VLOOKUP($L18,[1]!Table3[[#All],[ABBR]:[Games]],27,FALSE)</f>
        <v>68</v>
      </c>
      <c r="O18" s="1">
        <f>VLOOKUP($L18,[1]!Table3[[#All],[ABBR]:[Games]],15,FALSE)</f>
        <v>454</v>
      </c>
      <c r="P18" s="1">
        <f>VLOOKUP($L18,[1]!Table3[[#All],[ABBR]:[Games]],16,FALSE)</f>
        <v>279</v>
      </c>
      <c r="Q18" s="3">
        <f t="shared" si="3"/>
        <v>733</v>
      </c>
      <c r="R18" s="2">
        <f t="shared" si="4"/>
        <v>2.5735294117647061</v>
      </c>
      <c r="S18" s="2">
        <f t="shared" si="5"/>
        <v>10.779411764705882</v>
      </c>
      <c r="T18" s="2">
        <f>SUM(Table27[oR/G])/N18</f>
        <v>-0.29760267691078141</v>
      </c>
      <c r="V18">
        <f>STC!K$23</f>
        <v>28</v>
      </c>
      <c r="W18">
        <f>STC!L$23</f>
        <v>8</v>
      </c>
      <c r="X18">
        <f>STC!M$23</f>
        <v>22</v>
      </c>
      <c r="Y18">
        <f>STC!N$23</f>
        <v>10</v>
      </c>
      <c r="Z18">
        <f>STC!K$26</f>
        <v>15</v>
      </c>
      <c r="AA18">
        <f>STC!L$26</f>
        <v>9</v>
      </c>
      <c r="AB18">
        <f>STC!M$26</f>
        <v>35</v>
      </c>
      <c r="AC18">
        <f>STC!N$26</f>
        <v>9</v>
      </c>
      <c r="AD18" s="89">
        <f>STC!N$3</f>
        <v>9.9722222222222214</v>
      </c>
      <c r="AE18" s="89">
        <f>STC!N4</f>
        <v>10.578125</v>
      </c>
    </row>
    <row r="19" spans="1:31" x14ac:dyDescent="0.25">
      <c r="A19" t="s">
        <v>165</v>
      </c>
      <c r="B19" s="1" t="s">
        <v>179</v>
      </c>
      <c r="C19" s="1">
        <v>71</v>
      </c>
      <c r="D19" s="1">
        <v>436</v>
      </c>
      <c r="E19" s="1">
        <v>313</v>
      </c>
      <c r="F19" s="3">
        <f t="shared" si="0"/>
        <v>749</v>
      </c>
      <c r="G19" s="2">
        <f t="shared" si="1"/>
        <v>6.140845070422535</v>
      </c>
      <c r="H19" s="2">
        <f t="shared" si="2"/>
        <v>10.549295774647888</v>
      </c>
      <c r="I19" s="2"/>
      <c r="J19" s="2"/>
      <c r="L19" t="s">
        <v>165</v>
      </c>
      <c r="M19" s="1" t="s">
        <v>179</v>
      </c>
      <c r="N19" s="1">
        <f>VLOOKUP($L19,[1]!Table3[[#All],[ABBR]:[Games]],27,FALSE)</f>
        <v>72</v>
      </c>
      <c r="O19" s="1">
        <f>VLOOKUP($L19,[1]!Table3[[#All],[ABBR]:[Games]],15,FALSE)</f>
        <v>448</v>
      </c>
      <c r="P19" s="1">
        <f>VLOOKUP($L19,[1]!Table3[[#All],[ABBR]:[Games]],16,FALSE)</f>
        <v>344</v>
      </c>
      <c r="Q19" s="3">
        <f t="shared" si="3"/>
        <v>792</v>
      </c>
      <c r="R19" s="2">
        <f t="shared" si="4"/>
        <v>1.4444444444444444</v>
      </c>
      <c r="S19" s="2">
        <f t="shared" si="5"/>
        <v>11</v>
      </c>
      <c r="T19" s="2">
        <f>SUM(Table19[oR/G])/N19</f>
        <v>-0.45355696843992466</v>
      </c>
      <c r="V19">
        <f>TVC!K$23</f>
        <v>25</v>
      </c>
      <c r="W19">
        <f>TVC!L$23</f>
        <v>11</v>
      </c>
      <c r="X19">
        <f>TVC!M$23</f>
        <v>20</v>
      </c>
      <c r="Y19">
        <f>TVC!N$23</f>
        <v>16</v>
      </c>
      <c r="Z19">
        <f>TVC!K$26</f>
        <v>20</v>
      </c>
      <c r="AA19">
        <f>TVC!L$26</f>
        <v>12</v>
      </c>
      <c r="AB19">
        <f>TVC!M$26</f>
        <v>25</v>
      </c>
      <c r="AC19">
        <f>TVC!N$26</f>
        <v>15</v>
      </c>
      <c r="AD19" s="89">
        <f>TVC!N$3</f>
        <v>9.2083333333333321</v>
      </c>
      <c r="AE19" s="89">
        <f>TVC!N4</f>
        <v>12.380281690140844</v>
      </c>
    </row>
    <row r="20" spans="1:31" x14ac:dyDescent="0.25">
      <c r="A20" t="s">
        <v>154</v>
      </c>
      <c r="B20" s="1" t="s">
        <v>180</v>
      </c>
      <c r="C20" s="1">
        <v>67</v>
      </c>
      <c r="D20" s="1">
        <v>462</v>
      </c>
      <c r="E20" s="1">
        <v>327</v>
      </c>
      <c r="F20" s="3">
        <f t="shared" si="0"/>
        <v>789</v>
      </c>
      <c r="G20" s="2">
        <f t="shared" si="1"/>
        <v>6.8955223880597014</v>
      </c>
      <c r="H20" s="2">
        <f t="shared" si="2"/>
        <v>11.776119402985074</v>
      </c>
      <c r="I20" s="2"/>
      <c r="J20" s="2"/>
      <c r="L20" t="s">
        <v>154</v>
      </c>
      <c r="M20" s="1" t="s">
        <v>180</v>
      </c>
      <c r="N20" s="1">
        <f>VLOOKUP($L20,[1]!Table3[[#All],[ABBR]:[Games]],27,FALSE)</f>
        <v>68</v>
      </c>
      <c r="O20" s="1">
        <f>VLOOKUP($L20,[1]!Table3[[#All],[ABBR]:[Games]],15,FALSE)</f>
        <v>368</v>
      </c>
      <c r="P20" s="1">
        <f>VLOOKUP($L20,[1]!Table3[[#All],[ABBR]:[Games]],16,FALSE)</f>
        <v>595</v>
      </c>
      <c r="Q20" s="3">
        <f t="shared" si="3"/>
        <v>963</v>
      </c>
      <c r="R20" s="2">
        <f t="shared" si="4"/>
        <v>-3.3382352941176472</v>
      </c>
      <c r="S20" s="2">
        <f t="shared" si="5"/>
        <v>14.161764705882353</v>
      </c>
      <c r="T20" s="2">
        <f>SUM(Table28[oR/G])/N20</f>
        <v>0.39789905319302504</v>
      </c>
      <c r="V20">
        <f>WAT!K$23</f>
        <v>9</v>
      </c>
      <c r="W20">
        <f>WAT!L$23</f>
        <v>27</v>
      </c>
      <c r="X20">
        <f>WAT!M$23</f>
        <v>7</v>
      </c>
      <c r="Y20">
        <f>WAT!N$23</f>
        <v>25</v>
      </c>
      <c r="Z20">
        <f>WAT!K$26</f>
        <v>3</v>
      </c>
      <c r="AA20">
        <f>WAT!L$26</f>
        <v>29</v>
      </c>
      <c r="AB20">
        <f>WAT!M$26</f>
        <v>13</v>
      </c>
      <c r="AC20">
        <f>WAT!N$26</f>
        <v>23</v>
      </c>
      <c r="AD20" s="89">
        <f>WAT!N$3</f>
        <v>14</v>
      </c>
      <c r="AE20" s="89">
        <f>WAT!N4</f>
        <v>11.84375</v>
      </c>
    </row>
    <row r="21" spans="1:31" x14ac:dyDescent="0.25">
      <c r="A21" t="s">
        <v>170</v>
      </c>
      <c r="B21" s="1" t="s">
        <v>179</v>
      </c>
      <c r="C21" s="1">
        <v>72</v>
      </c>
      <c r="D21" s="1">
        <v>381</v>
      </c>
      <c r="E21" s="1">
        <v>364</v>
      </c>
      <c r="F21" s="3">
        <f t="shared" si="0"/>
        <v>745</v>
      </c>
      <c r="G21" s="2">
        <f t="shared" si="1"/>
        <v>5.291666666666667</v>
      </c>
      <c r="H21" s="2">
        <f t="shared" si="2"/>
        <v>10.347222222222221</v>
      </c>
      <c r="I21" s="2"/>
      <c r="J21" s="2"/>
      <c r="L21" t="s">
        <v>170</v>
      </c>
      <c r="M21" s="1" t="s">
        <v>179</v>
      </c>
      <c r="N21" s="1">
        <f>VLOOKUP($L21,[1]!Table3[[#All],[ABBR]:[Games]],27,FALSE)</f>
        <v>71</v>
      </c>
      <c r="O21" s="1">
        <f>VLOOKUP($L21,[1]!Table3[[#All],[ABBR]:[Games]],15,FALSE)</f>
        <v>422</v>
      </c>
      <c r="P21" s="1">
        <f>VLOOKUP($L21,[1]!Table3[[#All],[ABBR]:[Games]],16,FALSE)</f>
        <v>409</v>
      </c>
      <c r="Q21" s="3">
        <f t="shared" si="3"/>
        <v>831</v>
      </c>
      <c r="R21" s="2">
        <f t="shared" si="4"/>
        <v>0.18309859154929578</v>
      </c>
      <c r="S21" s="2">
        <f t="shared" si="5"/>
        <v>11.704225352112676</v>
      </c>
      <c r="T21" s="2">
        <f>SUM(Table21[oR/G])/N21</f>
        <v>0.23670900826590735</v>
      </c>
      <c r="V21">
        <f>WAU!K$23</f>
        <v>23</v>
      </c>
      <c r="W21">
        <f>WAU!L$23</f>
        <v>13</v>
      </c>
      <c r="X21">
        <f>WAU!M$23</f>
        <v>15</v>
      </c>
      <c r="Y21">
        <f>WAU!N$23</f>
        <v>21</v>
      </c>
      <c r="Z21">
        <f>WAU!K$26</f>
        <v>19</v>
      </c>
      <c r="AA21">
        <f>WAU!L$26</f>
        <v>25</v>
      </c>
      <c r="AB21">
        <f>WAU!M$26</f>
        <v>19</v>
      </c>
      <c r="AC21">
        <f>WAU!N$26</f>
        <v>9</v>
      </c>
      <c r="AD21" s="89">
        <f>WAU!N$3</f>
        <v>11.111111111111111</v>
      </c>
      <c r="AE21" s="89">
        <f>WAU!N4</f>
        <v>10.805555555555555</v>
      </c>
    </row>
    <row r="22" spans="1:31" x14ac:dyDescent="0.25">
      <c r="A22" t="s">
        <v>162</v>
      </c>
      <c r="B22" s="1" t="s">
        <v>180</v>
      </c>
      <c r="C22" s="1">
        <v>68</v>
      </c>
      <c r="D22" s="1">
        <v>365</v>
      </c>
      <c r="E22" s="1">
        <v>372</v>
      </c>
      <c r="F22" s="3">
        <f t="shared" si="0"/>
        <v>737</v>
      </c>
      <c r="G22" s="2">
        <f t="shared" si="1"/>
        <v>5.367647058823529</v>
      </c>
      <c r="H22" s="2">
        <f t="shared" si="2"/>
        <v>10.838235294117647</v>
      </c>
      <c r="I22" s="2"/>
      <c r="J22" s="2"/>
      <c r="L22" t="s">
        <v>162</v>
      </c>
      <c r="M22" s="1" t="s">
        <v>180</v>
      </c>
      <c r="N22" s="1">
        <f>VLOOKUP($L22,[1]!Table3[[#All],[ABBR]:[Games]],27,FALSE)</f>
        <v>68</v>
      </c>
      <c r="O22" s="1">
        <f>VLOOKUP($L22,[1]!Table3[[#All],[ABBR]:[Games]],15,FALSE)</f>
        <v>525</v>
      </c>
      <c r="P22" s="1">
        <f>VLOOKUP($L22,[1]!Table3[[#All],[ABBR]:[Games]],16,FALSE)</f>
        <v>318</v>
      </c>
      <c r="Q22" s="3">
        <f t="shared" si="3"/>
        <v>843</v>
      </c>
      <c r="R22" s="2">
        <f t="shared" si="4"/>
        <v>3.0441176470588234</v>
      </c>
      <c r="S22" s="2">
        <f t="shared" si="5"/>
        <v>12.397058823529411</v>
      </c>
      <c r="T22" s="2">
        <f>SUM(Table29[oR/G])/N22</f>
        <v>-0.35296599871008938</v>
      </c>
      <c r="V22">
        <f>WIL!K$23</f>
        <v>29</v>
      </c>
      <c r="W22">
        <f>WIL!L$23</f>
        <v>7</v>
      </c>
      <c r="X22">
        <f>WIL!M$23</f>
        <v>19</v>
      </c>
      <c r="Y22">
        <f>WIL!N$23</f>
        <v>13</v>
      </c>
      <c r="Z22">
        <f>WIL!K$26</f>
        <v>14</v>
      </c>
      <c r="AA22">
        <f>WIL!L$26</f>
        <v>10</v>
      </c>
      <c r="AB22">
        <f>WIL!M$26</f>
        <v>34</v>
      </c>
      <c r="AC22">
        <f>WIL!N$26</f>
        <v>10</v>
      </c>
      <c r="AD22" s="89">
        <f>WIL!N$3</f>
        <v>11.555555555555555</v>
      </c>
      <c r="AE22" s="89">
        <f>WIL!N4</f>
        <v>11.703125</v>
      </c>
    </row>
    <row r="23" spans="1:31" x14ac:dyDescent="0.25">
      <c r="A23" t="s">
        <v>164</v>
      </c>
      <c r="B23" s="1" t="s">
        <v>179</v>
      </c>
      <c r="C23" s="1">
        <v>72</v>
      </c>
      <c r="D23" s="1">
        <v>369</v>
      </c>
      <c r="E23" s="1">
        <v>294</v>
      </c>
      <c r="F23" s="3">
        <f t="shared" si="0"/>
        <v>663</v>
      </c>
      <c r="G23" s="2">
        <f t="shared" si="1"/>
        <v>5.125</v>
      </c>
      <c r="H23" s="2">
        <f t="shared" si="2"/>
        <v>9.2083333333333339</v>
      </c>
      <c r="I23" s="2"/>
      <c r="J23" s="2"/>
      <c r="L23" t="s">
        <v>164</v>
      </c>
      <c r="M23" s="1" t="s">
        <v>179</v>
      </c>
      <c r="N23" s="1">
        <f>VLOOKUP($L23,[1]!Table3[[#All],[ABBR]:[Games]],27,FALSE)</f>
        <v>72</v>
      </c>
      <c r="O23" s="1">
        <f>VLOOKUP($L23,[1]!Table3[[#All],[ABBR]:[Games]],15,FALSE)</f>
        <v>510</v>
      </c>
      <c r="P23" s="1">
        <f>VLOOKUP($L23,[1]!Table3[[#All],[ABBR]:[Games]],16,FALSE)</f>
        <v>310</v>
      </c>
      <c r="Q23" s="3">
        <f t="shared" si="3"/>
        <v>820</v>
      </c>
      <c r="R23" s="2">
        <f t="shared" si="4"/>
        <v>2.7777777777777777</v>
      </c>
      <c r="S23" s="2">
        <f t="shared" si="5"/>
        <v>11.388888888888889</v>
      </c>
      <c r="T23" s="2">
        <f>SUM(Table23[oR/G])/N23</f>
        <v>-0.43485369944322838</v>
      </c>
      <c r="V23">
        <f>WIR!K$23</f>
        <v>29</v>
      </c>
      <c r="W23">
        <f>WIR!L$23</f>
        <v>7</v>
      </c>
      <c r="X23">
        <f>WIR!M$23</f>
        <v>28</v>
      </c>
      <c r="Y23">
        <f>WIR!N$23</f>
        <v>8</v>
      </c>
      <c r="Z23">
        <f>WIR!K$26</f>
        <v>30</v>
      </c>
      <c r="AA23">
        <f>WIR!L$26</f>
        <v>10</v>
      </c>
      <c r="AB23">
        <f>WIR!M$26</f>
        <v>27</v>
      </c>
      <c r="AC23">
        <f>WIR!N$26</f>
        <v>5</v>
      </c>
      <c r="AD23" s="89">
        <f>WIR!N$3</f>
        <v>9.5555555555555554</v>
      </c>
      <c r="AE23" s="89">
        <f>WIR!N4</f>
        <v>11.013888888888889</v>
      </c>
    </row>
    <row r="24" spans="1:31" x14ac:dyDescent="0.25">
      <c r="V24">
        <f>SUM(V2:V23)</f>
        <v>420</v>
      </c>
      <c r="W24">
        <f>SUM(W2:W23)</f>
        <v>335</v>
      </c>
    </row>
    <row r="26" spans="1:31" x14ac:dyDescent="0.25">
      <c r="V26">
        <f>V24/(V24+W24)</f>
        <v>0.55629139072847678</v>
      </c>
    </row>
  </sheetData>
  <conditionalFormatting sqref="AD2:AD14 AD16:AD23">
    <cfRule type="cellIs" dxfId="113" priority="3" operator="lessThan">
      <formula>$AE2</formula>
    </cfRule>
    <cfRule type="cellIs" dxfId="112" priority="4" operator="greaterThan">
      <formula>$AE2</formula>
    </cfRule>
  </conditionalFormatting>
  <conditionalFormatting sqref="AE2:AE14 AE16:AE23">
    <cfRule type="cellIs" dxfId="111" priority="1" operator="lessThan">
      <formula>$AD2</formula>
    </cfRule>
    <cfRule type="cellIs" dxfId="110" priority="2" operator="greaterThan">
      <formula>$AD2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42B5-A65E-479B-B88B-DEBD4FD157D4}">
  <sheetPr codeName="Sheet20"/>
  <dimension ref="A1:P147"/>
  <sheetViews>
    <sheetView topLeftCell="A73" workbookViewId="0">
      <selection activeCell="A76" sqref="A76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423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69</v>
      </c>
      <c r="C3" t="s">
        <v>226</v>
      </c>
      <c r="E3" s="1" t="str">
        <f>IF(LEFT(B3,1)="@","Away","Home")</f>
        <v>Home</v>
      </c>
      <c r="F3" s="3">
        <f>_xlfn.NUMBERVALUE(MID(LEFT(C3,FIND("-",C3)-1),FIND(" ",C3)+1,LEN(C3)))</f>
        <v>3</v>
      </c>
      <c r="G3" s="3">
        <f>_xlfn.NUMBERVALUE(RIGHT(C3,LEN(C3)-FIND("-",C3)))</f>
        <v>2</v>
      </c>
      <c r="H3" s="3">
        <f t="shared" ref="H3:H66" si="0">F3+G3</f>
        <v>5</v>
      </c>
      <c r="I3" s="3" t="str">
        <f>LEFT(C3,1)</f>
        <v>W</v>
      </c>
      <c r="K3" s="4" t="s">
        <v>139</v>
      </c>
      <c r="L3" s="5">
        <f>(SUMIF($E$3:$E$74,$K3,F$3:F$74) + SUMIF(Table19[At],$K3,Table19[Scored]))/(COUNTIF($E$3:$E$74,$K3) + COUNTIF(Table19[At],$K3))</f>
        <v>5.8055555555555554</v>
      </c>
      <c r="M3" s="5">
        <f>(SUMIF($E$3:$E$74,$K3,G$3:G$74) + SUMIF(Table19[At],$K3,Table19[Allowed]))/(COUNTIF($E$3:$E$74,$K3) + COUNTIF(Table19[At],$K3))</f>
        <v>3.4027777777777777</v>
      </c>
      <c r="N3" s="5">
        <f>L3+M3</f>
        <v>9.2083333333333321</v>
      </c>
      <c r="O3" s="5">
        <f>(COUNTIFS($E$3:$E$74,$K3,$I$3:$I$74,O$2) + COUNTIFS(Table19[At],$K3,Table19[Result],O$2))/(COUNTIF($E$3:$E$74,$K3) + COUNTIF(Table19[At],$K3))</f>
        <v>0.69444444444444442</v>
      </c>
      <c r="P3" s="5">
        <f>(COUNTIFS($E$3:$E$74,$K3,$I$3:$I$74,P$2) + COUNTIFS(Table19[At],$K3,Table19[Result],P$2))/(COUNTIF($E$3:$E$74,$K3) + COUNTIF(Table19[At],$K3))</f>
        <v>0.30555555555555558</v>
      </c>
    </row>
    <row r="4" spans="1:16" x14ac:dyDescent="0.25">
      <c r="A4" t="s">
        <v>7</v>
      </c>
      <c r="B4" t="s">
        <v>69</v>
      </c>
      <c r="C4" t="s">
        <v>15</v>
      </c>
      <c r="E4" s="1" t="str">
        <f t="shared" ref="E4:E67" si="1">IF(LEFT(B4,1)="@","Away","Home")</f>
        <v>Home</v>
      </c>
      <c r="F4" s="3">
        <f t="shared" ref="F4:F67" si="2">_xlfn.NUMBERVALUE(MID(LEFT(C4,FIND("-",C4)-1),FIND(" ",C4)+1,LEN(C4)))</f>
        <v>3</v>
      </c>
      <c r="G4" s="3">
        <f t="shared" ref="G4:G67" si="3">_xlfn.NUMBERVALUE(RIGHT(C4,LEN(C4)-FIND("-",C4)))</f>
        <v>1</v>
      </c>
      <c r="H4" s="3">
        <f t="shared" si="0"/>
        <v>4</v>
      </c>
      <c r="I4" s="3" t="str">
        <f t="shared" ref="I4:I67" si="4">LEFT(C4,1)</f>
        <v>W</v>
      </c>
      <c r="K4" s="4" t="s">
        <v>140</v>
      </c>
      <c r="L4" s="5">
        <f>(SUMIF($E$3:$E$74,$K4,F$3:F$74) + SUMIF(Table19[At],$K4,Table19[Scored]))/(COUNTIF($E$3:$E$74,$K4) + COUNTIF(Table19[At],$K4))</f>
        <v>6.563380281690141</v>
      </c>
      <c r="M4" s="5">
        <f>(SUMIF($E$3:$E$74,$K4,G$3:G$74) + SUMIF(Table19[At],$K4,Table19[Allowed]))/(COUNTIF($E$3:$E$74,$K4) + COUNTIF(Table19[At],$K4))</f>
        <v>5.816901408450704</v>
      </c>
      <c r="N4" s="5">
        <f>L4+M4</f>
        <v>12.380281690140844</v>
      </c>
      <c r="O4" s="5">
        <f>(COUNTIFS($E$3:$E$74,$K4,$I$3:$I$74,O$2) + COUNTIFS(Table19[At],$K4,Table19[Result],O$2))/(COUNTIF($E$3:$E$74,$K4) + COUNTIF(Table19[At],$K4))</f>
        <v>0.52112676056338025</v>
      </c>
      <c r="P4" s="5">
        <f>(COUNTIFS($E$3:$E$74,$K4,$I$3:$I$74,P$2) + COUNTIFS(Table19[At],$K4,Table19[Result],P$2))/(COUNTIF($E$3:$E$74,$K4) + COUNTIF(Table19[At],$K4))</f>
        <v>0.47887323943661969</v>
      </c>
    </row>
    <row r="5" spans="1:16" x14ac:dyDescent="0.25">
      <c r="A5" t="s">
        <v>9</v>
      </c>
      <c r="B5" t="s">
        <v>20</v>
      </c>
      <c r="C5" t="s">
        <v>373</v>
      </c>
      <c r="E5" s="1" t="str">
        <f t="shared" si="1"/>
        <v>Home</v>
      </c>
      <c r="F5" s="3">
        <f t="shared" si="2"/>
        <v>11</v>
      </c>
      <c r="G5" s="3">
        <f t="shared" si="3"/>
        <v>1</v>
      </c>
      <c r="H5" s="3">
        <f t="shared" si="0"/>
        <v>12</v>
      </c>
      <c r="I5" s="3" t="str">
        <f t="shared" si="4"/>
        <v>W</v>
      </c>
    </row>
    <row r="6" spans="1:16" x14ac:dyDescent="0.25">
      <c r="A6" t="s">
        <v>12</v>
      </c>
      <c r="B6" t="s">
        <v>20</v>
      </c>
      <c r="C6" t="s">
        <v>223</v>
      </c>
      <c r="E6" s="1" t="str">
        <f t="shared" si="1"/>
        <v>Home</v>
      </c>
      <c r="F6" s="3">
        <f t="shared" si="2"/>
        <v>10</v>
      </c>
      <c r="G6" s="3">
        <f t="shared" si="3"/>
        <v>4</v>
      </c>
      <c r="H6" s="3">
        <f t="shared" si="0"/>
        <v>14</v>
      </c>
      <c r="I6" s="3" t="str">
        <f t="shared" si="4"/>
        <v>W</v>
      </c>
      <c r="K6" s="4" t="s">
        <v>144</v>
      </c>
      <c r="L6" s="5">
        <f>N3/N4</f>
        <v>0.74379029199848312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30</v>
      </c>
      <c r="C7" t="s">
        <v>296</v>
      </c>
      <c r="E7" s="1" t="str">
        <f t="shared" si="1"/>
        <v>Away</v>
      </c>
      <c r="F7" s="3">
        <f t="shared" si="2"/>
        <v>3</v>
      </c>
      <c r="G7" s="3">
        <f t="shared" si="3"/>
        <v>10</v>
      </c>
      <c r="H7" s="3">
        <f t="shared" si="0"/>
        <v>13</v>
      </c>
      <c r="I7" s="3" t="str">
        <f t="shared" si="4"/>
        <v>L</v>
      </c>
      <c r="K7" s="7" t="s">
        <v>143</v>
      </c>
      <c r="L7" s="5">
        <f>(18.5 - O3)/(18.5-P4)</f>
        <v>0.98803786201207078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30</v>
      </c>
      <c r="C8" t="s">
        <v>424</v>
      </c>
      <c r="E8" s="1" t="str">
        <f t="shared" si="1"/>
        <v>Away</v>
      </c>
      <c r="F8" s="3">
        <f t="shared" si="2"/>
        <v>14</v>
      </c>
      <c r="G8" s="3">
        <f t="shared" si="3"/>
        <v>7</v>
      </c>
      <c r="H8" s="3">
        <f t="shared" si="0"/>
        <v>21</v>
      </c>
      <c r="I8" s="3" t="str">
        <f t="shared" si="4"/>
        <v>W</v>
      </c>
      <c r="K8" s="7" t="s">
        <v>146</v>
      </c>
      <c r="L8" s="5">
        <f>L6/L7</f>
        <v>0.75279533365634954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319</v>
      </c>
      <c r="C9" t="s">
        <v>48</v>
      </c>
      <c r="E9" s="1" t="str">
        <f t="shared" si="1"/>
        <v>Away</v>
      </c>
      <c r="F9" s="3">
        <f t="shared" si="2"/>
        <v>4</v>
      </c>
      <c r="G9" s="3">
        <f t="shared" si="3"/>
        <v>5</v>
      </c>
      <c r="H9" s="3">
        <f t="shared" si="0"/>
        <v>9</v>
      </c>
      <c r="I9" s="3" t="str">
        <f t="shared" si="4"/>
        <v>L</v>
      </c>
      <c r="K9" s="7" t="s">
        <v>145</v>
      </c>
      <c r="L9" s="5">
        <f>(P7)/(P7-1+L8)</f>
        <v>1.0210336910773672</v>
      </c>
      <c r="O9" s="4"/>
      <c r="P9" s="1"/>
    </row>
    <row r="10" spans="1:16" x14ac:dyDescent="0.25">
      <c r="A10" t="s">
        <v>193</v>
      </c>
      <c r="B10" t="s">
        <v>319</v>
      </c>
      <c r="C10" t="s">
        <v>257</v>
      </c>
      <c r="E10" s="1" t="str">
        <f t="shared" si="1"/>
        <v>Away</v>
      </c>
      <c r="F10" s="3">
        <f t="shared" si="2"/>
        <v>13</v>
      </c>
      <c r="G10" s="3">
        <f t="shared" si="3"/>
        <v>4</v>
      </c>
      <c r="H10" s="3">
        <f t="shared" si="0"/>
        <v>17</v>
      </c>
      <c r="I10" s="3" t="str">
        <f t="shared" si="4"/>
        <v>W</v>
      </c>
      <c r="K10" s="4" t="s">
        <v>149</v>
      </c>
      <c r="L10" s="5">
        <f>L8*L9</f>
        <v>0.76862939814896081</v>
      </c>
      <c r="O10" s="4"/>
      <c r="P10" s="1"/>
    </row>
    <row r="11" spans="1:16" x14ac:dyDescent="0.25">
      <c r="A11" t="s">
        <v>22</v>
      </c>
      <c r="B11" t="s">
        <v>341</v>
      </c>
      <c r="C11" t="s">
        <v>92</v>
      </c>
      <c r="E11" s="1" t="str">
        <f t="shared" si="1"/>
        <v>Away</v>
      </c>
      <c r="F11" s="3">
        <f t="shared" si="2"/>
        <v>5</v>
      </c>
      <c r="G11" s="3">
        <f t="shared" si="3"/>
        <v>10</v>
      </c>
      <c r="H11" s="3">
        <f t="shared" si="0"/>
        <v>15</v>
      </c>
      <c r="I11" s="3" t="str">
        <f t="shared" si="4"/>
        <v>L</v>
      </c>
      <c r="K11" s="4" t="s">
        <v>148</v>
      </c>
      <c r="L11" s="5">
        <f>1 - ((L10-1)/(P7-1))</f>
        <v>1.0210336910773672</v>
      </c>
      <c r="O11" s="4"/>
      <c r="P11" s="1"/>
    </row>
    <row r="12" spans="1:16" x14ac:dyDescent="0.25">
      <c r="A12" t="s">
        <v>25</v>
      </c>
      <c r="B12" t="s">
        <v>5</v>
      </c>
      <c r="C12" t="s">
        <v>59</v>
      </c>
      <c r="E12" s="1" t="str">
        <f t="shared" si="1"/>
        <v>Home</v>
      </c>
      <c r="F12" s="3">
        <f t="shared" si="2"/>
        <v>11</v>
      </c>
      <c r="G12" s="3">
        <f t="shared" si="3"/>
        <v>7</v>
      </c>
      <c r="H12" s="3">
        <f t="shared" si="0"/>
        <v>18</v>
      </c>
      <c r="I12" s="3" t="str">
        <f t="shared" si="4"/>
        <v>W</v>
      </c>
      <c r="K12" s="4" t="s">
        <v>150</v>
      </c>
      <c r="L12" s="5">
        <f>(($L4/$L11)+($L3/$L10)) * (1 + (L13-1)/($P7-1)) / $P8</f>
        <v>1.2225991127666056</v>
      </c>
      <c r="M12" s="5">
        <f t="shared" ref="M12:O12" si="5">(($L4/$L11)+($L3/$L10)) * (1 + (M13-1)/($P7-1)) / $P8</f>
        <v>1.2118429349576449</v>
      </c>
      <c r="N12" s="5">
        <f t="shared" si="5"/>
        <v>1.2117467180267651</v>
      </c>
      <c r="O12" s="8">
        <f t="shared" si="5"/>
        <v>1.2117458573401949</v>
      </c>
      <c r="P12" s="5"/>
    </row>
    <row r="13" spans="1:16" x14ac:dyDescent="0.25">
      <c r="A13" t="s">
        <v>27</v>
      </c>
      <c r="B13" t="s">
        <v>5</v>
      </c>
      <c r="C13" t="s">
        <v>270</v>
      </c>
      <c r="E13" s="1" t="str">
        <f t="shared" si="1"/>
        <v>Home</v>
      </c>
      <c r="F13" s="3">
        <f t="shared" si="2"/>
        <v>4</v>
      </c>
      <c r="G13" s="3">
        <f t="shared" si="3"/>
        <v>3</v>
      </c>
      <c r="H13" s="3">
        <f t="shared" si="0"/>
        <v>7</v>
      </c>
      <c r="I13" s="3" t="str">
        <f t="shared" si="4"/>
        <v>W</v>
      </c>
      <c r="K13" s="4" t="s">
        <v>182</v>
      </c>
      <c r="L13" s="5">
        <v>1</v>
      </c>
      <c r="M13" s="5">
        <f>(($M4/$L11)+($M3/$L10)) * (1 + (L12-1)/($P7-1)) / $P8</f>
        <v>0.90322424197509255</v>
      </c>
      <c r="N13" s="5">
        <f>(($M4/$L11)+($M3/$L10)) * (1 + (M12-1)/($P7-1)) / $P8</f>
        <v>0.90235855654425534</v>
      </c>
      <c r="O13" s="5">
        <f>(($M4/$L11)+($M3/$L10)) * (1 + (N12-1)/($P7-1)) / $P8</f>
        <v>0.90235081275303686</v>
      </c>
      <c r="P13" s="8">
        <f>(($M4/$L11)+($M3/$L10)) * (1 + (O12-1)/($P7-1)) / $P8</f>
        <v>0.90235074348272171</v>
      </c>
    </row>
    <row r="14" spans="1:16" x14ac:dyDescent="0.25">
      <c r="A14" t="s">
        <v>29</v>
      </c>
      <c r="B14" t="s">
        <v>17</v>
      </c>
      <c r="C14" t="s">
        <v>219</v>
      </c>
      <c r="E14" s="1" t="str">
        <f t="shared" si="1"/>
        <v>Away</v>
      </c>
      <c r="F14" s="3">
        <f t="shared" si="2"/>
        <v>0</v>
      </c>
      <c r="G14" s="3">
        <f t="shared" si="3"/>
        <v>2</v>
      </c>
      <c r="H14" s="3">
        <f t="shared" si="0"/>
        <v>2</v>
      </c>
      <c r="I14" s="3" t="str">
        <f t="shared" si="4"/>
        <v>L</v>
      </c>
      <c r="K14" s="4" t="s">
        <v>183</v>
      </c>
      <c r="L14" s="5">
        <f xml:space="preserve"> (L10+L11) / (2 * (1 + ((P13-1)/(P7-1))))</f>
        <v>0.90284629639428049</v>
      </c>
      <c r="N14" s="5"/>
    </row>
    <row r="15" spans="1:16" x14ac:dyDescent="0.25">
      <c r="A15" t="s">
        <v>32</v>
      </c>
      <c r="B15" t="s">
        <v>17</v>
      </c>
      <c r="C15" t="s">
        <v>279</v>
      </c>
      <c r="E15" s="1" t="str">
        <f t="shared" si="1"/>
        <v>Away</v>
      </c>
      <c r="F15" s="3">
        <f t="shared" si="2"/>
        <v>7</v>
      </c>
      <c r="G15" s="3">
        <f t="shared" si="3"/>
        <v>2</v>
      </c>
      <c r="H15" s="3">
        <f t="shared" si="0"/>
        <v>9</v>
      </c>
      <c r="I15" s="3" t="str">
        <f t="shared" si="4"/>
        <v>W</v>
      </c>
      <c r="K15" s="4" t="s">
        <v>184</v>
      </c>
      <c r="L15" s="5">
        <f xml:space="preserve"> (L10+L11) / (2 * (1 + ((O12-1)/(P7-1))))</f>
        <v>0.87793169021046036</v>
      </c>
    </row>
    <row r="16" spans="1:16" ht="15.75" thickBot="1" x14ac:dyDescent="0.3">
      <c r="A16" t="s">
        <v>34</v>
      </c>
      <c r="B16" t="s">
        <v>333</v>
      </c>
      <c r="C16" t="s">
        <v>6</v>
      </c>
      <c r="E16" s="1" t="str">
        <f t="shared" si="1"/>
        <v>Home</v>
      </c>
      <c r="F16" s="3">
        <f t="shared" si="2"/>
        <v>2</v>
      </c>
      <c r="G16" s="3">
        <f t="shared" si="3"/>
        <v>6</v>
      </c>
      <c r="H16" s="3">
        <f t="shared" si="0"/>
        <v>8</v>
      </c>
      <c r="I16" s="3" t="str">
        <f t="shared" si="4"/>
        <v>L</v>
      </c>
    </row>
    <row r="17" spans="1:14" x14ac:dyDescent="0.25">
      <c r="A17" t="s">
        <v>37</v>
      </c>
      <c r="B17" t="s">
        <v>333</v>
      </c>
      <c r="C17" t="s">
        <v>24</v>
      </c>
      <c r="E17" s="1" t="str">
        <f t="shared" si="1"/>
        <v>Home</v>
      </c>
      <c r="F17" s="3">
        <f t="shared" si="2"/>
        <v>10</v>
      </c>
      <c r="G17" s="3">
        <f t="shared" si="3"/>
        <v>5</v>
      </c>
      <c r="H17" s="3">
        <f t="shared" si="0"/>
        <v>15</v>
      </c>
      <c r="I17" s="3" t="str">
        <f t="shared" si="4"/>
        <v>W</v>
      </c>
      <c r="K17" s="9" t="s">
        <v>185</v>
      </c>
      <c r="L17" s="10">
        <f>L14*100</f>
        <v>90.284629639428047</v>
      </c>
    </row>
    <row r="18" spans="1:14" ht="15.75" thickBot="1" x14ac:dyDescent="0.3">
      <c r="A18" t="s">
        <v>39</v>
      </c>
      <c r="B18" t="s">
        <v>343</v>
      </c>
      <c r="C18" t="s">
        <v>72</v>
      </c>
      <c r="E18" s="1" t="str">
        <f t="shared" si="1"/>
        <v>Home</v>
      </c>
      <c r="F18" s="3">
        <f t="shared" si="2"/>
        <v>12</v>
      </c>
      <c r="G18" s="3">
        <f t="shared" si="3"/>
        <v>3</v>
      </c>
      <c r="H18" s="3">
        <f t="shared" si="0"/>
        <v>15</v>
      </c>
      <c r="I18" s="3" t="str">
        <f t="shared" si="4"/>
        <v>W</v>
      </c>
      <c r="K18" s="11" t="s">
        <v>186</v>
      </c>
      <c r="L18" s="12">
        <f>L15*100</f>
        <v>87.79316902104604</v>
      </c>
    </row>
    <row r="19" spans="1:14" x14ac:dyDescent="0.25">
      <c r="A19" t="s">
        <v>41</v>
      </c>
      <c r="B19" t="s">
        <v>343</v>
      </c>
      <c r="C19" t="s">
        <v>217</v>
      </c>
      <c r="E19" s="1" t="str">
        <f t="shared" si="1"/>
        <v>Home</v>
      </c>
      <c r="F19" s="3">
        <f t="shared" si="2"/>
        <v>3</v>
      </c>
      <c r="G19" s="3">
        <f t="shared" si="3"/>
        <v>0</v>
      </c>
      <c r="H19" s="3">
        <f t="shared" si="0"/>
        <v>3</v>
      </c>
      <c r="I19" s="3" t="str">
        <f t="shared" si="4"/>
        <v>W</v>
      </c>
    </row>
    <row r="20" spans="1:14" x14ac:dyDescent="0.25">
      <c r="A20" t="s">
        <v>43</v>
      </c>
      <c r="B20" t="s">
        <v>103</v>
      </c>
      <c r="C20" t="s">
        <v>254</v>
      </c>
      <c r="E20" s="1" t="str">
        <f t="shared" si="1"/>
        <v>Home</v>
      </c>
      <c r="F20" s="3">
        <f t="shared" si="2"/>
        <v>5</v>
      </c>
      <c r="G20" s="3">
        <f t="shared" si="3"/>
        <v>4</v>
      </c>
      <c r="H20" s="3">
        <f t="shared" si="0"/>
        <v>9</v>
      </c>
      <c r="I20" s="3" t="str">
        <f t="shared" si="4"/>
        <v>W</v>
      </c>
    </row>
    <row r="21" spans="1:14" x14ac:dyDescent="0.25">
      <c r="A21" t="s">
        <v>45</v>
      </c>
      <c r="B21" t="s">
        <v>103</v>
      </c>
      <c r="C21" t="s">
        <v>42</v>
      </c>
      <c r="E21" s="1" t="str">
        <f t="shared" si="1"/>
        <v>Home</v>
      </c>
      <c r="F21" s="3">
        <f t="shared" si="2"/>
        <v>0</v>
      </c>
      <c r="G21" s="3">
        <f t="shared" si="3"/>
        <v>3</v>
      </c>
      <c r="H21" s="3">
        <f t="shared" si="0"/>
        <v>3</v>
      </c>
      <c r="I21" s="3" t="str">
        <f t="shared" si="4"/>
        <v>L</v>
      </c>
    </row>
    <row r="22" spans="1:14" x14ac:dyDescent="0.25">
      <c r="A22" t="s">
        <v>47</v>
      </c>
      <c r="B22" t="s">
        <v>52</v>
      </c>
      <c r="C22" t="s">
        <v>351</v>
      </c>
      <c r="E22" s="1" t="str">
        <f t="shared" si="1"/>
        <v>Home</v>
      </c>
      <c r="F22" s="3">
        <f t="shared" si="2"/>
        <v>2</v>
      </c>
      <c r="G22" s="3">
        <f t="shared" si="3"/>
        <v>1</v>
      </c>
      <c r="H22" s="3">
        <f t="shared" si="0"/>
        <v>3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49</v>
      </c>
      <c r="B23" t="s">
        <v>52</v>
      </c>
      <c r="C23" t="s">
        <v>6</v>
      </c>
      <c r="E23" s="1" t="str">
        <f t="shared" si="1"/>
        <v>Home</v>
      </c>
      <c r="F23" s="3">
        <f t="shared" si="2"/>
        <v>2</v>
      </c>
      <c r="G23" s="3">
        <f t="shared" si="3"/>
        <v>6</v>
      </c>
      <c r="H23" s="3">
        <f t="shared" si="0"/>
        <v>8</v>
      </c>
      <c r="I23" s="3" t="str">
        <f t="shared" si="4"/>
        <v>L</v>
      </c>
      <c r="K23" s="1">
        <f>COUNTIFS(Table19[At], "Home",Table19[Result], "W")</f>
        <v>25</v>
      </c>
      <c r="L23" s="1">
        <f>COUNTIFS(Table19[At], "Home",Table19[Result], "L")</f>
        <v>11</v>
      </c>
      <c r="M23" s="1">
        <f>COUNTIFS(Table19[At], "Away",Table19[Result], "W")</f>
        <v>20</v>
      </c>
      <c r="N23" s="1">
        <f>COUNTIFS(Table19[At], "Away",Table19[Result], "L")</f>
        <v>16</v>
      </c>
    </row>
    <row r="24" spans="1:14" x14ac:dyDescent="0.25">
      <c r="A24" t="s">
        <v>51</v>
      </c>
      <c r="B24" t="s">
        <v>10</v>
      </c>
      <c r="C24" t="s">
        <v>6</v>
      </c>
      <c r="E24" s="1" t="str">
        <f t="shared" si="1"/>
        <v>Away</v>
      </c>
      <c r="F24" s="3">
        <f t="shared" si="2"/>
        <v>2</v>
      </c>
      <c r="G24" s="3">
        <f t="shared" si="3"/>
        <v>6</v>
      </c>
      <c r="H24" s="3">
        <f t="shared" si="0"/>
        <v>8</v>
      </c>
      <c r="I24" s="3" t="str">
        <f t="shared" si="4"/>
        <v>L</v>
      </c>
      <c r="K24" s="1"/>
      <c r="M24" s="1"/>
      <c r="N24" s="1"/>
    </row>
    <row r="25" spans="1:14" x14ac:dyDescent="0.25">
      <c r="A25" t="s">
        <v>53</v>
      </c>
      <c r="B25" t="s">
        <v>10</v>
      </c>
      <c r="C25" t="s">
        <v>280</v>
      </c>
      <c r="E25" s="1" t="str">
        <f t="shared" si="1"/>
        <v>Away</v>
      </c>
      <c r="F25" s="3">
        <f t="shared" si="2"/>
        <v>8</v>
      </c>
      <c r="G25" s="3">
        <f t="shared" si="3"/>
        <v>3</v>
      </c>
      <c r="H25" s="3">
        <f t="shared" si="0"/>
        <v>11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53</v>
      </c>
      <c r="B26" t="s">
        <v>10</v>
      </c>
      <c r="C26" t="s">
        <v>384</v>
      </c>
      <c r="E26" s="1" t="str">
        <f t="shared" si="1"/>
        <v>Away</v>
      </c>
      <c r="F26" s="3">
        <f t="shared" si="2"/>
        <v>7</v>
      </c>
      <c r="G26" s="3">
        <f t="shared" si="3"/>
        <v>5</v>
      </c>
      <c r="H26" s="3">
        <f t="shared" si="0"/>
        <v>12</v>
      </c>
      <c r="I26" s="3" t="str">
        <f t="shared" si="4"/>
        <v>W</v>
      </c>
      <c r="K26" s="1">
        <f>COUNTIFS(Table19[oR/G], "&gt;0",Table19[Result], "W")</f>
        <v>20</v>
      </c>
      <c r="L26" s="1">
        <f>COUNTIFS(Table19[oR/G], "&gt;0",Table19[Result], "l")</f>
        <v>12</v>
      </c>
      <c r="M26" s="1">
        <f>COUNTIFS(Table19[oR/G], "&lt;0",Table19[Result], "W")</f>
        <v>25</v>
      </c>
      <c r="N26" s="1">
        <f>COUNTIFS(Table19[oR/G], "&lt;0",Table19[Result], "l")</f>
        <v>15</v>
      </c>
    </row>
    <row r="27" spans="1:14" x14ac:dyDescent="0.25">
      <c r="A27" t="s">
        <v>208</v>
      </c>
      <c r="B27" t="s">
        <v>10</v>
      </c>
      <c r="C27" t="s">
        <v>240</v>
      </c>
      <c r="E27" s="1" t="str">
        <f t="shared" si="1"/>
        <v>Away</v>
      </c>
      <c r="F27" s="3">
        <f t="shared" si="2"/>
        <v>1</v>
      </c>
      <c r="G27" s="3">
        <f t="shared" si="3"/>
        <v>3</v>
      </c>
      <c r="H27" s="3">
        <f t="shared" si="0"/>
        <v>4</v>
      </c>
      <c r="I27" s="3" t="str">
        <f t="shared" si="4"/>
        <v>L</v>
      </c>
    </row>
    <row r="28" spans="1:14" x14ac:dyDescent="0.25">
      <c r="A28" t="s">
        <v>54</v>
      </c>
      <c r="B28" t="s">
        <v>341</v>
      </c>
      <c r="C28" t="s">
        <v>384</v>
      </c>
      <c r="E28" s="1" t="str">
        <f t="shared" si="1"/>
        <v>Away</v>
      </c>
      <c r="F28" s="3">
        <f t="shared" si="2"/>
        <v>7</v>
      </c>
      <c r="G28" s="3">
        <f t="shared" si="3"/>
        <v>5</v>
      </c>
      <c r="H28" s="3">
        <f t="shared" si="0"/>
        <v>12</v>
      </c>
      <c r="I28" s="3" t="str">
        <f t="shared" si="4"/>
        <v>W</v>
      </c>
    </row>
    <row r="29" spans="1:14" x14ac:dyDescent="0.25">
      <c r="A29" t="s">
        <v>54</v>
      </c>
      <c r="B29" t="s">
        <v>341</v>
      </c>
      <c r="C29" t="s">
        <v>276</v>
      </c>
      <c r="E29" s="1" t="str">
        <f t="shared" si="1"/>
        <v>Away</v>
      </c>
      <c r="F29" s="3">
        <f t="shared" si="2"/>
        <v>2</v>
      </c>
      <c r="G29" s="3">
        <f t="shared" si="3"/>
        <v>4</v>
      </c>
      <c r="H29" s="3">
        <f t="shared" si="0"/>
        <v>6</v>
      </c>
      <c r="I29" s="3" t="str">
        <f t="shared" si="4"/>
        <v>L</v>
      </c>
    </row>
    <row r="30" spans="1:14" x14ac:dyDescent="0.25">
      <c r="A30" t="s">
        <v>54</v>
      </c>
      <c r="B30" t="s">
        <v>341</v>
      </c>
      <c r="C30" t="s">
        <v>229</v>
      </c>
      <c r="E30" s="1" t="str">
        <f t="shared" si="1"/>
        <v>Away</v>
      </c>
      <c r="F30" s="3">
        <f t="shared" si="2"/>
        <v>7</v>
      </c>
      <c r="G30" s="3">
        <f t="shared" si="3"/>
        <v>1</v>
      </c>
      <c r="H30" s="3">
        <f t="shared" si="0"/>
        <v>8</v>
      </c>
      <c r="I30" s="3" t="str">
        <f t="shared" si="4"/>
        <v>W</v>
      </c>
    </row>
    <row r="31" spans="1:14" x14ac:dyDescent="0.25">
      <c r="A31" t="s">
        <v>60</v>
      </c>
      <c r="B31" t="s">
        <v>30</v>
      </c>
      <c r="C31" t="s">
        <v>132</v>
      </c>
      <c r="E31" s="1" t="str">
        <f t="shared" si="1"/>
        <v>Away</v>
      </c>
      <c r="F31" s="3">
        <f t="shared" si="2"/>
        <v>3</v>
      </c>
      <c r="G31" s="3">
        <f t="shared" si="3"/>
        <v>6</v>
      </c>
      <c r="H31" s="3">
        <f t="shared" si="0"/>
        <v>9</v>
      </c>
      <c r="I31" s="3" t="str">
        <f t="shared" si="4"/>
        <v>L</v>
      </c>
    </row>
    <row r="32" spans="1:14" x14ac:dyDescent="0.25">
      <c r="A32" t="s">
        <v>60</v>
      </c>
      <c r="B32" t="s">
        <v>30</v>
      </c>
      <c r="C32" t="s">
        <v>15</v>
      </c>
      <c r="E32" s="1" t="str">
        <f t="shared" si="1"/>
        <v>Away</v>
      </c>
      <c r="F32" s="3">
        <f t="shared" si="2"/>
        <v>3</v>
      </c>
      <c r="G32" s="3">
        <f t="shared" si="3"/>
        <v>1</v>
      </c>
      <c r="H32" s="3">
        <f t="shared" si="0"/>
        <v>4</v>
      </c>
      <c r="I32" s="3" t="str">
        <f t="shared" si="4"/>
        <v>W</v>
      </c>
    </row>
    <row r="33" spans="1:9" x14ac:dyDescent="0.25">
      <c r="A33" t="s">
        <v>62</v>
      </c>
      <c r="B33" t="s">
        <v>5</v>
      </c>
      <c r="C33" t="s">
        <v>35</v>
      </c>
      <c r="E33" s="1" t="str">
        <f t="shared" si="1"/>
        <v>Home</v>
      </c>
      <c r="F33" s="3">
        <f t="shared" si="2"/>
        <v>4</v>
      </c>
      <c r="G33" s="3">
        <f t="shared" si="3"/>
        <v>1</v>
      </c>
      <c r="H33" s="3">
        <f t="shared" si="0"/>
        <v>5</v>
      </c>
      <c r="I33" s="3" t="str">
        <f t="shared" si="4"/>
        <v>W</v>
      </c>
    </row>
    <row r="34" spans="1:9" x14ac:dyDescent="0.25">
      <c r="A34" t="s">
        <v>64</v>
      </c>
      <c r="B34" t="s">
        <v>5</v>
      </c>
      <c r="C34" t="s">
        <v>298</v>
      </c>
      <c r="E34" s="1" t="str">
        <f t="shared" si="1"/>
        <v>Home</v>
      </c>
      <c r="F34" s="3">
        <f t="shared" si="2"/>
        <v>1</v>
      </c>
      <c r="G34" s="3">
        <f t="shared" si="3"/>
        <v>2</v>
      </c>
      <c r="H34" s="3">
        <f t="shared" si="0"/>
        <v>3</v>
      </c>
      <c r="I34" s="3" t="str">
        <f t="shared" si="4"/>
        <v>L</v>
      </c>
    </row>
    <row r="35" spans="1:9" x14ac:dyDescent="0.25">
      <c r="A35" t="s">
        <v>66</v>
      </c>
      <c r="B35" t="s">
        <v>52</v>
      </c>
      <c r="C35" t="s">
        <v>48</v>
      </c>
      <c r="E35" s="1" t="str">
        <f t="shared" si="1"/>
        <v>Home</v>
      </c>
      <c r="F35" s="3">
        <f t="shared" si="2"/>
        <v>4</v>
      </c>
      <c r="G35" s="3">
        <f t="shared" si="3"/>
        <v>5</v>
      </c>
      <c r="H35" s="3">
        <f t="shared" si="0"/>
        <v>9</v>
      </c>
      <c r="I35" s="3" t="str">
        <f t="shared" si="4"/>
        <v>L</v>
      </c>
    </row>
    <row r="36" spans="1:9" x14ac:dyDescent="0.25">
      <c r="A36" t="s">
        <v>67</v>
      </c>
      <c r="B36" t="s">
        <v>52</v>
      </c>
      <c r="C36" t="s">
        <v>298</v>
      </c>
      <c r="E36" s="1" t="str">
        <f t="shared" si="1"/>
        <v>Home</v>
      </c>
      <c r="F36" s="3">
        <f t="shared" si="2"/>
        <v>1</v>
      </c>
      <c r="G36" s="3">
        <f t="shared" si="3"/>
        <v>2</v>
      </c>
      <c r="H36" s="3">
        <f t="shared" si="0"/>
        <v>3</v>
      </c>
      <c r="I36" s="3" t="str">
        <f t="shared" si="4"/>
        <v>L</v>
      </c>
    </row>
    <row r="37" spans="1:9" x14ac:dyDescent="0.25">
      <c r="A37" t="s">
        <v>68</v>
      </c>
      <c r="B37" t="s">
        <v>17</v>
      </c>
      <c r="C37" t="s">
        <v>307</v>
      </c>
      <c r="E37" s="1" t="str">
        <f t="shared" si="1"/>
        <v>Away</v>
      </c>
      <c r="F37" s="3">
        <f t="shared" si="2"/>
        <v>16</v>
      </c>
      <c r="G37" s="3">
        <f t="shared" si="3"/>
        <v>2</v>
      </c>
      <c r="H37" s="3">
        <f t="shared" si="0"/>
        <v>18</v>
      </c>
      <c r="I37" s="3" t="str">
        <f t="shared" si="4"/>
        <v>W</v>
      </c>
    </row>
    <row r="38" spans="1:9" x14ac:dyDescent="0.25">
      <c r="A38" t="s">
        <v>71</v>
      </c>
      <c r="B38" t="s">
        <v>17</v>
      </c>
      <c r="C38" t="s">
        <v>425</v>
      </c>
      <c r="E38" s="1" t="str">
        <f t="shared" si="1"/>
        <v>Away</v>
      </c>
      <c r="F38" s="3">
        <f t="shared" si="2"/>
        <v>2</v>
      </c>
      <c r="G38" s="3">
        <f t="shared" si="3"/>
        <v>18</v>
      </c>
      <c r="H38" s="3">
        <f t="shared" si="0"/>
        <v>20</v>
      </c>
      <c r="I38" s="3" t="str">
        <f t="shared" si="4"/>
        <v>L</v>
      </c>
    </row>
    <row r="39" spans="1:9" x14ac:dyDescent="0.25">
      <c r="A39" t="s">
        <v>209</v>
      </c>
      <c r="B39" t="s">
        <v>124</v>
      </c>
      <c r="C39" t="s">
        <v>302</v>
      </c>
      <c r="E39" s="1" t="str">
        <f t="shared" si="1"/>
        <v>Away</v>
      </c>
      <c r="F39" s="3">
        <f t="shared" si="2"/>
        <v>2</v>
      </c>
      <c r="G39" s="3">
        <f t="shared" si="3"/>
        <v>9</v>
      </c>
      <c r="H39" s="3">
        <f t="shared" si="0"/>
        <v>11</v>
      </c>
      <c r="I39" s="3" t="str">
        <f t="shared" si="4"/>
        <v>L</v>
      </c>
    </row>
    <row r="40" spans="1:9" x14ac:dyDescent="0.25">
      <c r="A40" t="s">
        <v>209</v>
      </c>
      <c r="B40" t="s">
        <v>124</v>
      </c>
      <c r="C40" t="s">
        <v>282</v>
      </c>
      <c r="E40" s="1" t="str">
        <f t="shared" si="1"/>
        <v>Away</v>
      </c>
      <c r="F40" s="3">
        <f t="shared" si="2"/>
        <v>6</v>
      </c>
      <c r="G40" s="3">
        <f t="shared" si="3"/>
        <v>0</v>
      </c>
      <c r="H40" s="3">
        <f t="shared" si="0"/>
        <v>6</v>
      </c>
      <c r="I40" s="3" t="str">
        <f t="shared" si="4"/>
        <v>W</v>
      </c>
    </row>
    <row r="41" spans="1:9" x14ac:dyDescent="0.25">
      <c r="A41" t="s">
        <v>76</v>
      </c>
      <c r="B41" t="s">
        <v>332</v>
      </c>
      <c r="C41" t="s">
        <v>48</v>
      </c>
      <c r="E41" s="1" t="str">
        <f t="shared" si="1"/>
        <v>Away</v>
      </c>
      <c r="F41" s="3">
        <f t="shared" si="2"/>
        <v>4</v>
      </c>
      <c r="G41" s="3">
        <f t="shared" si="3"/>
        <v>5</v>
      </c>
      <c r="H41" s="3">
        <f t="shared" si="0"/>
        <v>9</v>
      </c>
      <c r="I41" s="3" t="str">
        <f t="shared" si="4"/>
        <v>L</v>
      </c>
    </row>
    <row r="42" spans="1:9" x14ac:dyDescent="0.25">
      <c r="A42" t="s">
        <v>78</v>
      </c>
      <c r="B42" t="s">
        <v>332</v>
      </c>
      <c r="C42" t="s">
        <v>322</v>
      </c>
      <c r="E42" s="1" t="str">
        <f t="shared" si="1"/>
        <v>Away</v>
      </c>
      <c r="F42" s="3">
        <f t="shared" si="2"/>
        <v>6</v>
      </c>
      <c r="G42" s="3">
        <f t="shared" si="3"/>
        <v>7</v>
      </c>
      <c r="H42" s="3">
        <f t="shared" si="0"/>
        <v>13</v>
      </c>
      <c r="I42" s="3" t="str">
        <f t="shared" si="4"/>
        <v>L</v>
      </c>
    </row>
    <row r="43" spans="1:9" x14ac:dyDescent="0.25">
      <c r="A43" t="s">
        <v>80</v>
      </c>
      <c r="B43" t="s">
        <v>321</v>
      </c>
      <c r="C43" t="s">
        <v>298</v>
      </c>
      <c r="E43" s="1" t="str">
        <f t="shared" si="1"/>
        <v>Home</v>
      </c>
      <c r="F43" s="3">
        <f t="shared" si="2"/>
        <v>1</v>
      </c>
      <c r="G43" s="3">
        <f t="shared" si="3"/>
        <v>2</v>
      </c>
      <c r="H43" s="3">
        <f t="shared" si="0"/>
        <v>3</v>
      </c>
      <c r="I43" s="3" t="str">
        <f t="shared" si="4"/>
        <v>L</v>
      </c>
    </row>
    <row r="44" spans="1:9" x14ac:dyDescent="0.25">
      <c r="A44" t="s">
        <v>81</v>
      </c>
      <c r="B44" t="s">
        <v>321</v>
      </c>
      <c r="C44" t="s">
        <v>298</v>
      </c>
      <c r="E44" s="1" t="str">
        <f t="shared" si="1"/>
        <v>Home</v>
      </c>
      <c r="F44" s="3">
        <f t="shared" si="2"/>
        <v>1</v>
      </c>
      <c r="G44" s="3">
        <f t="shared" si="3"/>
        <v>2</v>
      </c>
      <c r="H44" s="3">
        <f t="shared" si="0"/>
        <v>3</v>
      </c>
      <c r="I44" s="3" t="str">
        <f t="shared" si="4"/>
        <v>L</v>
      </c>
    </row>
    <row r="45" spans="1:9" x14ac:dyDescent="0.25">
      <c r="A45" t="s">
        <v>82</v>
      </c>
      <c r="B45" t="s">
        <v>58</v>
      </c>
      <c r="C45" t="s">
        <v>200</v>
      </c>
      <c r="E45" s="1" t="str">
        <f t="shared" si="1"/>
        <v>Away</v>
      </c>
      <c r="F45" s="3">
        <f t="shared" si="2"/>
        <v>8</v>
      </c>
      <c r="G45" s="3">
        <f t="shared" si="3"/>
        <v>0</v>
      </c>
      <c r="H45" s="3">
        <f t="shared" si="0"/>
        <v>8</v>
      </c>
      <c r="I45" s="3" t="str">
        <f t="shared" si="4"/>
        <v>W</v>
      </c>
    </row>
    <row r="46" spans="1:9" x14ac:dyDescent="0.25">
      <c r="A46" t="s">
        <v>84</v>
      </c>
      <c r="B46" t="s">
        <v>58</v>
      </c>
      <c r="C46" t="s">
        <v>426</v>
      </c>
      <c r="E46" s="1" t="str">
        <f t="shared" si="1"/>
        <v>Away</v>
      </c>
      <c r="F46" s="3">
        <f t="shared" si="2"/>
        <v>22</v>
      </c>
      <c r="G46" s="3">
        <f t="shared" si="3"/>
        <v>9</v>
      </c>
      <c r="H46" s="3">
        <f t="shared" si="0"/>
        <v>31</v>
      </c>
      <c r="I46" s="3" t="str">
        <f t="shared" si="4"/>
        <v>W</v>
      </c>
    </row>
    <row r="47" spans="1:9" x14ac:dyDescent="0.25">
      <c r="A47" t="s">
        <v>86</v>
      </c>
      <c r="B47" t="s">
        <v>343</v>
      </c>
      <c r="C47" t="s">
        <v>427</v>
      </c>
      <c r="E47" s="1" t="str">
        <f t="shared" si="1"/>
        <v>Home</v>
      </c>
      <c r="F47" s="3">
        <f t="shared" si="2"/>
        <v>23</v>
      </c>
      <c r="G47" s="3">
        <f t="shared" si="3"/>
        <v>6</v>
      </c>
      <c r="H47" s="3">
        <f t="shared" si="0"/>
        <v>29</v>
      </c>
      <c r="I47" s="3" t="str">
        <f t="shared" si="4"/>
        <v>W</v>
      </c>
    </row>
    <row r="48" spans="1:9" x14ac:dyDescent="0.25">
      <c r="A48" t="s">
        <v>88</v>
      </c>
      <c r="B48" t="s">
        <v>343</v>
      </c>
      <c r="C48" t="s">
        <v>21</v>
      </c>
      <c r="E48" s="1" t="str">
        <f t="shared" si="1"/>
        <v>Home</v>
      </c>
      <c r="F48" s="3">
        <f t="shared" si="2"/>
        <v>6</v>
      </c>
      <c r="G48" s="3">
        <f t="shared" si="3"/>
        <v>1</v>
      </c>
      <c r="H48" s="3">
        <f t="shared" si="0"/>
        <v>7</v>
      </c>
      <c r="I48" s="3" t="str">
        <f t="shared" si="4"/>
        <v>W</v>
      </c>
    </row>
    <row r="49" spans="1:9" x14ac:dyDescent="0.25">
      <c r="A49" t="s">
        <v>88</v>
      </c>
      <c r="B49" t="s">
        <v>343</v>
      </c>
      <c r="C49" t="s">
        <v>200</v>
      </c>
      <c r="E49" s="1" t="str">
        <f t="shared" si="1"/>
        <v>Home</v>
      </c>
      <c r="F49" s="3">
        <f t="shared" si="2"/>
        <v>8</v>
      </c>
      <c r="G49" s="3">
        <f t="shared" si="3"/>
        <v>0</v>
      </c>
      <c r="H49" s="3">
        <f t="shared" si="0"/>
        <v>8</v>
      </c>
      <c r="I49" s="3" t="str">
        <f t="shared" si="4"/>
        <v>W</v>
      </c>
    </row>
    <row r="50" spans="1:9" x14ac:dyDescent="0.25">
      <c r="A50" t="s">
        <v>91</v>
      </c>
      <c r="B50" t="s">
        <v>343</v>
      </c>
      <c r="C50" t="s">
        <v>24</v>
      </c>
      <c r="E50" s="1" t="str">
        <f t="shared" si="1"/>
        <v>Home</v>
      </c>
      <c r="F50" s="3">
        <f t="shared" si="2"/>
        <v>10</v>
      </c>
      <c r="G50" s="3">
        <f t="shared" si="3"/>
        <v>5</v>
      </c>
      <c r="H50" s="3">
        <f t="shared" si="0"/>
        <v>15</v>
      </c>
      <c r="I50" s="3" t="str">
        <f t="shared" si="4"/>
        <v>W</v>
      </c>
    </row>
    <row r="51" spans="1:9" x14ac:dyDescent="0.25">
      <c r="A51" t="s">
        <v>93</v>
      </c>
      <c r="B51" t="s">
        <v>17</v>
      </c>
      <c r="C51" t="s">
        <v>240</v>
      </c>
      <c r="E51" s="1" t="str">
        <f t="shared" si="1"/>
        <v>Away</v>
      </c>
      <c r="F51" s="3">
        <f t="shared" si="2"/>
        <v>1</v>
      </c>
      <c r="G51" s="3">
        <f t="shared" si="3"/>
        <v>3</v>
      </c>
      <c r="H51" s="3">
        <f t="shared" si="0"/>
        <v>4</v>
      </c>
      <c r="I51" s="3" t="str">
        <f t="shared" si="4"/>
        <v>L</v>
      </c>
    </row>
    <row r="52" spans="1:9" x14ac:dyDescent="0.25">
      <c r="A52" t="s">
        <v>96</v>
      </c>
      <c r="B52" t="s">
        <v>17</v>
      </c>
      <c r="C52" t="s">
        <v>364</v>
      </c>
      <c r="E52" s="1" t="str">
        <f t="shared" si="1"/>
        <v>Away</v>
      </c>
      <c r="F52" s="3">
        <f t="shared" si="2"/>
        <v>11</v>
      </c>
      <c r="G52" s="3">
        <f t="shared" si="3"/>
        <v>9</v>
      </c>
      <c r="H52" s="3">
        <f t="shared" si="0"/>
        <v>20</v>
      </c>
      <c r="I52" s="3" t="str">
        <f t="shared" si="4"/>
        <v>W</v>
      </c>
    </row>
    <row r="53" spans="1:9" x14ac:dyDescent="0.25">
      <c r="A53" t="s">
        <v>97</v>
      </c>
      <c r="B53" t="s">
        <v>69</v>
      </c>
      <c r="C53" t="s">
        <v>234</v>
      </c>
      <c r="E53" s="1" t="str">
        <f t="shared" si="1"/>
        <v>Home</v>
      </c>
      <c r="F53" s="3">
        <f t="shared" si="2"/>
        <v>2</v>
      </c>
      <c r="G53" s="3">
        <f t="shared" si="3"/>
        <v>5</v>
      </c>
      <c r="H53" s="3">
        <f t="shared" si="0"/>
        <v>7</v>
      </c>
      <c r="I53" s="3" t="str">
        <f t="shared" si="4"/>
        <v>L</v>
      </c>
    </row>
    <row r="54" spans="1:9" x14ac:dyDescent="0.25">
      <c r="A54" t="s">
        <v>100</v>
      </c>
      <c r="B54" t="s">
        <v>69</v>
      </c>
      <c r="C54" t="s">
        <v>249</v>
      </c>
      <c r="E54" s="1" t="str">
        <f t="shared" si="1"/>
        <v>Home</v>
      </c>
      <c r="F54" s="3">
        <f t="shared" si="2"/>
        <v>9</v>
      </c>
      <c r="G54" s="3">
        <f t="shared" si="3"/>
        <v>11</v>
      </c>
      <c r="H54" s="3">
        <f t="shared" si="0"/>
        <v>20</v>
      </c>
      <c r="I54" s="3" t="str">
        <f t="shared" si="4"/>
        <v>L</v>
      </c>
    </row>
    <row r="55" spans="1:9" x14ac:dyDescent="0.25">
      <c r="A55" t="s">
        <v>215</v>
      </c>
      <c r="B55" t="s">
        <v>20</v>
      </c>
      <c r="C55" t="s">
        <v>300</v>
      </c>
      <c r="E55" s="1" t="str">
        <f t="shared" si="1"/>
        <v>Home</v>
      </c>
      <c r="F55" s="3">
        <f t="shared" si="2"/>
        <v>9</v>
      </c>
      <c r="G55" s="3">
        <f t="shared" si="3"/>
        <v>4</v>
      </c>
      <c r="H55" s="3">
        <f t="shared" si="0"/>
        <v>13</v>
      </c>
      <c r="I55" s="3" t="str">
        <f t="shared" si="4"/>
        <v>W</v>
      </c>
    </row>
    <row r="56" spans="1:9" x14ac:dyDescent="0.25">
      <c r="A56" t="s">
        <v>102</v>
      </c>
      <c r="B56" t="s">
        <v>20</v>
      </c>
      <c r="C56" t="s">
        <v>253</v>
      </c>
      <c r="E56" s="1" t="str">
        <f t="shared" si="1"/>
        <v>Home</v>
      </c>
      <c r="F56" s="3">
        <f t="shared" si="2"/>
        <v>4</v>
      </c>
      <c r="G56" s="3">
        <f t="shared" si="3"/>
        <v>0</v>
      </c>
      <c r="H56" s="3">
        <f t="shared" si="0"/>
        <v>4</v>
      </c>
      <c r="I56" s="3" t="str">
        <f t="shared" si="4"/>
        <v>W</v>
      </c>
    </row>
    <row r="57" spans="1:9" x14ac:dyDescent="0.25">
      <c r="A57" t="s">
        <v>105</v>
      </c>
      <c r="B57" t="s">
        <v>52</v>
      </c>
      <c r="C57" t="s">
        <v>253</v>
      </c>
      <c r="E57" s="1" t="str">
        <f t="shared" si="1"/>
        <v>Home</v>
      </c>
      <c r="F57" s="3">
        <f t="shared" si="2"/>
        <v>4</v>
      </c>
      <c r="G57" s="3">
        <f t="shared" si="3"/>
        <v>0</v>
      </c>
      <c r="H57" s="3">
        <f t="shared" si="0"/>
        <v>4</v>
      </c>
      <c r="I57" s="3" t="str">
        <f t="shared" si="4"/>
        <v>W</v>
      </c>
    </row>
    <row r="58" spans="1:9" x14ac:dyDescent="0.25">
      <c r="A58" t="s">
        <v>107</v>
      </c>
      <c r="B58" t="s">
        <v>52</v>
      </c>
      <c r="C58" t="s">
        <v>323</v>
      </c>
      <c r="E58" s="1" t="str">
        <f t="shared" si="1"/>
        <v>Home</v>
      </c>
      <c r="F58" s="3">
        <f t="shared" si="2"/>
        <v>7</v>
      </c>
      <c r="G58" s="3">
        <f t="shared" si="3"/>
        <v>6</v>
      </c>
      <c r="H58" s="3">
        <f t="shared" si="0"/>
        <v>13</v>
      </c>
      <c r="I58" s="3" t="str">
        <f t="shared" si="4"/>
        <v>W</v>
      </c>
    </row>
    <row r="59" spans="1:9" x14ac:dyDescent="0.25">
      <c r="A59" t="s">
        <v>108</v>
      </c>
      <c r="B59" t="s">
        <v>30</v>
      </c>
      <c r="C59" t="s">
        <v>351</v>
      </c>
      <c r="E59" s="1" t="str">
        <f t="shared" si="1"/>
        <v>Away</v>
      </c>
      <c r="F59" s="3">
        <f t="shared" si="2"/>
        <v>2</v>
      </c>
      <c r="G59" s="3">
        <f t="shared" si="3"/>
        <v>1</v>
      </c>
      <c r="H59" s="3">
        <f t="shared" si="0"/>
        <v>3</v>
      </c>
      <c r="I59" s="3" t="str">
        <f t="shared" si="4"/>
        <v>W</v>
      </c>
    </row>
    <row r="60" spans="1:9" x14ac:dyDescent="0.25">
      <c r="A60" t="s">
        <v>110</v>
      </c>
      <c r="B60" t="s">
        <v>30</v>
      </c>
      <c r="C60" t="s">
        <v>272</v>
      </c>
      <c r="E60" s="1" t="str">
        <f t="shared" si="1"/>
        <v>Away</v>
      </c>
      <c r="F60" s="3">
        <f t="shared" si="2"/>
        <v>0</v>
      </c>
      <c r="G60" s="3">
        <f t="shared" si="3"/>
        <v>12</v>
      </c>
      <c r="H60" s="3">
        <f t="shared" si="0"/>
        <v>12</v>
      </c>
      <c r="I60" s="3" t="str">
        <f t="shared" si="4"/>
        <v>L</v>
      </c>
    </row>
    <row r="61" spans="1:9" x14ac:dyDescent="0.25">
      <c r="A61" t="s">
        <v>111</v>
      </c>
      <c r="B61" t="s">
        <v>69</v>
      </c>
      <c r="C61" t="s">
        <v>282</v>
      </c>
      <c r="E61" s="1" t="str">
        <f t="shared" si="1"/>
        <v>Home</v>
      </c>
      <c r="F61" s="3">
        <f t="shared" si="2"/>
        <v>6</v>
      </c>
      <c r="G61" s="3">
        <f t="shared" si="3"/>
        <v>0</v>
      </c>
      <c r="H61" s="3">
        <f t="shared" si="0"/>
        <v>6</v>
      </c>
      <c r="I61" s="3" t="str">
        <f t="shared" si="4"/>
        <v>W</v>
      </c>
    </row>
    <row r="62" spans="1:9" x14ac:dyDescent="0.25">
      <c r="A62" t="s">
        <v>112</v>
      </c>
      <c r="B62" t="s">
        <v>69</v>
      </c>
      <c r="C62" t="s">
        <v>38</v>
      </c>
      <c r="E62" s="1" t="str">
        <f t="shared" si="1"/>
        <v>Home</v>
      </c>
      <c r="F62" s="3">
        <f t="shared" si="2"/>
        <v>3</v>
      </c>
      <c r="G62" s="3">
        <f t="shared" si="3"/>
        <v>5</v>
      </c>
      <c r="H62" s="3">
        <f t="shared" si="0"/>
        <v>8</v>
      </c>
      <c r="I62" s="3" t="str">
        <f t="shared" si="4"/>
        <v>L</v>
      </c>
    </row>
    <row r="63" spans="1:9" x14ac:dyDescent="0.25">
      <c r="A63" t="s">
        <v>114</v>
      </c>
      <c r="B63" t="s">
        <v>58</v>
      </c>
      <c r="C63" t="s">
        <v>269</v>
      </c>
      <c r="E63" s="1" t="str">
        <f t="shared" si="1"/>
        <v>Away</v>
      </c>
      <c r="F63" s="3">
        <f t="shared" si="2"/>
        <v>2</v>
      </c>
      <c r="G63" s="3">
        <f t="shared" si="3"/>
        <v>3</v>
      </c>
      <c r="H63" s="3">
        <f t="shared" si="0"/>
        <v>5</v>
      </c>
      <c r="I63" s="3" t="str">
        <f t="shared" si="4"/>
        <v>L</v>
      </c>
    </row>
    <row r="64" spans="1:9" x14ac:dyDescent="0.25">
      <c r="A64" t="s">
        <v>117</v>
      </c>
      <c r="B64" t="s">
        <v>58</v>
      </c>
      <c r="C64" t="s">
        <v>428</v>
      </c>
      <c r="E64" s="1" t="str">
        <f t="shared" si="1"/>
        <v>Away</v>
      </c>
      <c r="F64" s="3">
        <f t="shared" si="2"/>
        <v>22</v>
      </c>
      <c r="G64" s="3">
        <f t="shared" si="3"/>
        <v>12</v>
      </c>
      <c r="H64" s="3">
        <f t="shared" si="0"/>
        <v>34</v>
      </c>
      <c r="I64" s="3" t="str">
        <f t="shared" si="4"/>
        <v>W</v>
      </c>
    </row>
    <row r="65" spans="1:10" x14ac:dyDescent="0.25">
      <c r="A65" t="s">
        <v>119</v>
      </c>
      <c r="B65" t="s">
        <v>10</v>
      </c>
      <c r="C65" t="s">
        <v>270</v>
      </c>
      <c r="E65" s="1" t="str">
        <f t="shared" si="1"/>
        <v>Away</v>
      </c>
      <c r="F65" s="3">
        <f t="shared" si="2"/>
        <v>4</v>
      </c>
      <c r="G65" s="3">
        <f t="shared" si="3"/>
        <v>3</v>
      </c>
      <c r="H65" s="3">
        <f t="shared" si="0"/>
        <v>7</v>
      </c>
      <c r="I65" s="3" t="str">
        <f t="shared" si="4"/>
        <v>W</v>
      </c>
    </row>
    <row r="66" spans="1:10" x14ac:dyDescent="0.25">
      <c r="A66" t="s">
        <v>122</v>
      </c>
      <c r="B66" t="s">
        <v>10</v>
      </c>
      <c r="C66" t="s">
        <v>398</v>
      </c>
      <c r="E66" s="1" t="str">
        <f t="shared" si="1"/>
        <v>Away</v>
      </c>
      <c r="F66" s="3">
        <f t="shared" si="2"/>
        <v>5</v>
      </c>
      <c r="G66" s="3">
        <f t="shared" si="3"/>
        <v>14</v>
      </c>
      <c r="H66" s="3">
        <f t="shared" si="0"/>
        <v>19</v>
      </c>
      <c r="I66" s="3" t="str">
        <f t="shared" si="4"/>
        <v>L</v>
      </c>
    </row>
    <row r="67" spans="1:10" x14ac:dyDescent="0.25">
      <c r="A67" t="s">
        <v>218</v>
      </c>
      <c r="B67" t="s">
        <v>20</v>
      </c>
      <c r="C67" t="s">
        <v>372</v>
      </c>
      <c r="E67" s="1" t="str">
        <f t="shared" si="1"/>
        <v>Home</v>
      </c>
      <c r="F67" s="3">
        <f t="shared" si="2"/>
        <v>9</v>
      </c>
      <c r="G67" s="3">
        <f t="shared" si="3"/>
        <v>1</v>
      </c>
      <c r="H67" s="3">
        <f t="shared" ref="H67:H73" si="6">F67+G67</f>
        <v>10</v>
      </c>
      <c r="I67" s="3" t="str">
        <f t="shared" si="4"/>
        <v>W</v>
      </c>
    </row>
    <row r="68" spans="1:10" x14ac:dyDescent="0.25">
      <c r="A68" t="s">
        <v>123</v>
      </c>
      <c r="B68" t="s">
        <v>20</v>
      </c>
      <c r="C68" t="s">
        <v>295</v>
      </c>
      <c r="E68" s="1" t="str">
        <f t="shared" ref="E68:E73" si="7">IF(LEFT(B68,1)="@","Away","Home")</f>
        <v>Home</v>
      </c>
      <c r="F68" s="3">
        <f t="shared" ref="F68:F73" si="8">_xlfn.NUMBERVALUE(MID(LEFT(C68,FIND("-",C68)-1),FIND(" ",C68)+1,LEN(C68)))</f>
        <v>1</v>
      </c>
      <c r="G68" s="3">
        <f t="shared" ref="G68:G73" si="9">_xlfn.NUMBERVALUE(RIGHT(C68,LEN(C68)-FIND("-",C68)))</f>
        <v>0</v>
      </c>
      <c r="H68" s="3">
        <f t="shared" si="6"/>
        <v>1</v>
      </c>
      <c r="I68" s="3" t="str">
        <f t="shared" ref="I68:I74" si="10">LEFT(C68,1)</f>
        <v>W</v>
      </c>
    </row>
    <row r="69" spans="1:10" x14ac:dyDescent="0.25">
      <c r="A69" t="s">
        <v>127</v>
      </c>
      <c r="B69" t="s">
        <v>58</v>
      </c>
      <c r="C69" t="s">
        <v>429</v>
      </c>
      <c r="E69" s="1" t="str">
        <f t="shared" si="7"/>
        <v>Away</v>
      </c>
      <c r="F69" s="3">
        <f t="shared" si="8"/>
        <v>16</v>
      </c>
      <c r="G69" s="3">
        <f t="shared" si="9"/>
        <v>6</v>
      </c>
      <c r="H69" s="3">
        <f t="shared" si="6"/>
        <v>22</v>
      </c>
      <c r="I69" s="3" t="str">
        <f t="shared" si="10"/>
        <v>W</v>
      </c>
    </row>
    <row r="70" spans="1:10" x14ac:dyDescent="0.25">
      <c r="A70" t="s">
        <v>129</v>
      </c>
      <c r="B70" t="s">
        <v>5</v>
      </c>
      <c r="C70" t="s">
        <v>257</v>
      </c>
      <c r="E70" s="1" t="str">
        <f t="shared" si="7"/>
        <v>Home</v>
      </c>
      <c r="F70" s="3">
        <f t="shared" si="8"/>
        <v>13</v>
      </c>
      <c r="G70" s="3">
        <f t="shared" si="9"/>
        <v>4</v>
      </c>
      <c r="H70" s="3">
        <f t="shared" si="6"/>
        <v>17</v>
      </c>
      <c r="I70" s="3" t="str">
        <f t="shared" si="10"/>
        <v>W</v>
      </c>
    </row>
    <row r="71" spans="1:10" x14ac:dyDescent="0.25">
      <c r="A71" t="s">
        <v>131</v>
      </c>
      <c r="B71" t="s">
        <v>5</v>
      </c>
      <c r="C71" t="s">
        <v>85</v>
      </c>
      <c r="E71" s="1" t="str">
        <f t="shared" si="7"/>
        <v>Home</v>
      </c>
      <c r="F71" s="3">
        <f t="shared" si="8"/>
        <v>5</v>
      </c>
      <c r="G71" s="3">
        <f t="shared" si="9"/>
        <v>3</v>
      </c>
      <c r="H71" s="3">
        <f t="shared" si="6"/>
        <v>8</v>
      </c>
      <c r="I71" s="3" t="str">
        <f t="shared" si="10"/>
        <v>W</v>
      </c>
    </row>
    <row r="72" spans="1:10" x14ac:dyDescent="0.25">
      <c r="A72" t="s">
        <v>133</v>
      </c>
      <c r="B72" t="s">
        <v>341</v>
      </c>
      <c r="C72" t="s">
        <v>83</v>
      </c>
      <c r="E72" s="1" t="str">
        <f t="shared" si="7"/>
        <v>Away</v>
      </c>
      <c r="F72" s="3">
        <f t="shared" si="8"/>
        <v>4</v>
      </c>
      <c r="G72" s="3">
        <f t="shared" si="9"/>
        <v>7</v>
      </c>
      <c r="H72" s="3">
        <f t="shared" si="6"/>
        <v>11</v>
      </c>
      <c r="I72" s="3" t="str">
        <f t="shared" si="10"/>
        <v>L</v>
      </c>
    </row>
    <row r="73" spans="1:10" x14ac:dyDescent="0.25">
      <c r="A73" t="s">
        <v>134</v>
      </c>
      <c r="B73" t="s">
        <v>341</v>
      </c>
      <c r="C73" t="s">
        <v>18</v>
      </c>
      <c r="E73" s="1" t="str">
        <f t="shared" si="7"/>
        <v>Away</v>
      </c>
      <c r="F73" s="3">
        <f t="shared" si="8"/>
        <v>8</v>
      </c>
      <c r="G73" s="3">
        <f t="shared" si="9"/>
        <v>9</v>
      </c>
      <c r="H73" s="3">
        <f t="shared" si="6"/>
        <v>17</v>
      </c>
      <c r="I73" s="3" t="str">
        <f t="shared" si="10"/>
        <v>L</v>
      </c>
    </row>
    <row r="74" spans="1:10" x14ac:dyDescent="0.25">
      <c r="E74" s="1"/>
      <c r="F74" s="3"/>
      <c r="G74" s="3"/>
      <c r="H74" s="3"/>
      <c r="I74" s="3" t="str">
        <f t="shared" si="10"/>
        <v/>
      </c>
    </row>
    <row r="75" spans="1:10" x14ac:dyDescent="0.25">
      <c r="A75" t="s">
        <v>1</v>
      </c>
      <c r="B75" t="s">
        <v>2</v>
      </c>
      <c r="C75" t="s">
        <v>469</v>
      </c>
      <c r="D75" t="s">
        <v>135</v>
      </c>
      <c r="E75" t="s">
        <v>136</v>
      </c>
      <c r="F75" t="s">
        <v>137</v>
      </c>
      <c r="G75" t="s">
        <v>138</v>
      </c>
      <c r="H75" t="s">
        <v>3</v>
      </c>
      <c r="I75" t="s">
        <v>494</v>
      </c>
      <c r="J75" t="s">
        <v>495</v>
      </c>
    </row>
    <row r="76" spans="1:10" x14ac:dyDescent="0.25">
      <c r="A76" t="s">
        <v>448</v>
      </c>
      <c r="B76" t="s">
        <v>341</v>
      </c>
      <c r="C76" t="s">
        <v>267</v>
      </c>
      <c r="D76" t="str">
        <f>IF(LEFT(Table19[[#This Row],[Opponent]],1)="@","Away","Home")</f>
        <v>Away</v>
      </c>
      <c r="E76">
        <f>_xlfn.NUMBERVALUE(MID(LEFT(Table19[[#This Row],[Score]],FIND("-",Table19[[#This Row],[Score]])-1),FIND(" ",Table19[[#This Row],[Score]])+1,LEN(Table19[[#This Row],[Score]])))</f>
        <v>8</v>
      </c>
      <c r="F76">
        <f>_xlfn.NUMBERVALUE(RIGHT(Table19[[#This Row],[Score]],LEN(Table19[[#This Row],[Score]])-FIND("-",Table19[[#This Row],[Score]])))</f>
        <v>7</v>
      </c>
      <c r="G76">
        <f t="shared" ref="G76" si="11">E76+F76</f>
        <v>15</v>
      </c>
      <c r="H76" t="str">
        <f>LEFT(Table19[[#This Row],[Score]],1)</f>
        <v>W</v>
      </c>
      <c r="I76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76" s="33">
        <f>VLOOKUP(Table19[[#This Row],[OPP]],Raw!$L$2:$S$23,7,FALSE)-Raw!$U$2</f>
        <v>-0.61443116423196109</v>
      </c>
    </row>
    <row r="77" spans="1:10" x14ac:dyDescent="0.25">
      <c r="A77" t="s">
        <v>449</v>
      </c>
      <c r="B77" t="s">
        <v>341</v>
      </c>
      <c r="C77" t="s">
        <v>274</v>
      </c>
      <c r="D77" t="str">
        <f>IF(LEFT(Table19[[#This Row],[Opponent]],1)="@","Away","Home")</f>
        <v>Away</v>
      </c>
      <c r="E77">
        <f>_xlfn.NUMBERVALUE(MID(LEFT(Table19[[#This Row],[Score]],FIND("-",Table19[[#This Row],[Score]])-1),FIND(" ",Table19[[#This Row],[Score]])+1,LEN(Table19[[#This Row],[Score]])))</f>
        <v>9</v>
      </c>
      <c r="F77">
        <f>_xlfn.NUMBERVALUE(RIGHT(Table19[[#This Row],[Score]],LEN(Table19[[#This Row],[Score]])-FIND("-",Table19[[#This Row],[Score]])))</f>
        <v>10</v>
      </c>
      <c r="G77">
        <f t="shared" ref="G77:G98" si="12">E77+F77</f>
        <v>19</v>
      </c>
      <c r="H77" t="str">
        <f>LEFT(Table19[[#This Row],[Score]],1)</f>
        <v>L</v>
      </c>
      <c r="I77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77" s="33">
        <f>VLOOKUP(Table19[[#This Row],[OPP]],Raw!$L$2:$S$23,7,FALSE)-Raw!$U$2</f>
        <v>-0.61443116423196109</v>
      </c>
    </row>
    <row r="78" spans="1:10" x14ac:dyDescent="0.25">
      <c r="A78" t="s">
        <v>450</v>
      </c>
      <c r="B78" t="s">
        <v>58</v>
      </c>
      <c r="C78" t="s">
        <v>6</v>
      </c>
      <c r="D78" t="str">
        <f>IF(LEFT(Table19[[#This Row],[Opponent]],1)="@","Away","Home")</f>
        <v>Away</v>
      </c>
      <c r="E78">
        <f>_xlfn.NUMBERVALUE(MID(LEFT(Table19[[#This Row],[Score]],FIND("-",Table19[[#This Row],[Score]])-1),FIND(" ",Table19[[#This Row],[Score]])+1,LEN(Table19[[#This Row],[Score]])))</f>
        <v>2</v>
      </c>
      <c r="F78">
        <f>_xlfn.NUMBERVALUE(RIGHT(Table19[[#This Row],[Score]],LEN(Table19[[#This Row],[Score]])-FIND("-",Table19[[#This Row],[Score]])))</f>
        <v>6</v>
      </c>
      <c r="G78">
        <f t="shared" si="12"/>
        <v>8</v>
      </c>
      <c r="H78" t="str">
        <f>LEFT(Table19[[#This Row],[Score]],1)</f>
        <v>L</v>
      </c>
      <c r="I78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78" s="33">
        <f>VLOOKUP(Table19[[#This Row],[OPP]],Raw!$L$2:$S$23,7,FALSE)-Raw!$U$2</f>
        <v>0.83001328021248344</v>
      </c>
    </row>
    <row r="79" spans="1:10" x14ac:dyDescent="0.25">
      <c r="A79" t="s">
        <v>451</v>
      </c>
      <c r="B79" t="s">
        <v>58</v>
      </c>
      <c r="C79" t="s">
        <v>251</v>
      </c>
      <c r="D79" t="str">
        <f>IF(LEFT(Table19[[#This Row],[Opponent]],1)="@","Away","Home")</f>
        <v>Away</v>
      </c>
      <c r="E79">
        <f>_xlfn.NUMBERVALUE(MID(LEFT(Table19[[#This Row],[Score]],FIND("-",Table19[[#This Row],[Score]])-1),FIND(" ",Table19[[#This Row],[Score]])+1,LEN(Table19[[#This Row],[Score]])))</f>
        <v>2</v>
      </c>
      <c r="F79">
        <f>_xlfn.NUMBERVALUE(RIGHT(Table19[[#This Row],[Score]],LEN(Table19[[#This Row],[Score]])-FIND("-",Table19[[#This Row],[Score]])))</f>
        <v>7</v>
      </c>
      <c r="G79">
        <f t="shared" si="12"/>
        <v>9</v>
      </c>
      <c r="H79" t="str">
        <f>LEFT(Table19[[#This Row],[Score]],1)</f>
        <v>L</v>
      </c>
      <c r="I79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79" s="33">
        <f>VLOOKUP(Table19[[#This Row],[OPP]],Raw!$L$2:$S$23,7,FALSE)-Raw!$U$2</f>
        <v>0.83001328021248344</v>
      </c>
    </row>
    <row r="80" spans="1:10" x14ac:dyDescent="0.25">
      <c r="A80" t="s">
        <v>453</v>
      </c>
      <c r="B80" t="s">
        <v>343</v>
      </c>
      <c r="C80" t="s">
        <v>50</v>
      </c>
      <c r="D80" t="str">
        <f>IF(LEFT(Table19[[#This Row],[Opponent]],1)="@","Away","Home")</f>
        <v>Home</v>
      </c>
      <c r="E80">
        <f>_xlfn.NUMBERVALUE(MID(LEFT(Table19[[#This Row],[Score]],FIND("-",Table19[[#This Row],[Score]])-1),FIND(" ",Table19[[#This Row],[Score]])+1,LEN(Table19[[#This Row],[Score]])))</f>
        <v>3</v>
      </c>
      <c r="F80">
        <f>_xlfn.NUMBERVALUE(RIGHT(Table19[[#This Row],[Score]],LEN(Table19[[#This Row],[Score]])-FIND("-",Table19[[#This Row],[Score]])))</f>
        <v>4</v>
      </c>
      <c r="G80">
        <f t="shared" si="12"/>
        <v>7</v>
      </c>
      <c r="H80" t="str">
        <f>LEFT(Table19[[#This Row],[Score]],1)</f>
        <v>L</v>
      </c>
      <c r="I80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80" s="33">
        <f>VLOOKUP(Table19[[#This Row],[OPP]],Raw!$L$2:$S$23,7,FALSE)-Raw!$U$2</f>
        <v>-0.61443116423196109</v>
      </c>
    </row>
    <row r="81" spans="1:10" x14ac:dyDescent="0.25">
      <c r="A81" t="s">
        <v>454</v>
      </c>
      <c r="B81" t="s">
        <v>343</v>
      </c>
      <c r="C81" t="s">
        <v>205</v>
      </c>
      <c r="D81" t="str">
        <f>IF(LEFT(Table19[[#This Row],[Opponent]],1)="@","Away","Home")</f>
        <v>Home</v>
      </c>
      <c r="E81">
        <f>_xlfn.NUMBERVALUE(MID(LEFT(Table19[[#This Row],[Score]],FIND("-",Table19[[#This Row],[Score]])-1),FIND(" ",Table19[[#This Row],[Score]])+1,LEN(Table19[[#This Row],[Score]])))</f>
        <v>5</v>
      </c>
      <c r="F81">
        <f>_xlfn.NUMBERVALUE(RIGHT(Table19[[#This Row],[Score]],LEN(Table19[[#This Row],[Score]])-FIND("-",Table19[[#This Row],[Score]])))</f>
        <v>6</v>
      </c>
      <c r="G81">
        <f t="shared" si="12"/>
        <v>11</v>
      </c>
      <c r="H81" t="str">
        <f>LEFT(Table19[[#This Row],[Score]],1)</f>
        <v>L</v>
      </c>
      <c r="I81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81" s="33">
        <f>VLOOKUP(Table19[[#This Row],[OPP]],Raw!$L$2:$S$23,7,FALSE)-Raw!$U$2</f>
        <v>-0.61443116423196109</v>
      </c>
    </row>
    <row r="82" spans="1:10" x14ac:dyDescent="0.25">
      <c r="A82" t="s">
        <v>455</v>
      </c>
      <c r="B82" t="s">
        <v>17</v>
      </c>
      <c r="C82" t="s">
        <v>28</v>
      </c>
      <c r="D82" t="str">
        <f>IF(LEFT(Table19[[#This Row],[Opponent]],1)="@","Away","Home")</f>
        <v>Away</v>
      </c>
      <c r="E82">
        <f>_xlfn.NUMBERVALUE(MID(LEFT(Table19[[#This Row],[Score]],FIND("-",Table19[[#This Row],[Score]])-1),FIND(" ",Table19[[#This Row],[Score]])+1,LEN(Table19[[#This Row],[Score]])))</f>
        <v>4</v>
      </c>
      <c r="F82">
        <f>_xlfn.NUMBERVALUE(RIGHT(Table19[[#This Row],[Score]],LEN(Table19[[#This Row],[Score]])-FIND("-",Table19[[#This Row],[Score]])))</f>
        <v>2</v>
      </c>
      <c r="G82">
        <f t="shared" si="12"/>
        <v>6</v>
      </c>
      <c r="H82" t="str">
        <f>LEFT(Table19[[#This Row],[Score]],1)</f>
        <v>W</v>
      </c>
      <c r="I82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82" s="33">
        <f>VLOOKUP(Table19[[#This Row],[OPP]],Raw!$L$2:$S$23,7,FALSE)-Raw!$U$2</f>
        <v>0.53189121448478383</v>
      </c>
    </row>
    <row r="83" spans="1:10" x14ac:dyDescent="0.25">
      <c r="A83" t="s">
        <v>456</v>
      </c>
      <c r="B83" t="s">
        <v>17</v>
      </c>
      <c r="C83" t="s">
        <v>99</v>
      </c>
      <c r="D83" t="str">
        <f>IF(LEFT(Table19[[#This Row],[Opponent]],1)="@","Away","Home")</f>
        <v>Away</v>
      </c>
      <c r="E83">
        <f>_xlfn.NUMBERVALUE(MID(LEFT(Table19[[#This Row],[Score]],FIND("-",Table19[[#This Row],[Score]])-1),FIND(" ",Table19[[#This Row],[Score]])+1,LEN(Table19[[#This Row],[Score]])))</f>
        <v>4</v>
      </c>
      <c r="F83">
        <f>_xlfn.NUMBERVALUE(RIGHT(Table19[[#This Row],[Score]],LEN(Table19[[#This Row],[Score]])-FIND("-",Table19[[#This Row],[Score]])))</f>
        <v>12</v>
      </c>
      <c r="G83">
        <f t="shared" si="12"/>
        <v>16</v>
      </c>
      <c r="H83" t="str">
        <f>LEFT(Table19[[#This Row],[Score]],1)</f>
        <v>L</v>
      </c>
      <c r="I83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83" s="33">
        <f>VLOOKUP(Table19[[#This Row],[OPP]],Raw!$L$2:$S$23,7,FALSE)-Raw!$U$2</f>
        <v>0.53189121448478383</v>
      </c>
    </row>
    <row r="84" spans="1:10" x14ac:dyDescent="0.25">
      <c r="A84" t="s">
        <v>470</v>
      </c>
      <c r="B84" t="s">
        <v>5</v>
      </c>
      <c r="C84" t="s">
        <v>15</v>
      </c>
      <c r="D84" t="str">
        <f>IF(LEFT(Table19[[#This Row],[Opponent]],1)="@","Away","Home")</f>
        <v>Home</v>
      </c>
      <c r="E84">
        <f>_xlfn.NUMBERVALUE(MID(LEFT(Table19[[#This Row],[Score]],FIND("-",Table19[[#This Row],[Score]])-1),FIND(" ",Table19[[#This Row],[Score]])+1,LEN(Table19[[#This Row],[Score]])))</f>
        <v>3</v>
      </c>
      <c r="F84">
        <f>_xlfn.NUMBERVALUE(RIGHT(Table19[[#This Row],[Score]],LEN(Table19[[#This Row],[Score]])-FIND("-",Table19[[#This Row],[Score]])))</f>
        <v>1</v>
      </c>
      <c r="G84">
        <f t="shared" si="12"/>
        <v>4</v>
      </c>
      <c r="H84" t="str">
        <f>LEFT(Table19[[#This Row],[Score]],1)</f>
        <v>W</v>
      </c>
      <c r="I84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84" s="33">
        <f>VLOOKUP(Table19[[#This Row],[OPP]],Raw!$L$2:$S$23,7,FALSE)-Raw!$U$2</f>
        <v>0.53189121448478383</v>
      </c>
    </row>
    <row r="85" spans="1:10" x14ac:dyDescent="0.25">
      <c r="A85" t="s">
        <v>457</v>
      </c>
      <c r="B85" t="s">
        <v>5</v>
      </c>
      <c r="C85" t="s">
        <v>335</v>
      </c>
      <c r="D85" t="str">
        <f>IF(LEFT(Table19[[#This Row],[Opponent]],1)="@","Away","Home")</f>
        <v>Home</v>
      </c>
      <c r="E85">
        <f>_xlfn.NUMBERVALUE(MID(LEFT(Table19[[#This Row],[Score]],FIND("-",Table19[[#This Row],[Score]])-1),FIND(" ",Table19[[#This Row],[Score]])+1,LEN(Table19[[#This Row],[Score]])))</f>
        <v>6</v>
      </c>
      <c r="F85">
        <f>_xlfn.NUMBERVALUE(RIGHT(Table19[[#This Row],[Score]],LEN(Table19[[#This Row],[Score]])-FIND("-",Table19[[#This Row],[Score]])))</f>
        <v>4</v>
      </c>
      <c r="G85">
        <f t="shared" si="12"/>
        <v>10</v>
      </c>
      <c r="H85" t="str">
        <f>LEFT(Table19[[#This Row],[Score]],1)</f>
        <v>W</v>
      </c>
      <c r="I85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85" s="33">
        <f>VLOOKUP(Table19[[#This Row],[OPP]],Raw!$L$2:$S$23,7,FALSE)-Raw!$U$2</f>
        <v>0.53189121448478383</v>
      </c>
    </row>
    <row r="86" spans="1:10" x14ac:dyDescent="0.25">
      <c r="A86" t="s">
        <v>458</v>
      </c>
      <c r="B86" t="s">
        <v>69</v>
      </c>
      <c r="C86" t="s">
        <v>270</v>
      </c>
      <c r="D86" t="str">
        <f>IF(LEFT(Table19[[#This Row],[Opponent]],1)="@","Away","Home")</f>
        <v>Home</v>
      </c>
      <c r="E86">
        <f>_xlfn.NUMBERVALUE(MID(LEFT(Table19[[#This Row],[Score]],FIND("-",Table19[[#This Row],[Score]])-1),FIND(" ",Table19[[#This Row],[Score]])+1,LEN(Table19[[#This Row],[Score]])))</f>
        <v>4</v>
      </c>
      <c r="F86">
        <f>_xlfn.NUMBERVALUE(RIGHT(Table19[[#This Row],[Score]],LEN(Table19[[#This Row],[Score]])-FIND("-",Table19[[#This Row],[Score]])))</f>
        <v>3</v>
      </c>
      <c r="G86">
        <f t="shared" si="12"/>
        <v>7</v>
      </c>
      <c r="H86" t="str">
        <f>LEFT(Table19[[#This Row],[Score]],1)</f>
        <v>W</v>
      </c>
      <c r="I86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86" s="33">
        <f>VLOOKUP(Table19[[#This Row],[OPP]],Raw!$L$2:$S$23,7,FALSE)-Raw!$U$2</f>
        <v>-3.1019116024166244</v>
      </c>
    </row>
    <row r="87" spans="1:10" x14ac:dyDescent="0.25">
      <c r="A87" t="s">
        <v>459</v>
      </c>
      <c r="B87" t="s">
        <v>69</v>
      </c>
      <c r="C87" t="s">
        <v>226</v>
      </c>
      <c r="D87" t="str">
        <f>IF(LEFT(Table19[[#This Row],[Opponent]],1)="@","Away","Home")</f>
        <v>Home</v>
      </c>
      <c r="E87">
        <f>_xlfn.NUMBERVALUE(MID(LEFT(Table19[[#This Row],[Score]],FIND("-",Table19[[#This Row],[Score]])-1),FIND(" ",Table19[[#This Row],[Score]])+1,LEN(Table19[[#This Row],[Score]])))</f>
        <v>3</v>
      </c>
      <c r="F87">
        <f>_xlfn.NUMBERVALUE(RIGHT(Table19[[#This Row],[Score]],LEN(Table19[[#This Row],[Score]])-FIND("-",Table19[[#This Row],[Score]])))</f>
        <v>2</v>
      </c>
      <c r="G87">
        <f t="shared" si="12"/>
        <v>5</v>
      </c>
      <c r="H87" t="str">
        <f>LEFT(Table19[[#This Row],[Score]],1)</f>
        <v>W</v>
      </c>
      <c r="I87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87" s="33">
        <f>VLOOKUP(Table19[[#This Row],[OPP]],Raw!$L$2:$S$23,7,FALSE)-Raw!$U$2</f>
        <v>-3.1019116024166244</v>
      </c>
    </row>
    <row r="88" spans="1:10" x14ac:dyDescent="0.25">
      <c r="A88" t="s">
        <v>460</v>
      </c>
      <c r="B88" t="s">
        <v>20</v>
      </c>
      <c r="C88" t="s">
        <v>229</v>
      </c>
      <c r="D88" t="str">
        <f>IF(LEFT(Table19[[#This Row],[Opponent]],1)="@","Away","Home")</f>
        <v>Home</v>
      </c>
      <c r="E88">
        <f>_xlfn.NUMBERVALUE(MID(LEFT(Table19[[#This Row],[Score]],FIND("-",Table19[[#This Row],[Score]])-1),FIND(" ",Table19[[#This Row],[Score]])+1,LEN(Table19[[#This Row],[Score]])))</f>
        <v>7</v>
      </c>
      <c r="F88">
        <f>_xlfn.NUMBERVALUE(RIGHT(Table19[[#This Row],[Score]],LEN(Table19[[#This Row],[Score]])-FIND("-",Table19[[#This Row],[Score]])))</f>
        <v>1</v>
      </c>
      <c r="G88">
        <f t="shared" si="12"/>
        <v>8</v>
      </c>
      <c r="H88" t="str">
        <f>LEFT(Table19[[#This Row],[Score]],1)</f>
        <v>W</v>
      </c>
      <c r="I88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88" s="33">
        <f>VLOOKUP(Table19[[#This Row],[OPP]],Raw!$L$2:$S$23,7,FALSE)-Raw!$U$2</f>
        <v>0.83001328021248344</v>
      </c>
    </row>
    <row r="89" spans="1:10" x14ac:dyDescent="0.25">
      <c r="A89" t="s">
        <v>471</v>
      </c>
      <c r="B89" t="s">
        <v>20</v>
      </c>
      <c r="C89" t="s">
        <v>21</v>
      </c>
      <c r="D89" t="str">
        <f>IF(LEFT(Table19[[#This Row],[Opponent]],1)="@","Away","Home")</f>
        <v>Home</v>
      </c>
      <c r="E89">
        <f>_xlfn.NUMBERVALUE(MID(LEFT(Table19[[#This Row],[Score]],FIND("-",Table19[[#This Row],[Score]])-1),FIND(" ",Table19[[#This Row],[Score]])+1,LEN(Table19[[#This Row],[Score]])))</f>
        <v>6</v>
      </c>
      <c r="F89">
        <f>_xlfn.NUMBERVALUE(RIGHT(Table19[[#This Row],[Score]],LEN(Table19[[#This Row],[Score]])-FIND("-",Table19[[#This Row],[Score]])))</f>
        <v>1</v>
      </c>
      <c r="G89">
        <f t="shared" si="12"/>
        <v>7</v>
      </c>
      <c r="H89" t="str">
        <f>LEFT(Table19[[#This Row],[Score]],1)</f>
        <v>W</v>
      </c>
      <c r="I89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89" s="33">
        <f>VLOOKUP(Table19[[#This Row],[OPP]],Raw!$L$2:$S$23,7,FALSE)-Raw!$U$2</f>
        <v>0.83001328021248344</v>
      </c>
    </row>
    <row r="90" spans="1:10" x14ac:dyDescent="0.25">
      <c r="A90" t="s">
        <v>461</v>
      </c>
      <c r="B90" t="s">
        <v>30</v>
      </c>
      <c r="C90" t="s">
        <v>113</v>
      </c>
      <c r="D90" t="str">
        <f>IF(LEFT(Table19[[#This Row],[Opponent]],1)="@","Away","Home")</f>
        <v>Away</v>
      </c>
      <c r="E90">
        <f>_xlfn.NUMBERVALUE(MID(LEFT(Table19[[#This Row],[Score]],FIND("-",Table19[[#This Row],[Score]])-1),FIND(" ",Table19[[#This Row],[Score]])+1,LEN(Table19[[#This Row],[Score]])))</f>
        <v>7</v>
      </c>
      <c r="F90">
        <f>_xlfn.NUMBERVALUE(RIGHT(Table19[[#This Row],[Score]],LEN(Table19[[#This Row],[Score]])-FIND("-",Table19[[#This Row],[Score]])))</f>
        <v>9</v>
      </c>
      <c r="G90">
        <f t="shared" si="12"/>
        <v>16</v>
      </c>
      <c r="H90" t="str">
        <f>LEFT(Table19[[#This Row],[Score]],1)</f>
        <v>L</v>
      </c>
      <c r="I90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90" s="33">
        <f>VLOOKUP(Table19[[#This Row],[OPP]],Raw!$L$2:$S$23,7,FALSE)-Raw!$U$2</f>
        <v>-3.3200531208499337E-3</v>
      </c>
    </row>
    <row r="91" spans="1:10" x14ac:dyDescent="0.25">
      <c r="A91" t="s">
        <v>462</v>
      </c>
      <c r="B91" t="s">
        <v>30</v>
      </c>
      <c r="C91" t="s">
        <v>125</v>
      </c>
      <c r="D91" t="str">
        <f>IF(LEFT(Table19[[#This Row],[Opponent]],1)="@","Away","Home")</f>
        <v>Away</v>
      </c>
      <c r="E91">
        <f>_xlfn.NUMBERVALUE(MID(LEFT(Table19[[#This Row],[Score]],FIND("-",Table19[[#This Row],[Score]])-1),FIND(" ",Table19[[#This Row],[Score]])+1,LEN(Table19[[#This Row],[Score]])))</f>
        <v>0</v>
      </c>
      <c r="F91">
        <f>_xlfn.NUMBERVALUE(RIGHT(Table19[[#This Row],[Score]],LEN(Table19[[#This Row],[Score]])-FIND("-",Table19[[#This Row],[Score]])))</f>
        <v>4</v>
      </c>
      <c r="G91">
        <f t="shared" si="12"/>
        <v>4</v>
      </c>
      <c r="H91" t="str">
        <f>LEFT(Table19[[#This Row],[Score]],1)</f>
        <v>L</v>
      </c>
      <c r="I91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91" s="33">
        <f>VLOOKUP(Table19[[#This Row],[OPP]],Raw!$L$2:$S$23,7,FALSE)-Raw!$U$2</f>
        <v>-3.3200531208499337E-3</v>
      </c>
    </row>
    <row r="92" spans="1:10" x14ac:dyDescent="0.25">
      <c r="A92" t="s">
        <v>462</v>
      </c>
      <c r="B92" t="s">
        <v>30</v>
      </c>
      <c r="C92" t="s">
        <v>322</v>
      </c>
      <c r="D92" t="str">
        <f>IF(LEFT(Table19[[#This Row],[Opponent]],1)="@","Away","Home")</f>
        <v>Away</v>
      </c>
      <c r="E92">
        <f>_xlfn.NUMBERVALUE(MID(LEFT(Table19[[#This Row],[Score]],FIND("-",Table19[[#This Row],[Score]])-1),FIND(" ",Table19[[#This Row],[Score]])+1,LEN(Table19[[#This Row],[Score]])))</f>
        <v>6</v>
      </c>
      <c r="F92">
        <f>_xlfn.NUMBERVALUE(RIGHT(Table19[[#This Row],[Score]],LEN(Table19[[#This Row],[Score]])-FIND("-",Table19[[#This Row],[Score]])))</f>
        <v>7</v>
      </c>
      <c r="G92">
        <f t="shared" si="12"/>
        <v>13</v>
      </c>
      <c r="H92" t="str">
        <f>LEFT(Table19[[#This Row],[Score]],1)</f>
        <v>L</v>
      </c>
      <c r="I92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92" s="33">
        <f>VLOOKUP(Table19[[#This Row],[OPP]],Raw!$L$2:$S$23,7,FALSE)-Raw!$U$2</f>
        <v>-3.3200531208499337E-3</v>
      </c>
    </row>
    <row r="93" spans="1:10" x14ac:dyDescent="0.25">
      <c r="A93" t="s">
        <v>463</v>
      </c>
      <c r="B93" t="s">
        <v>30</v>
      </c>
      <c r="C93" t="s">
        <v>274</v>
      </c>
      <c r="D93" t="str">
        <f>IF(LEFT(Table19[[#This Row],[Opponent]],1)="@","Away","Home")</f>
        <v>Away</v>
      </c>
      <c r="E93">
        <f>_xlfn.NUMBERVALUE(MID(LEFT(Table19[[#This Row],[Score]],FIND("-",Table19[[#This Row],[Score]])-1),FIND(" ",Table19[[#This Row],[Score]])+1,LEN(Table19[[#This Row],[Score]])))</f>
        <v>9</v>
      </c>
      <c r="F93">
        <f>_xlfn.NUMBERVALUE(RIGHT(Table19[[#This Row],[Score]],LEN(Table19[[#This Row],[Score]])-FIND("-",Table19[[#This Row],[Score]])))</f>
        <v>10</v>
      </c>
      <c r="G93">
        <f t="shared" si="12"/>
        <v>19</v>
      </c>
      <c r="H93" t="str">
        <f>LEFT(Table19[[#This Row],[Score]],1)</f>
        <v>L</v>
      </c>
      <c r="I93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93" s="33">
        <f>VLOOKUP(Table19[[#This Row],[OPP]],Raw!$L$2:$S$23,7,FALSE)-Raw!$U$2</f>
        <v>-3.3200531208499337E-3</v>
      </c>
    </row>
    <row r="94" spans="1:10" x14ac:dyDescent="0.25">
      <c r="A94" t="s">
        <v>464</v>
      </c>
      <c r="B94" t="s">
        <v>120</v>
      </c>
      <c r="C94" t="s">
        <v>50</v>
      </c>
      <c r="D94" t="str">
        <f>IF(LEFT(Table19[[#This Row],[Opponent]],1)="@","Away","Home")</f>
        <v>Away</v>
      </c>
      <c r="E94">
        <f>_xlfn.NUMBERVALUE(MID(LEFT(Table19[[#This Row],[Score]],FIND("-",Table19[[#This Row],[Score]])-1),FIND(" ",Table19[[#This Row],[Score]])+1,LEN(Table19[[#This Row],[Score]])))</f>
        <v>3</v>
      </c>
      <c r="F94">
        <f>_xlfn.NUMBERVALUE(RIGHT(Table19[[#This Row],[Score]],LEN(Table19[[#This Row],[Score]])-FIND("-",Table19[[#This Row],[Score]])))</f>
        <v>4</v>
      </c>
      <c r="G94">
        <f t="shared" si="12"/>
        <v>7</v>
      </c>
      <c r="H94" t="str">
        <f>LEFT(Table19[[#This Row],[Score]],1)</f>
        <v>L</v>
      </c>
      <c r="I94" s="17" t="str">
        <f>VLOOKUP(IF(Table19[[#This Row],[At]]="Home",Table19[[#This Row],[Opponent]],RIGHT(Table19[[#This Row],[Opponent]],LEN(Table19[[#This Row],[Opponent]])-1)),CHOOSE({1,2},[1]StandingsRAW!$J$1:$J$22,[1]StandingsRAW!$L$1:$L$22),2,FALSE)</f>
        <v>WAU</v>
      </c>
      <c r="J94" s="33">
        <f>VLOOKUP(Table19[[#This Row],[OPP]],Raw!$L$2:$S$23,7,FALSE)-Raw!$U$2</f>
        <v>0.17977853842844585</v>
      </c>
    </row>
    <row r="95" spans="1:10" x14ac:dyDescent="0.25">
      <c r="A95" t="s">
        <v>465</v>
      </c>
      <c r="B95" t="s">
        <v>120</v>
      </c>
      <c r="C95" t="s">
        <v>65</v>
      </c>
      <c r="D95" t="str">
        <f>IF(LEFT(Table19[[#This Row],[Opponent]],1)="@","Away","Home")</f>
        <v>Away</v>
      </c>
      <c r="E95">
        <f>_xlfn.NUMBERVALUE(MID(LEFT(Table19[[#This Row],[Score]],FIND("-",Table19[[#This Row],[Score]])-1),FIND(" ",Table19[[#This Row],[Score]])+1,LEN(Table19[[#This Row],[Score]])))</f>
        <v>1</v>
      </c>
      <c r="F95">
        <f>_xlfn.NUMBERVALUE(RIGHT(Table19[[#This Row],[Score]],LEN(Table19[[#This Row],[Score]])-FIND("-",Table19[[#This Row],[Score]])))</f>
        <v>4</v>
      </c>
      <c r="G95">
        <f t="shared" si="12"/>
        <v>5</v>
      </c>
      <c r="H95" t="str">
        <f>LEFT(Table19[[#This Row],[Score]],1)</f>
        <v>L</v>
      </c>
      <c r="I95" s="17" t="str">
        <f>VLOOKUP(IF(Table19[[#This Row],[At]]="Home",Table19[[#This Row],[Opponent]],RIGHT(Table19[[#This Row],[Opponent]],LEN(Table19[[#This Row],[Opponent]])-1)),CHOOSE({1,2},[1]StandingsRAW!$J$1:$J$22,[1]StandingsRAW!$L$1:$L$22),2,FALSE)</f>
        <v>WAU</v>
      </c>
      <c r="J95" s="33">
        <f>VLOOKUP(Table19[[#This Row],[OPP]],Raw!$L$2:$S$23,7,FALSE)-Raw!$U$2</f>
        <v>0.17977853842844585</v>
      </c>
    </row>
    <row r="96" spans="1:10" x14ac:dyDescent="0.25">
      <c r="A96" t="s">
        <v>466</v>
      </c>
      <c r="B96" t="s">
        <v>98</v>
      </c>
      <c r="C96" t="s">
        <v>50</v>
      </c>
      <c r="D96" t="str">
        <f>IF(LEFT(Table19[[#This Row],[Opponent]],1)="@","Away","Home")</f>
        <v>Home</v>
      </c>
      <c r="E96">
        <f>_xlfn.NUMBERVALUE(MID(LEFT(Table19[[#This Row],[Score]],FIND("-",Table19[[#This Row],[Score]])-1),FIND(" ",Table19[[#This Row],[Score]])+1,LEN(Table19[[#This Row],[Score]])))</f>
        <v>3</v>
      </c>
      <c r="F96">
        <f>_xlfn.NUMBERVALUE(RIGHT(Table19[[#This Row],[Score]],LEN(Table19[[#This Row],[Score]])-FIND("-",Table19[[#This Row],[Score]])))</f>
        <v>4</v>
      </c>
      <c r="G96">
        <f t="shared" si="12"/>
        <v>7</v>
      </c>
      <c r="H96" t="str">
        <f>LEFT(Table19[[#This Row],[Score]],1)</f>
        <v>L</v>
      </c>
      <c r="I96" s="17" t="str">
        <f>VLOOKUP(IF(Table19[[#This Row],[At]]="Home",Table19[[#This Row],[Opponent]],RIGHT(Table19[[#This Row],[Opponent]],LEN(Table19[[#This Row],[Opponent]])-1)),CHOOSE({1,2},[1]StandingsRAW!$J$1:$J$22,[1]StandingsRAW!$L$1:$L$22),2,FALSE)</f>
        <v>GB</v>
      </c>
      <c r="J96" s="33">
        <f>VLOOKUP(Table19[[#This Row],[OPP]],Raw!$L$2:$S$23,7,FALSE)-Raw!$U$2</f>
        <v>-1.4060978308986276</v>
      </c>
    </row>
    <row r="97" spans="1:10" x14ac:dyDescent="0.25">
      <c r="A97" t="s">
        <v>467</v>
      </c>
      <c r="B97" t="s">
        <v>98</v>
      </c>
      <c r="C97" t="s">
        <v>279</v>
      </c>
      <c r="D97" t="str">
        <f>IF(LEFT(Table19[[#This Row],[Opponent]],1)="@","Away","Home")</f>
        <v>Home</v>
      </c>
      <c r="E97">
        <f>_xlfn.NUMBERVALUE(MID(LEFT(Table19[[#This Row],[Score]],FIND("-",Table19[[#This Row],[Score]])-1),FIND(" ",Table19[[#This Row],[Score]])+1,LEN(Table19[[#This Row],[Score]])))</f>
        <v>7</v>
      </c>
      <c r="F97">
        <f>_xlfn.NUMBERVALUE(RIGHT(Table19[[#This Row],[Score]],LEN(Table19[[#This Row],[Score]])-FIND("-",Table19[[#This Row],[Score]])))</f>
        <v>2</v>
      </c>
      <c r="G97">
        <f t="shared" si="12"/>
        <v>9</v>
      </c>
      <c r="H97" t="str">
        <f>LEFT(Table19[[#This Row],[Score]],1)</f>
        <v>W</v>
      </c>
      <c r="I97" s="17" t="str">
        <f>VLOOKUP(IF(Table19[[#This Row],[At]]="Home",Table19[[#This Row],[Opponent]],RIGHT(Table19[[#This Row],[Opponent]],LEN(Table19[[#This Row],[Opponent]])-1)),CHOOSE({1,2},[1]StandingsRAW!$J$1:$J$22,[1]StandingsRAW!$L$1:$L$22),2,FALSE)</f>
        <v>GB</v>
      </c>
      <c r="J97" s="33">
        <f>VLOOKUP(Table19[[#This Row],[OPP]],Raw!$L$2:$S$23,7,FALSE)-Raw!$U$2</f>
        <v>-1.4060978308986276</v>
      </c>
    </row>
    <row r="98" spans="1:10" x14ac:dyDescent="0.25">
      <c r="A98" t="s">
        <v>468</v>
      </c>
      <c r="B98" t="s">
        <v>5</v>
      </c>
      <c r="C98" t="s">
        <v>444</v>
      </c>
      <c r="D98" t="str">
        <f>IF(LEFT(Table19[[#This Row],[Opponent]],1)="@","Away","Home")</f>
        <v>Home</v>
      </c>
      <c r="E98">
        <f>_xlfn.NUMBERVALUE(MID(LEFT(Table19[[#This Row],[Score]],FIND("-",Table19[[#This Row],[Score]])-1),FIND(" ",Table19[[#This Row],[Score]])+1,LEN(Table19[[#This Row],[Score]])))</f>
        <v>15</v>
      </c>
      <c r="F98">
        <f>_xlfn.NUMBERVALUE(RIGHT(Table19[[#This Row],[Score]],LEN(Table19[[#This Row],[Score]])-FIND("-",Table19[[#This Row],[Score]])))</f>
        <v>9</v>
      </c>
      <c r="G98">
        <f t="shared" si="12"/>
        <v>24</v>
      </c>
      <c r="H98" t="str">
        <f>LEFT(Table19[[#This Row],[Score]],1)</f>
        <v>W</v>
      </c>
      <c r="I98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98" s="33">
        <f>VLOOKUP(Table19[[#This Row],[OPP]],Raw!$L$2:$S$23,7,FALSE)-Raw!$U$2</f>
        <v>0.53189121448478383</v>
      </c>
    </row>
    <row r="99" spans="1:10" x14ac:dyDescent="0.25">
      <c r="A99" t="s">
        <v>498</v>
      </c>
      <c r="B99" t="s">
        <v>5</v>
      </c>
      <c r="C99" t="s">
        <v>83</v>
      </c>
      <c r="D99" t="str">
        <f>IF(LEFT(Table19[[#This Row],[Opponent]],1)="@","Away","Home")</f>
        <v>Home</v>
      </c>
      <c r="E99">
        <f>_xlfn.NUMBERVALUE(MID(LEFT(Table19[[#This Row],[Score]],FIND("-",Table19[[#This Row],[Score]])-1),FIND(" ",Table19[[#This Row],[Score]])+1,LEN(Table19[[#This Row],[Score]])))</f>
        <v>4</v>
      </c>
      <c r="F99">
        <f>_xlfn.NUMBERVALUE(RIGHT(Table19[[#This Row],[Score]],LEN(Table19[[#This Row],[Score]])-FIND("-",Table19[[#This Row],[Score]])))</f>
        <v>7</v>
      </c>
      <c r="G99">
        <f t="shared" ref="G99:G101" si="13">E99+F99</f>
        <v>11</v>
      </c>
      <c r="H99" t="str">
        <f>LEFT(Table19[[#This Row],[Score]],1)</f>
        <v>L</v>
      </c>
      <c r="I99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99" s="33">
        <f>VLOOKUP(Table19[[#This Row],[OPP]],Raw!$L$2:$S$23,7,FALSE)-Raw!$U$2</f>
        <v>0.53189121448478383</v>
      </c>
    </row>
    <row r="100" spans="1:10" x14ac:dyDescent="0.25">
      <c r="A100" t="s">
        <v>499</v>
      </c>
      <c r="B100" t="s">
        <v>10</v>
      </c>
      <c r="C100" t="s">
        <v>61</v>
      </c>
      <c r="D100" t="str">
        <f>IF(LEFT(Table19[[#This Row],[Opponent]],1)="@","Away","Home")</f>
        <v>Away</v>
      </c>
      <c r="E100">
        <f>_xlfn.NUMBERVALUE(MID(LEFT(Table19[[#This Row],[Score]],FIND("-",Table19[[#This Row],[Score]])-1),FIND(" ",Table19[[#This Row],[Score]])+1,LEN(Table19[[#This Row],[Score]])))</f>
        <v>7</v>
      </c>
      <c r="F100">
        <f>_xlfn.NUMBERVALUE(RIGHT(Table19[[#This Row],[Score]],LEN(Table19[[#This Row],[Score]])-FIND("-",Table19[[#This Row],[Score]])))</f>
        <v>3</v>
      </c>
      <c r="G100">
        <f t="shared" si="13"/>
        <v>10</v>
      </c>
      <c r="H100" t="str">
        <f>LEFT(Table19[[#This Row],[Score]],1)</f>
        <v>W</v>
      </c>
      <c r="I100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100" s="33">
        <f>VLOOKUP(Table19[[#This Row],[OPP]],Raw!$L$2:$S$23,7,FALSE)-Raw!$U$2</f>
        <v>-3.1019116024166244</v>
      </c>
    </row>
    <row r="101" spans="1:10" x14ac:dyDescent="0.25">
      <c r="A101" t="s">
        <v>500</v>
      </c>
      <c r="B101" t="s">
        <v>10</v>
      </c>
      <c r="C101" t="s">
        <v>318</v>
      </c>
      <c r="D101" t="str">
        <f>IF(LEFT(Table19[[#This Row],[Opponent]],1)="@","Away","Home")</f>
        <v>Away</v>
      </c>
      <c r="E101">
        <f>_xlfn.NUMBERVALUE(MID(LEFT(Table19[[#This Row],[Score]],FIND("-",Table19[[#This Row],[Score]])-1),FIND(" ",Table19[[#This Row],[Score]])+1,LEN(Table19[[#This Row],[Score]])))</f>
        <v>11</v>
      </c>
      <c r="F101">
        <f>_xlfn.NUMBERVALUE(RIGHT(Table19[[#This Row],[Score]],LEN(Table19[[#This Row],[Score]])-FIND("-",Table19[[#This Row],[Score]])))</f>
        <v>4</v>
      </c>
      <c r="G101">
        <f t="shared" si="13"/>
        <v>15</v>
      </c>
      <c r="H101" t="str">
        <f>LEFT(Table19[[#This Row],[Score]],1)</f>
        <v>W</v>
      </c>
      <c r="I101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101" s="33">
        <f>VLOOKUP(Table19[[#This Row],[OPP]],Raw!$L$2:$S$23,7,FALSE)-Raw!$U$2</f>
        <v>-3.1019116024166244</v>
      </c>
    </row>
    <row r="102" spans="1:10" x14ac:dyDescent="0.25">
      <c r="A102" t="s">
        <v>501</v>
      </c>
      <c r="B102" t="s">
        <v>58</v>
      </c>
      <c r="C102" t="s">
        <v>232</v>
      </c>
      <c r="D102" t="str">
        <f>IF(LEFT(Table19[[#This Row],[Opponent]],1)="@","Away","Home")</f>
        <v>Away</v>
      </c>
      <c r="E102">
        <f>_xlfn.NUMBERVALUE(MID(LEFT(Table19[[#This Row],[Score]],FIND("-",Table19[[#This Row],[Score]])-1),FIND(" ",Table19[[#This Row],[Score]])+1,LEN(Table19[[#This Row],[Score]])))</f>
        <v>8</v>
      </c>
      <c r="F102">
        <f>_xlfn.NUMBERVALUE(RIGHT(Table19[[#This Row],[Score]],LEN(Table19[[#This Row],[Score]])-FIND("-",Table19[[#This Row],[Score]])))</f>
        <v>6</v>
      </c>
      <c r="G102">
        <f t="shared" ref="G102:G103" si="14">E102+F102</f>
        <v>14</v>
      </c>
      <c r="H102" t="str">
        <f>LEFT(Table19[[#This Row],[Score]],1)</f>
        <v>W</v>
      </c>
      <c r="I102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102" s="33">
        <f>VLOOKUP(Table19[[#This Row],[OPP]],Raw!$L$2:$S$23,7,FALSE)-Raw!$U$2</f>
        <v>0.83001328021248344</v>
      </c>
    </row>
    <row r="103" spans="1:10" x14ac:dyDescent="0.25">
      <c r="A103" t="s">
        <v>502</v>
      </c>
      <c r="B103" t="s">
        <v>58</v>
      </c>
      <c r="C103" t="s">
        <v>48</v>
      </c>
      <c r="D103" t="str">
        <f>IF(LEFT(Table19[[#This Row],[Opponent]],1)="@","Away","Home")</f>
        <v>Away</v>
      </c>
      <c r="E103">
        <f>_xlfn.NUMBERVALUE(MID(LEFT(Table19[[#This Row],[Score]],FIND("-",Table19[[#This Row],[Score]])-1),FIND(" ",Table19[[#This Row],[Score]])+1,LEN(Table19[[#This Row],[Score]])))</f>
        <v>4</v>
      </c>
      <c r="F103">
        <f>_xlfn.NUMBERVALUE(RIGHT(Table19[[#This Row],[Score]],LEN(Table19[[#This Row],[Score]])-FIND("-",Table19[[#This Row],[Score]])))</f>
        <v>5</v>
      </c>
      <c r="G103">
        <f t="shared" si="14"/>
        <v>9</v>
      </c>
      <c r="H103" t="str">
        <f>LEFT(Table19[[#This Row],[Score]],1)</f>
        <v>L</v>
      </c>
      <c r="I103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103" s="33">
        <f>VLOOKUP(Table19[[#This Row],[OPP]],Raw!$L$2:$S$23,7,FALSE)-Raw!$U$2</f>
        <v>0.83001328021248344</v>
      </c>
    </row>
    <row r="104" spans="1:10" x14ac:dyDescent="0.25">
      <c r="A104" t="s">
        <v>505</v>
      </c>
      <c r="B104" t="s">
        <v>341</v>
      </c>
      <c r="C104" t="s">
        <v>507</v>
      </c>
      <c r="D104" t="str">
        <f>IF(LEFT(Table19[[#This Row],[Opponent]],1)="@","Away","Home")</f>
        <v>Away</v>
      </c>
      <c r="E104">
        <f>_xlfn.NUMBERVALUE(MID(LEFT(Table19[[#This Row],[Score]],FIND("-",Table19[[#This Row],[Score]])-1),FIND(" ",Table19[[#This Row],[Score]])+1,LEN(Table19[[#This Row],[Score]])))</f>
        <v>14</v>
      </c>
      <c r="F104">
        <f>_xlfn.NUMBERVALUE(RIGHT(Table19[[#This Row],[Score]],LEN(Table19[[#This Row],[Score]])-FIND("-",Table19[[#This Row],[Score]])))</f>
        <v>13</v>
      </c>
      <c r="G104">
        <f>E104+F104</f>
        <v>27</v>
      </c>
      <c r="H104" t="str">
        <f>LEFT(Table19[[#This Row],[Score]],1)</f>
        <v>W</v>
      </c>
      <c r="I104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104" s="33">
        <f>VLOOKUP(Table19[[#This Row],[OPP]],Raw!$L$2:$S$23,7,FALSE)-Raw!$U$2</f>
        <v>-0.61443116423196109</v>
      </c>
    </row>
    <row r="105" spans="1:10" x14ac:dyDescent="0.25">
      <c r="A105" t="s">
        <v>508</v>
      </c>
      <c r="B105" t="s">
        <v>341</v>
      </c>
      <c r="C105" t="s">
        <v>83</v>
      </c>
      <c r="D105" t="str">
        <f>IF(LEFT(Table19[[#This Row],[Opponent]],1)="@","Away","Home")</f>
        <v>Away</v>
      </c>
      <c r="E105">
        <f>_xlfn.NUMBERVALUE(MID(LEFT(Table19[[#This Row],[Score]],FIND("-",Table19[[#This Row],[Score]])-1),FIND(" ",Table19[[#This Row],[Score]])+1,LEN(Table19[[#This Row],[Score]])))</f>
        <v>4</v>
      </c>
      <c r="F105">
        <f>_xlfn.NUMBERVALUE(RIGHT(Table19[[#This Row],[Score]],LEN(Table19[[#This Row],[Score]])-FIND("-",Table19[[#This Row],[Score]])))</f>
        <v>7</v>
      </c>
      <c r="G105">
        <f t="shared" ref="G105:G107" si="15">E105+F105</f>
        <v>11</v>
      </c>
      <c r="H105" t="str">
        <f>LEFT(Table19[[#This Row],[Score]],1)</f>
        <v>L</v>
      </c>
      <c r="I105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105" s="33">
        <f>VLOOKUP(Table19[[#This Row],[OPP]],Raw!$L$2:$S$23,7,FALSE)-Raw!$U$2</f>
        <v>-0.61443116423196109</v>
      </c>
    </row>
    <row r="106" spans="1:10" x14ac:dyDescent="0.25">
      <c r="A106" t="s">
        <v>509</v>
      </c>
      <c r="B106" t="s">
        <v>52</v>
      </c>
      <c r="C106" t="s">
        <v>329</v>
      </c>
      <c r="D106" t="str">
        <f>IF(LEFT(Table19[[#This Row],[Opponent]],1)="@","Away","Home")</f>
        <v>Home</v>
      </c>
      <c r="E106">
        <f>_xlfn.NUMBERVALUE(MID(LEFT(Table19[[#This Row],[Score]],FIND("-",Table19[[#This Row],[Score]])-1),FIND(" ",Table19[[#This Row],[Score]])+1,LEN(Table19[[#This Row],[Score]])))</f>
        <v>5</v>
      </c>
      <c r="F106">
        <f>_xlfn.NUMBERVALUE(RIGHT(Table19[[#This Row],[Score]],LEN(Table19[[#This Row],[Score]])-FIND("-",Table19[[#This Row],[Score]])))</f>
        <v>2</v>
      </c>
      <c r="G106">
        <f t="shared" si="15"/>
        <v>7</v>
      </c>
      <c r="H106" t="str">
        <f>LEFT(Table19[[#This Row],[Score]],1)</f>
        <v>W</v>
      </c>
      <c r="I106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106" s="33">
        <f>VLOOKUP(Table19[[#This Row],[OPP]],Raw!$L$2:$S$23,7,FALSE)-Raw!$U$2</f>
        <v>-3.3200531208499337E-3</v>
      </c>
    </row>
    <row r="107" spans="1:10" x14ac:dyDescent="0.25">
      <c r="A107" t="s">
        <v>510</v>
      </c>
      <c r="B107" t="s">
        <v>52</v>
      </c>
      <c r="C107" t="s">
        <v>234</v>
      </c>
      <c r="D107" t="str">
        <f>IF(LEFT(Table19[[#This Row],[Opponent]],1)="@","Away","Home")</f>
        <v>Home</v>
      </c>
      <c r="E107">
        <f>_xlfn.NUMBERVALUE(MID(LEFT(Table19[[#This Row],[Score]],FIND("-",Table19[[#This Row],[Score]])-1),FIND(" ",Table19[[#This Row],[Score]])+1,LEN(Table19[[#This Row],[Score]])))</f>
        <v>2</v>
      </c>
      <c r="F107">
        <f>_xlfn.NUMBERVALUE(RIGHT(Table19[[#This Row],[Score]],LEN(Table19[[#This Row],[Score]])-FIND("-",Table19[[#This Row],[Score]])))</f>
        <v>5</v>
      </c>
      <c r="G107">
        <f t="shared" si="15"/>
        <v>7</v>
      </c>
      <c r="H107" t="str">
        <f>LEFT(Table19[[#This Row],[Score]],1)</f>
        <v>L</v>
      </c>
      <c r="I107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107" s="33">
        <f>VLOOKUP(Table19[[#This Row],[OPP]],Raw!$L$2:$S$23,7,FALSE)-Raw!$U$2</f>
        <v>-3.3200531208499337E-3</v>
      </c>
    </row>
    <row r="108" spans="1:10" x14ac:dyDescent="0.25">
      <c r="A108" t="s">
        <v>515</v>
      </c>
      <c r="B108" t="s">
        <v>74</v>
      </c>
      <c r="C108" t="s">
        <v>303</v>
      </c>
      <c r="D108" t="str">
        <f>IF(LEFT(Table19[[#This Row],[Opponent]],1)="@","Away","Home")</f>
        <v>Home</v>
      </c>
      <c r="E108">
        <f>_xlfn.NUMBERVALUE(MID(LEFT(Table19[[#This Row],[Score]],FIND("-",Table19[[#This Row],[Score]])-1),FIND(" ",Table19[[#This Row],[Score]])+1,LEN(Table19[[#This Row],[Score]])))</f>
        <v>8</v>
      </c>
      <c r="F108">
        <f>_xlfn.NUMBERVALUE(RIGHT(Table19[[#This Row],[Score]],LEN(Table19[[#This Row],[Score]])-FIND("-",Table19[[#This Row],[Score]])))</f>
        <v>2</v>
      </c>
      <c r="G108">
        <f>E108+F108</f>
        <v>10</v>
      </c>
      <c r="H108" t="str">
        <f>LEFT(Table19[[#This Row],[Score]],1)</f>
        <v>W</v>
      </c>
      <c r="I108" s="17" t="str">
        <f>VLOOKUP(IF(Table19[[#This Row],[At]]="Home",Table19[[#This Row],[Opponent]],RIGHT(Table19[[#This Row],[Opponent]],LEN(Table19[[#This Row],[Opponent]])-1)),CHOOSE({1,2},[1]StandingsRAW!$J$1:$J$22,[1]StandingsRAW!$L$1:$L$22),2,FALSE)</f>
        <v>WAU</v>
      </c>
      <c r="J108" s="33">
        <f>VLOOKUP(Table19[[#This Row],[OPP]],Raw!$L$2:$S$23,7,FALSE)-Raw!$U$2</f>
        <v>0.17977853842844585</v>
      </c>
    </row>
    <row r="109" spans="1:10" x14ac:dyDescent="0.25">
      <c r="A109" t="s">
        <v>518</v>
      </c>
      <c r="B109" t="s">
        <v>74</v>
      </c>
      <c r="C109" t="s">
        <v>300</v>
      </c>
      <c r="D109" t="str">
        <f>IF(LEFT(Table19[[#This Row],[Opponent]],1)="@","Away","Home")</f>
        <v>Home</v>
      </c>
      <c r="E109">
        <f>_xlfn.NUMBERVALUE(MID(LEFT(Table19[[#This Row],[Score]],FIND("-",Table19[[#This Row],[Score]])-1),FIND(" ",Table19[[#This Row],[Score]])+1,LEN(Table19[[#This Row],[Score]])))</f>
        <v>9</v>
      </c>
      <c r="F109">
        <f>_xlfn.NUMBERVALUE(RIGHT(Table19[[#This Row],[Score]],LEN(Table19[[#This Row],[Score]])-FIND("-",Table19[[#This Row],[Score]])))</f>
        <v>4</v>
      </c>
      <c r="G109">
        <f t="shared" ref="G109:G112" si="16">E109+F109</f>
        <v>13</v>
      </c>
      <c r="H109" t="str">
        <f>LEFT(Table19[[#This Row],[Score]],1)</f>
        <v>W</v>
      </c>
      <c r="I109" s="17" t="str">
        <f>VLOOKUP(IF(Table19[[#This Row],[At]]="Home",Table19[[#This Row],[Opponent]],RIGHT(Table19[[#This Row],[Opponent]],LEN(Table19[[#This Row],[Opponent]])-1)),CHOOSE({1,2},[1]StandingsRAW!$J$1:$J$22,[1]StandingsRAW!$L$1:$L$22),2,FALSE)</f>
        <v>WAU</v>
      </c>
      <c r="J109" s="33">
        <f>VLOOKUP(Table19[[#This Row],[OPP]],Raw!$L$2:$S$23,7,FALSE)-Raw!$U$2</f>
        <v>0.17977853842844585</v>
      </c>
    </row>
    <row r="110" spans="1:10" x14ac:dyDescent="0.25">
      <c r="A110" t="s">
        <v>519</v>
      </c>
      <c r="B110" t="s">
        <v>20</v>
      </c>
      <c r="C110" t="s">
        <v>28</v>
      </c>
      <c r="D110" t="str">
        <f>IF(LEFT(Table19[[#This Row],[Opponent]],1)="@","Away","Home")</f>
        <v>Home</v>
      </c>
      <c r="E110">
        <f>_xlfn.NUMBERVALUE(MID(LEFT(Table19[[#This Row],[Score]],FIND("-",Table19[[#This Row],[Score]])-1),FIND(" ",Table19[[#This Row],[Score]])+1,LEN(Table19[[#This Row],[Score]])))</f>
        <v>4</v>
      </c>
      <c r="F110">
        <f>_xlfn.NUMBERVALUE(RIGHT(Table19[[#This Row],[Score]],LEN(Table19[[#This Row],[Score]])-FIND("-",Table19[[#This Row],[Score]])))</f>
        <v>2</v>
      </c>
      <c r="G110">
        <f t="shared" si="16"/>
        <v>6</v>
      </c>
      <c r="H110" t="str">
        <f>LEFT(Table19[[#This Row],[Score]],1)</f>
        <v>W</v>
      </c>
      <c r="I110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110" s="33">
        <f>VLOOKUP(Table19[[#This Row],[OPP]],Raw!$L$2:$S$23,7,FALSE)-Raw!$U$2</f>
        <v>0.83001328021248344</v>
      </c>
    </row>
    <row r="111" spans="1:10" x14ac:dyDescent="0.25">
      <c r="A111" t="s">
        <v>520</v>
      </c>
      <c r="B111" t="s">
        <v>20</v>
      </c>
      <c r="C111" t="s">
        <v>36</v>
      </c>
      <c r="D111" t="str">
        <f>IF(LEFT(Table19[[#This Row],[Opponent]],1)="@","Away","Home")</f>
        <v>Home</v>
      </c>
      <c r="E111">
        <f>_xlfn.NUMBERVALUE(MID(LEFT(Table19[[#This Row],[Score]],FIND("-",Table19[[#This Row],[Score]])-1),FIND(" ",Table19[[#This Row],[Score]])+1,LEN(Table19[[#This Row],[Score]])))</f>
        <v>1</v>
      </c>
      <c r="F111">
        <f>_xlfn.NUMBERVALUE(RIGHT(Table19[[#This Row],[Score]],LEN(Table19[[#This Row],[Score]])-FIND("-",Table19[[#This Row],[Score]])))</f>
        <v>5</v>
      </c>
      <c r="G111">
        <f t="shared" si="16"/>
        <v>6</v>
      </c>
      <c r="H111" t="str">
        <f>LEFT(Table19[[#This Row],[Score]],1)</f>
        <v>L</v>
      </c>
      <c r="I111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111" s="33">
        <f>VLOOKUP(Table19[[#This Row],[OPP]],Raw!$L$2:$S$23,7,FALSE)-Raw!$U$2</f>
        <v>0.83001328021248344</v>
      </c>
    </row>
    <row r="112" spans="1:10" x14ac:dyDescent="0.25">
      <c r="A112" t="s">
        <v>521</v>
      </c>
      <c r="B112" t="s">
        <v>17</v>
      </c>
      <c r="C112" t="s">
        <v>347</v>
      </c>
      <c r="D112" t="str">
        <f>IF(LEFT(Table19[[#This Row],[Opponent]],1)="@","Away","Home")</f>
        <v>Away</v>
      </c>
      <c r="E112">
        <f>_xlfn.NUMBERVALUE(MID(LEFT(Table19[[#This Row],[Score]],FIND("-",Table19[[#This Row],[Score]])-1),FIND(" ",Table19[[#This Row],[Score]])+1,LEN(Table19[[#This Row],[Score]])))</f>
        <v>9</v>
      </c>
      <c r="F112">
        <f>_xlfn.NUMBERVALUE(RIGHT(Table19[[#This Row],[Score]],LEN(Table19[[#This Row],[Score]])-FIND("-",Table19[[#This Row],[Score]])))</f>
        <v>5</v>
      </c>
      <c r="G112">
        <f t="shared" si="16"/>
        <v>14</v>
      </c>
      <c r="H112" t="str">
        <f>LEFT(Table19[[#This Row],[Score]],1)</f>
        <v>W</v>
      </c>
      <c r="I112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112" s="33">
        <f>VLOOKUP(Table19[[#This Row],[OPP]],Raw!$L$2:$S$23,7,FALSE)-Raw!$U$2</f>
        <v>0.53189121448478383</v>
      </c>
    </row>
    <row r="113" spans="1:10" x14ac:dyDescent="0.25">
      <c r="A113" t="s">
        <v>524</v>
      </c>
      <c r="B113" t="s">
        <v>17</v>
      </c>
      <c r="C113" t="s">
        <v>322</v>
      </c>
      <c r="D113" t="str">
        <f>IF(LEFT(Table19[[#This Row],[Opponent]],1)="@","Away","Home")</f>
        <v>Away</v>
      </c>
      <c r="E113">
        <f>_xlfn.NUMBERVALUE(MID(LEFT(Table19[[#This Row],[Score]],FIND("-",Table19[[#This Row],[Score]])-1),FIND(" ",Table19[[#This Row],[Score]])+1,LEN(Table19[[#This Row],[Score]])))</f>
        <v>6</v>
      </c>
      <c r="F113">
        <f>_xlfn.NUMBERVALUE(RIGHT(Table19[[#This Row],[Score]],LEN(Table19[[#This Row],[Score]])-FIND("-",Table19[[#This Row],[Score]])))</f>
        <v>7</v>
      </c>
      <c r="G113">
        <f t="shared" ref="G113:G119" si="17">E113+F113</f>
        <v>13</v>
      </c>
      <c r="H113" t="str">
        <f>LEFT(Table19[[#This Row],[Score]],1)</f>
        <v>L</v>
      </c>
      <c r="I113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113" s="33">
        <f>VLOOKUP(Table19[[#This Row],[OPP]],Raw!$L$2:$S$23,7,FALSE)-Raw!$U$2</f>
        <v>0.53189121448478383</v>
      </c>
    </row>
    <row r="114" spans="1:10" x14ac:dyDescent="0.25">
      <c r="A114" t="s">
        <v>525</v>
      </c>
      <c r="B114" t="s">
        <v>10</v>
      </c>
      <c r="C114" t="s">
        <v>327</v>
      </c>
      <c r="D114" t="str">
        <f>IF(LEFT(Table19[[#This Row],[Opponent]],1)="@","Away","Home")</f>
        <v>Away</v>
      </c>
      <c r="E114">
        <f>_xlfn.NUMBERVALUE(MID(LEFT(Table19[[#This Row],[Score]],FIND("-",Table19[[#This Row],[Score]])-1),FIND(" ",Table19[[#This Row],[Score]])+1,LEN(Table19[[#This Row],[Score]])))</f>
        <v>9</v>
      </c>
      <c r="F114">
        <f>_xlfn.NUMBERVALUE(RIGHT(Table19[[#This Row],[Score]],LEN(Table19[[#This Row],[Score]])-FIND("-",Table19[[#This Row],[Score]])))</f>
        <v>7</v>
      </c>
      <c r="G114">
        <f t="shared" si="17"/>
        <v>16</v>
      </c>
      <c r="H114" t="str">
        <f>LEFT(Table19[[#This Row],[Score]],1)</f>
        <v>W</v>
      </c>
      <c r="I114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114" s="33">
        <f>VLOOKUP(Table19[[#This Row],[OPP]],Raw!$L$2:$S$23,7,FALSE)-Raw!$U$2</f>
        <v>-3.1019116024166244</v>
      </c>
    </row>
    <row r="115" spans="1:10" x14ac:dyDescent="0.25">
      <c r="A115" t="s">
        <v>526</v>
      </c>
      <c r="B115" t="s">
        <v>10</v>
      </c>
      <c r="C115" t="s">
        <v>287</v>
      </c>
      <c r="D115" t="str">
        <f>IF(LEFT(Table19[[#This Row],[Opponent]],1)="@","Away","Home")</f>
        <v>Away</v>
      </c>
      <c r="E115">
        <f>_xlfn.NUMBERVALUE(MID(LEFT(Table19[[#This Row],[Score]],FIND("-",Table19[[#This Row],[Score]])-1),FIND(" ",Table19[[#This Row],[Score]])+1,LEN(Table19[[#This Row],[Score]])))</f>
        <v>11</v>
      </c>
      <c r="F115">
        <f>_xlfn.NUMBERVALUE(RIGHT(Table19[[#This Row],[Score]],LEN(Table19[[#This Row],[Score]])-FIND("-",Table19[[#This Row],[Score]])))</f>
        <v>2</v>
      </c>
      <c r="G115">
        <f t="shared" si="17"/>
        <v>13</v>
      </c>
      <c r="H115" t="str">
        <f>LEFT(Table19[[#This Row],[Score]],1)</f>
        <v>W</v>
      </c>
      <c r="I115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115" s="33">
        <f>VLOOKUP(Table19[[#This Row],[OPP]],Raw!$L$2:$S$23,7,FALSE)-Raw!$U$2</f>
        <v>-3.1019116024166244</v>
      </c>
    </row>
    <row r="116" spans="1:10" x14ac:dyDescent="0.25">
      <c r="A116" t="s">
        <v>527</v>
      </c>
      <c r="B116" t="s">
        <v>69</v>
      </c>
      <c r="C116" t="s">
        <v>320</v>
      </c>
      <c r="D116" t="str">
        <f>IF(LEFT(Table19[[#This Row],[Opponent]],1)="@","Away","Home")</f>
        <v>Home</v>
      </c>
      <c r="E116">
        <f>_xlfn.NUMBERVALUE(MID(LEFT(Table19[[#This Row],[Score]],FIND("-",Table19[[#This Row],[Score]])-1),FIND(" ",Table19[[#This Row],[Score]])+1,LEN(Table19[[#This Row],[Score]])))</f>
        <v>5</v>
      </c>
      <c r="F116">
        <f>_xlfn.NUMBERVALUE(RIGHT(Table19[[#This Row],[Score]],LEN(Table19[[#This Row],[Score]])-FIND("-",Table19[[#This Row],[Score]])))</f>
        <v>1</v>
      </c>
      <c r="G116">
        <f t="shared" si="17"/>
        <v>6</v>
      </c>
      <c r="H116" t="str">
        <f>LEFT(Table19[[#This Row],[Score]],1)</f>
        <v>W</v>
      </c>
      <c r="I116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116" s="33">
        <f>VLOOKUP(Table19[[#This Row],[OPP]],Raw!$L$2:$S$23,7,FALSE)-Raw!$U$2</f>
        <v>-3.1019116024166244</v>
      </c>
    </row>
    <row r="117" spans="1:10" x14ac:dyDescent="0.25">
      <c r="A117" t="s">
        <v>528</v>
      </c>
      <c r="B117" t="s">
        <v>69</v>
      </c>
      <c r="C117" t="s">
        <v>292</v>
      </c>
      <c r="D117" t="str">
        <f>IF(LEFT(Table19[[#This Row],[Opponent]],1)="@","Away","Home")</f>
        <v>Home</v>
      </c>
      <c r="E117">
        <f>_xlfn.NUMBERVALUE(MID(LEFT(Table19[[#This Row],[Score]],FIND("-",Table19[[#This Row],[Score]])-1),FIND(" ",Table19[[#This Row],[Score]])+1,LEN(Table19[[#This Row],[Score]])))</f>
        <v>7</v>
      </c>
      <c r="F117">
        <f>_xlfn.NUMBERVALUE(RIGHT(Table19[[#This Row],[Score]],LEN(Table19[[#This Row],[Score]])-FIND("-",Table19[[#This Row],[Score]])))</f>
        <v>8</v>
      </c>
      <c r="G117">
        <f t="shared" si="17"/>
        <v>15</v>
      </c>
      <c r="H117" t="str">
        <f>LEFT(Table19[[#This Row],[Score]],1)</f>
        <v>L</v>
      </c>
      <c r="I117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117" s="33">
        <f>VLOOKUP(Table19[[#This Row],[OPP]],Raw!$L$2:$S$23,7,FALSE)-Raw!$U$2</f>
        <v>-3.1019116024166244</v>
      </c>
    </row>
    <row r="118" spans="1:10" x14ac:dyDescent="0.25">
      <c r="A118" t="s">
        <v>529</v>
      </c>
      <c r="B118" t="s">
        <v>343</v>
      </c>
      <c r="C118" t="s">
        <v>280</v>
      </c>
      <c r="D118" t="str">
        <f>IF(LEFT(Table19[[#This Row],[Opponent]],1)="@","Away","Home")</f>
        <v>Home</v>
      </c>
      <c r="E118">
        <f>_xlfn.NUMBERVALUE(MID(LEFT(Table19[[#This Row],[Score]],FIND("-",Table19[[#This Row],[Score]])-1),FIND(" ",Table19[[#This Row],[Score]])+1,LEN(Table19[[#This Row],[Score]])))</f>
        <v>8</v>
      </c>
      <c r="F118">
        <f>_xlfn.NUMBERVALUE(RIGHT(Table19[[#This Row],[Score]],LEN(Table19[[#This Row],[Score]])-FIND("-",Table19[[#This Row],[Score]])))</f>
        <v>3</v>
      </c>
      <c r="G118">
        <f t="shared" si="17"/>
        <v>11</v>
      </c>
      <c r="H118" t="str">
        <f>LEFT(Table19[[#This Row],[Score]],1)</f>
        <v>W</v>
      </c>
      <c r="I118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118" s="33">
        <f>VLOOKUP(Table19[[#This Row],[OPP]],Raw!$L$2:$S$23,7,FALSE)-Raw!$U$2</f>
        <v>-0.61443116423196109</v>
      </c>
    </row>
    <row r="119" spans="1:10" x14ac:dyDescent="0.25">
      <c r="A119" t="s">
        <v>530</v>
      </c>
      <c r="B119" t="s">
        <v>343</v>
      </c>
      <c r="C119" t="s">
        <v>234</v>
      </c>
      <c r="D119" t="str">
        <f>IF(LEFT(Table19[[#This Row],[Opponent]],1)="@","Away","Home")</f>
        <v>Home</v>
      </c>
      <c r="E119">
        <f>_xlfn.NUMBERVALUE(MID(LEFT(Table19[[#This Row],[Score]],FIND("-",Table19[[#This Row],[Score]])-1),FIND(" ",Table19[[#This Row],[Score]])+1,LEN(Table19[[#This Row],[Score]])))</f>
        <v>2</v>
      </c>
      <c r="F119">
        <f>_xlfn.NUMBERVALUE(RIGHT(Table19[[#This Row],[Score]],LEN(Table19[[#This Row],[Score]])-FIND("-",Table19[[#This Row],[Score]])))</f>
        <v>5</v>
      </c>
      <c r="G119">
        <f t="shared" si="17"/>
        <v>7</v>
      </c>
      <c r="H119" t="str">
        <f>LEFT(Table19[[#This Row],[Score]],1)</f>
        <v>L</v>
      </c>
      <c r="I119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119" s="33">
        <f>VLOOKUP(Table19[[#This Row],[OPP]],Raw!$L$2:$S$23,7,FALSE)-Raw!$U$2</f>
        <v>-0.61443116423196109</v>
      </c>
    </row>
    <row r="120" spans="1:10" x14ac:dyDescent="0.25">
      <c r="A120" t="s">
        <v>541</v>
      </c>
      <c r="B120" t="s">
        <v>17</v>
      </c>
      <c r="C120" t="s">
        <v>254</v>
      </c>
      <c r="D120" t="str">
        <f>IF(LEFT(Table19[[#This Row],[Opponent]],1)="@","Away","Home")</f>
        <v>Away</v>
      </c>
      <c r="E120">
        <f>_xlfn.NUMBERVALUE(MID(LEFT(Table19[[#This Row],[Score]],FIND("-",Table19[[#This Row],[Score]])-1),FIND(" ",Table19[[#This Row],[Score]])+1,LEN(Table19[[#This Row],[Score]])))</f>
        <v>5</v>
      </c>
      <c r="F120">
        <f>_xlfn.NUMBERVALUE(RIGHT(Table19[[#This Row],[Score]],LEN(Table19[[#This Row],[Score]])-FIND("-",Table19[[#This Row],[Score]])))</f>
        <v>4</v>
      </c>
      <c r="G120">
        <f>E120+F120</f>
        <v>9</v>
      </c>
      <c r="H120" t="str">
        <f>LEFT(Table19[[#This Row],[Score]],1)</f>
        <v>W</v>
      </c>
      <c r="I120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120" s="33">
        <f>VLOOKUP(Table19[[#This Row],[OPP]],Raw!$L$2:$S$23,7,FALSE)-Raw!$U$2</f>
        <v>0.53189121448478383</v>
      </c>
    </row>
    <row r="121" spans="1:10" x14ac:dyDescent="0.25">
      <c r="A121" t="s">
        <v>543</v>
      </c>
      <c r="B121" t="s">
        <v>58</v>
      </c>
      <c r="C121" t="s">
        <v>226</v>
      </c>
      <c r="D121" t="str">
        <f>IF(LEFT(Table19[[#This Row],[Opponent]],1)="@","Away","Home")</f>
        <v>Away</v>
      </c>
      <c r="E121">
        <f>_xlfn.NUMBERVALUE(MID(LEFT(Table19[[#This Row],[Score]],FIND("-",Table19[[#This Row],[Score]])-1),FIND(" ",Table19[[#This Row],[Score]])+1,LEN(Table19[[#This Row],[Score]])))</f>
        <v>3</v>
      </c>
      <c r="F121">
        <f>_xlfn.NUMBERVALUE(RIGHT(Table19[[#This Row],[Score]],LEN(Table19[[#This Row],[Score]])-FIND("-",Table19[[#This Row],[Score]])))</f>
        <v>2</v>
      </c>
      <c r="G121">
        <f>E121+F121</f>
        <v>5</v>
      </c>
      <c r="H121" t="str">
        <f>LEFT(Table19[[#This Row],[Score]],1)</f>
        <v>W</v>
      </c>
      <c r="I121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121" s="33">
        <f>VLOOKUP(Table19[[#This Row],[OPP]],Raw!$L$2:$S$23,7,FALSE)-Raw!$U$2</f>
        <v>0.83001328021248344</v>
      </c>
    </row>
    <row r="122" spans="1:10" x14ac:dyDescent="0.25">
      <c r="A122" t="s">
        <v>546</v>
      </c>
      <c r="B122" t="s">
        <v>58</v>
      </c>
      <c r="C122" t="s">
        <v>26</v>
      </c>
      <c r="D122" t="str">
        <f>IF(LEFT(Table19[[#This Row],[Opponent]],1)="@","Away","Home")</f>
        <v>Away</v>
      </c>
      <c r="E122">
        <f>_xlfn.NUMBERVALUE(MID(LEFT(Table19[[#This Row],[Score]],FIND("-",Table19[[#This Row],[Score]])-1),FIND(" ",Table19[[#This Row],[Score]])+1,LEN(Table19[[#This Row],[Score]])))</f>
        <v>10</v>
      </c>
      <c r="F122">
        <f>_xlfn.NUMBERVALUE(RIGHT(Table19[[#This Row],[Score]],LEN(Table19[[#This Row],[Score]])-FIND("-",Table19[[#This Row],[Score]])))</f>
        <v>6</v>
      </c>
      <c r="G122">
        <f>E122+F122</f>
        <v>16</v>
      </c>
      <c r="H122" t="str">
        <f>LEFT(Table19[[#This Row],[Score]],1)</f>
        <v>W</v>
      </c>
      <c r="I122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122" s="33">
        <f>VLOOKUP(Table19[[#This Row],[OPP]],Raw!$L$2:$S$23,7,FALSE)-Raw!$U$2</f>
        <v>0.83001328021248344</v>
      </c>
    </row>
    <row r="123" spans="1:10" x14ac:dyDescent="0.25">
      <c r="A123" t="s">
        <v>549</v>
      </c>
      <c r="B123" t="s">
        <v>314</v>
      </c>
      <c r="C123" t="s">
        <v>195</v>
      </c>
      <c r="D123" t="str">
        <f>IF(LEFT(Table19[[#This Row],[Opponent]],1)="@","Away","Home")</f>
        <v>Home</v>
      </c>
      <c r="E123">
        <f>_xlfn.NUMBERVALUE(MID(LEFT(Table19[[#This Row],[Score]],FIND("-",Table19[[#This Row],[Score]])-1),FIND(" ",Table19[[#This Row],[Score]])+1,LEN(Table19[[#This Row],[Score]])))</f>
        <v>8</v>
      </c>
      <c r="F123">
        <f>_xlfn.NUMBERVALUE(RIGHT(Table19[[#This Row],[Score]],LEN(Table19[[#This Row],[Score]])-FIND("-",Table19[[#This Row],[Score]])))</f>
        <v>1</v>
      </c>
      <c r="G123">
        <f t="shared" ref="G123:G126" si="18">E123+F123</f>
        <v>9</v>
      </c>
      <c r="H123" t="str">
        <f>LEFT(Table19[[#This Row],[Score]],1)</f>
        <v>W</v>
      </c>
      <c r="I123" s="17" t="str">
        <f>VLOOKUP(IF(Table19[[#This Row],[At]]="Home",Table19[[#This Row],[Opponent]],RIGHT(Table19[[#This Row],[Opponent]],LEN(Table19[[#This Row],[Opponent]])-1)),CHOOSE({1,2},[1]StandingsRAW!$J$1:$J$22,[1]StandingsRAW!$L$1:$L$22),2,FALSE)</f>
        <v>LAK</v>
      </c>
      <c r="J123" s="33">
        <f>VLOOKUP(Table19[[#This Row],[OPP]],Raw!$L$2:$S$23,7,FALSE)-Raw!$U$2</f>
        <v>0.13556883576803896</v>
      </c>
    </row>
    <row r="124" spans="1:10" x14ac:dyDescent="0.25">
      <c r="A124" t="s">
        <v>550</v>
      </c>
      <c r="B124" t="s">
        <v>314</v>
      </c>
      <c r="C124" t="s">
        <v>72</v>
      </c>
      <c r="D124" t="str">
        <f>IF(LEFT(Table19[[#This Row],[Opponent]],1)="@","Away","Home")</f>
        <v>Home</v>
      </c>
      <c r="E124">
        <f>_xlfn.NUMBERVALUE(MID(LEFT(Table19[[#This Row],[Score]],FIND("-",Table19[[#This Row],[Score]])-1),FIND(" ",Table19[[#This Row],[Score]])+1,LEN(Table19[[#This Row],[Score]])))</f>
        <v>12</v>
      </c>
      <c r="F124">
        <f>_xlfn.NUMBERVALUE(RIGHT(Table19[[#This Row],[Score]],LEN(Table19[[#This Row],[Score]])-FIND("-",Table19[[#This Row],[Score]])))</f>
        <v>3</v>
      </c>
      <c r="G124">
        <f t="shared" si="18"/>
        <v>15</v>
      </c>
      <c r="H124" t="str">
        <f>LEFT(Table19[[#This Row],[Score]],1)</f>
        <v>W</v>
      </c>
      <c r="I124" s="17" t="str">
        <f>VLOOKUP(IF(Table19[[#This Row],[At]]="Home",Table19[[#This Row],[Opponent]],RIGHT(Table19[[#This Row],[Opponent]],LEN(Table19[[#This Row],[Opponent]])-1)),CHOOSE({1,2},[1]StandingsRAW!$J$1:$J$22,[1]StandingsRAW!$L$1:$L$22),2,FALSE)</f>
        <v>LAK</v>
      </c>
      <c r="J124" s="33">
        <f>VLOOKUP(Table19[[#This Row],[OPP]],Raw!$L$2:$S$23,7,FALSE)-Raw!$U$2</f>
        <v>0.13556883576803896</v>
      </c>
    </row>
    <row r="125" spans="1:10" x14ac:dyDescent="0.25">
      <c r="A125" t="s">
        <v>551</v>
      </c>
      <c r="B125" t="s">
        <v>343</v>
      </c>
      <c r="C125" t="s">
        <v>113</v>
      </c>
      <c r="D125" t="str">
        <f>IF(LEFT(Table19[[#This Row],[Opponent]],1)="@","Away","Home")</f>
        <v>Home</v>
      </c>
      <c r="E125">
        <f>_xlfn.NUMBERVALUE(MID(LEFT(Table19[[#This Row],[Score]],FIND("-",Table19[[#This Row],[Score]])-1),FIND(" ",Table19[[#This Row],[Score]])+1,LEN(Table19[[#This Row],[Score]])))</f>
        <v>7</v>
      </c>
      <c r="F125">
        <f>_xlfn.NUMBERVALUE(RIGHT(Table19[[#This Row],[Score]],LEN(Table19[[#This Row],[Score]])-FIND("-",Table19[[#This Row],[Score]])))</f>
        <v>9</v>
      </c>
      <c r="G125">
        <f t="shared" si="18"/>
        <v>16</v>
      </c>
      <c r="H125" t="str">
        <f>LEFT(Table19[[#This Row],[Score]],1)</f>
        <v>L</v>
      </c>
      <c r="I125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125" s="33">
        <f>VLOOKUP(Table19[[#This Row],[OPP]],Raw!$L$2:$S$23,7,FALSE)-Raw!$U$2</f>
        <v>-0.61443116423196109</v>
      </c>
    </row>
    <row r="126" spans="1:10" x14ac:dyDescent="0.25">
      <c r="A126" t="s">
        <v>552</v>
      </c>
      <c r="B126" t="s">
        <v>343</v>
      </c>
      <c r="C126" t="s">
        <v>290</v>
      </c>
      <c r="D126" t="str">
        <f>IF(LEFT(Table19[[#This Row],[Opponent]],1)="@","Away","Home")</f>
        <v>Home</v>
      </c>
      <c r="E126">
        <f>_xlfn.NUMBERVALUE(MID(LEFT(Table19[[#This Row],[Score]],FIND("-",Table19[[#This Row],[Score]])-1),FIND(" ",Table19[[#This Row],[Score]])+1,LEN(Table19[[#This Row],[Score]])))</f>
        <v>5</v>
      </c>
      <c r="F126">
        <f>_xlfn.NUMBERVALUE(RIGHT(Table19[[#This Row],[Score]],LEN(Table19[[#This Row],[Score]])-FIND("-",Table19[[#This Row],[Score]])))</f>
        <v>0</v>
      </c>
      <c r="G126">
        <f t="shared" si="18"/>
        <v>5</v>
      </c>
      <c r="H126" t="str">
        <f>LEFT(Table19[[#This Row],[Score]],1)</f>
        <v>W</v>
      </c>
      <c r="I126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126" s="33">
        <f>VLOOKUP(Table19[[#This Row],[OPP]],Raw!$L$2:$S$23,7,FALSE)-Raw!$U$2</f>
        <v>-0.61443116423196109</v>
      </c>
    </row>
    <row r="127" spans="1:10" x14ac:dyDescent="0.25">
      <c r="A127" t="s">
        <v>555</v>
      </c>
      <c r="B127" t="s">
        <v>10</v>
      </c>
      <c r="C127" t="s">
        <v>35</v>
      </c>
      <c r="D127" t="str">
        <f>IF(LEFT(Table19[[#This Row],[Opponent]],1)="@","Away","Home")</f>
        <v>Away</v>
      </c>
      <c r="E127">
        <f>_xlfn.NUMBERVALUE(MID(LEFT(Table19[[#This Row],[Score]],FIND("-",Table19[[#This Row],[Score]])-1),FIND(" ",Table19[[#This Row],[Score]])+1,LEN(Table19[[#This Row],[Score]])))</f>
        <v>4</v>
      </c>
      <c r="F127">
        <f>_xlfn.NUMBERVALUE(RIGHT(Table19[[#This Row],[Score]],LEN(Table19[[#This Row],[Score]])-FIND("-",Table19[[#This Row],[Score]])))</f>
        <v>1</v>
      </c>
      <c r="G127">
        <f>E127+F127</f>
        <v>5</v>
      </c>
      <c r="H127" t="str">
        <f>LEFT(Table19[[#This Row],[Score]],1)</f>
        <v>W</v>
      </c>
      <c r="I127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127" s="33">
        <f>VLOOKUP(Table19[[#This Row],[OPP]],Raw!$L$2:$S$23,7,FALSE)-Raw!$U$2</f>
        <v>-3.1019116024166244</v>
      </c>
    </row>
    <row r="128" spans="1:10" x14ac:dyDescent="0.25">
      <c r="A128" t="s">
        <v>557</v>
      </c>
      <c r="B128" t="s">
        <v>10</v>
      </c>
      <c r="C128" t="s">
        <v>217</v>
      </c>
      <c r="D128" t="str">
        <f>IF(LEFT(Table19[[#This Row],[Opponent]],1)="@","Away","Home")</f>
        <v>Away</v>
      </c>
      <c r="E128">
        <f>_xlfn.NUMBERVALUE(MID(LEFT(Table19[[#This Row],[Score]],FIND("-",Table19[[#This Row],[Score]])-1),FIND(" ",Table19[[#This Row],[Score]])+1,LEN(Table19[[#This Row],[Score]])))</f>
        <v>3</v>
      </c>
      <c r="F128">
        <f>_xlfn.NUMBERVALUE(RIGHT(Table19[[#This Row],[Score]],LEN(Table19[[#This Row],[Score]])-FIND("-",Table19[[#This Row],[Score]])))</f>
        <v>0</v>
      </c>
      <c r="G128">
        <f>E128+F128</f>
        <v>3</v>
      </c>
      <c r="H128" t="str">
        <f>LEFT(Table19[[#This Row],[Score]],1)</f>
        <v>W</v>
      </c>
      <c r="I128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128" s="33">
        <f>VLOOKUP(Table19[[#This Row],[OPP]],Raw!$L$2:$S$23,7,FALSE)-Raw!$U$2</f>
        <v>-3.1019116024166244</v>
      </c>
    </row>
    <row r="129" spans="1:10" x14ac:dyDescent="0.25">
      <c r="A129" t="s">
        <v>558</v>
      </c>
      <c r="B129" t="s">
        <v>52</v>
      </c>
      <c r="C129" t="s">
        <v>128</v>
      </c>
      <c r="D129" t="str">
        <f>IF(LEFT(Table19[[#This Row],[Opponent]],1)="@","Away","Home")</f>
        <v>Home</v>
      </c>
      <c r="E129">
        <f>_xlfn.NUMBERVALUE(MID(LEFT(Table19[[#This Row],[Score]],FIND("-",Table19[[#This Row],[Score]])-1),FIND(" ",Table19[[#This Row],[Score]])+1,LEN(Table19[[#This Row],[Score]])))</f>
        <v>6</v>
      </c>
      <c r="F129">
        <f>_xlfn.NUMBERVALUE(RIGHT(Table19[[#This Row],[Score]],LEN(Table19[[#This Row],[Score]])-FIND("-",Table19[[#This Row],[Score]])))</f>
        <v>5</v>
      </c>
      <c r="G129">
        <f>E129+F129</f>
        <v>11</v>
      </c>
      <c r="H129" t="str">
        <f>LEFT(Table19[[#This Row],[Score]],1)</f>
        <v>W</v>
      </c>
      <c r="I129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129" s="33">
        <f>VLOOKUP(Table19[[#This Row],[OPP]],Raw!$L$2:$S$23,7,FALSE)-Raw!$U$2</f>
        <v>-3.3200531208499337E-3</v>
      </c>
    </row>
    <row r="130" spans="1:10" x14ac:dyDescent="0.25">
      <c r="A130" t="s">
        <v>563</v>
      </c>
      <c r="B130" t="s">
        <v>52</v>
      </c>
      <c r="C130" t="s">
        <v>254</v>
      </c>
      <c r="D130" t="str">
        <f>IF(LEFT(Table19[[#This Row],[Opponent]],1)="@","Away","Home")</f>
        <v>Home</v>
      </c>
      <c r="E130">
        <f>_xlfn.NUMBERVALUE(MID(LEFT(Table19[[#This Row],[Score]],FIND("-",Table19[[#This Row],[Score]])-1),FIND(" ",Table19[[#This Row],[Score]])+1,LEN(Table19[[#This Row],[Score]])))</f>
        <v>5</v>
      </c>
      <c r="F130">
        <f>_xlfn.NUMBERVALUE(RIGHT(Table19[[#This Row],[Score]],LEN(Table19[[#This Row],[Score]])-FIND("-",Table19[[#This Row],[Score]])))</f>
        <v>4</v>
      </c>
      <c r="G130">
        <f t="shared" ref="G130:G131" si="19">E130+F130</f>
        <v>9</v>
      </c>
      <c r="H130" t="str">
        <f>LEFT(Table19[[#This Row],[Score]],1)</f>
        <v>W</v>
      </c>
      <c r="I130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130" s="33">
        <f>VLOOKUP(Table19[[#This Row],[OPP]],Raw!$L$2:$S$23,7,FALSE)-Raw!$U$2</f>
        <v>-3.3200531208499337E-3</v>
      </c>
    </row>
    <row r="131" spans="1:10" x14ac:dyDescent="0.25">
      <c r="A131" t="s">
        <v>563</v>
      </c>
      <c r="B131" t="s">
        <v>52</v>
      </c>
      <c r="C131" t="s">
        <v>264</v>
      </c>
      <c r="D131" t="str">
        <f>IF(LEFT(Table19[[#This Row],[Opponent]],1)="@","Away","Home")</f>
        <v>Home</v>
      </c>
      <c r="E131">
        <f>_xlfn.NUMBERVALUE(MID(LEFT(Table19[[#This Row],[Score]],FIND("-",Table19[[#This Row],[Score]])-1),FIND(" ",Table19[[#This Row],[Score]])+1,LEN(Table19[[#This Row],[Score]])))</f>
        <v>6</v>
      </c>
      <c r="F131">
        <f>_xlfn.NUMBERVALUE(RIGHT(Table19[[#This Row],[Score]],LEN(Table19[[#This Row],[Score]])-FIND("-",Table19[[#This Row],[Score]])))</f>
        <v>2</v>
      </c>
      <c r="G131">
        <f t="shared" si="19"/>
        <v>8</v>
      </c>
      <c r="H131" t="str">
        <f>LEFT(Table19[[#This Row],[Score]],1)</f>
        <v>W</v>
      </c>
      <c r="I131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131" s="33">
        <f>VLOOKUP(Table19[[#This Row],[OPP]],Raw!$L$2:$S$23,7,FALSE)-Raw!$U$2</f>
        <v>-3.3200531208499337E-3</v>
      </c>
    </row>
    <row r="132" spans="1:10" x14ac:dyDescent="0.25">
      <c r="A132" t="s">
        <v>564</v>
      </c>
      <c r="B132" t="s">
        <v>52</v>
      </c>
      <c r="C132" t="s">
        <v>389</v>
      </c>
      <c r="D132" t="str">
        <f>IF(LEFT(Table19[[#This Row],[Opponent]],1)="@","Away","Home")</f>
        <v>Home</v>
      </c>
      <c r="E132">
        <f>_xlfn.NUMBERVALUE(MID(LEFT(Table19[[#This Row],[Score]],FIND("-",Table19[[#This Row],[Score]])-1),FIND(" ",Table19[[#This Row],[Score]])+1,LEN(Table19[[#This Row],[Score]])))</f>
        <v>11</v>
      </c>
      <c r="F132">
        <f>_xlfn.NUMBERVALUE(RIGHT(Table19[[#This Row],[Score]],LEN(Table19[[#This Row],[Score]])-FIND("-",Table19[[#This Row],[Score]])))</f>
        <v>0</v>
      </c>
      <c r="G132">
        <f t="shared" ref="G132:G135" si="20">E132+F132</f>
        <v>11</v>
      </c>
      <c r="H132" t="str">
        <f>LEFT(Table19[[#This Row],[Score]],1)</f>
        <v>W</v>
      </c>
      <c r="I132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132" s="33">
        <f>VLOOKUP(Table19[[#This Row],[OPP]],Raw!$L$2:$S$23,7,FALSE)-Raw!$U$2</f>
        <v>-3.3200531208499337E-3</v>
      </c>
    </row>
    <row r="133" spans="1:10" x14ac:dyDescent="0.25">
      <c r="A133" t="s">
        <v>565</v>
      </c>
      <c r="B133" t="s">
        <v>315</v>
      </c>
      <c r="C133" t="s">
        <v>202</v>
      </c>
      <c r="D133" t="str">
        <f>IF(LEFT(Table19[[#This Row],[Opponent]],1)="@","Away","Home")</f>
        <v>Away</v>
      </c>
      <c r="E133">
        <f>_xlfn.NUMBERVALUE(MID(LEFT(Table19[[#This Row],[Score]],FIND("-",Table19[[#This Row],[Score]])-1),FIND(" ",Table19[[#This Row],[Score]])+1,LEN(Table19[[#This Row],[Score]])))</f>
        <v>4</v>
      </c>
      <c r="F133">
        <f>_xlfn.NUMBERVALUE(RIGHT(Table19[[#This Row],[Score]],LEN(Table19[[#This Row],[Score]])-FIND("-",Table19[[#This Row],[Score]])))</f>
        <v>11</v>
      </c>
      <c r="G133">
        <f t="shared" si="20"/>
        <v>15</v>
      </c>
      <c r="H133" t="str">
        <f>LEFT(Table19[[#This Row],[Score]],1)</f>
        <v>L</v>
      </c>
      <c r="I133" s="17" t="str">
        <f>VLOOKUP(IF(Table19[[#This Row],[At]]="Home",Table19[[#This Row],[Opponent]],RIGHT(Table19[[#This Row],[Opponent]],LEN(Table19[[#This Row],[Opponent]])-1)),CHOOSE({1,2},[1]StandingsRAW!$J$1:$J$22,[1]StandingsRAW!$L$1:$L$22),2,FALSE)</f>
        <v>LAK</v>
      </c>
      <c r="J133" s="33">
        <f>VLOOKUP(Table19[[#This Row],[OPP]],Raw!$L$2:$S$23,7,FALSE)-Raw!$U$2</f>
        <v>0.13556883576803896</v>
      </c>
    </row>
    <row r="134" spans="1:10" x14ac:dyDescent="0.25">
      <c r="A134" t="s">
        <v>566</v>
      </c>
      <c r="B134" t="s">
        <v>315</v>
      </c>
      <c r="C134" t="s">
        <v>531</v>
      </c>
      <c r="D134" t="str">
        <f>IF(LEFT(Table19[[#This Row],[Opponent]],1)="@","Away","Home")</f>
        <v>Away</v>
      </c>
      <c r="E134">
        <f>_xlfn.NUMBERVALUE(MID(LEFT(Table19[[#This Row],[Score]],FIND("-",Table19[[#This Row],[Score]])-1),FIND(" ",Table19[[#This Row],[Score]])+1,LEN(Table19[[#This Row],[Score]])))</f>
        <v>11</v>
      </c>
      <c r="F134">
        <f>_xlfn.NUMBERVALUE(RIGHT(Table19[[#This Row],[Score]],LEN(Table19[[#This Row],[Score]])-FIND("-",Table19[[#This Row],[Score]])))</f>
        <v>12</v>
      </c>
      <c r="G134">
        <f t="shared" si="20"/>
        <v>23</v>
      </c>
      <c r="H134" t="str">
        <f>LEFT(Table19[[#This Row],[Score]],1)</f>
        <v>L</v>
      </c>
      <c r="I134" s="17" t="str">
        <f>VLOOKUP(IF(Table19[[#This Row],[At]]="Home",Table19[[#This Row],[Opponent]],RIGHT(Table19[[#This Row],[Opponent]],LEN(Table19[[#This Row],[Opponent]])-1)),CHOOSE({1,2},[1]StandingsRAW!$J$1:$J$22,[1]StandingsRAW!$L$1:$L$22),2,FALSE)</f>
        <v>LAK</v>
      </c>
      <c r="J134" s="33">
        <f>VLOOKUP(Table19[[#This Row],[OPP]],Raw!$L$2:$S$23,7,FALSE)-Raw!$U$2</f>
        <v>0.13556883576803896</v>
      </c>
    </row>
    <row r="135" spans="1:10" x14ac:dyDescent="0.25">
      <c r="A135" t="s">
        <v>568</v>
      </c>
      <c r="B135" t="s">
        <v>115</v>
      </c>
      <c r="C135" t="s">
        <v>15</v>
      </c>
      <c r="D135" t="str">
        <f>IF(LEFT(Table19[[#This Row],[Opponent]],1)="@","Away","Home")</f>
        <v>Away</v>
      </c>
      <c r="E135">
        <f>_xlfn.NUMBERVALUE(MID(LEFT(Table19[[#This Row],[Score]],FIND("-",Table19[[#This Row],[Score]])-1),FIND(" ",Table19[[#This Row],[Score]])+1,LEN(Table19[[#This Row],[Score]])))</f>
        <v>3</v>
      </c>
      <c r="F135">
        <f>_xlfn.NUMBERVALUE(RIGHT(Table19[[#This Row],[Score]],LEN(Table19[[#This Row],[Score]])-FIND("-",Table19[[#This Row],[Score]])))</f>
        <v>1</v>
      </c>
      <c r="G135">
        <f t="shared" si="20"/>
        <v>4</v>
      </c>
      <c r="H135" t="str">
        <f>LEFT(Table19[[#This Row],[Score]],1)</f>
        <v>W</v>
      </c>
      <c r="I135" s="17" t="str">
        <f>VLOOKUP(IF(Table19[[#This Row],[At]]="Home",Table19[[#This Row],[Opponent]],RIGHT(Table19[[#This Row],[Opponent]],LEN(Table19[[#This Row],[Opponent]])-1)),CHOOSE({1,2},[1]StandingsRAW!$J$1:$J$22,[1]StandingsRAW!$L$1:$L$22),2,FALSE)</f>
        <v>GB</v>
      </c>
      <c r="J135" s="33">
        <f>VLOOKUP(Table19[[#This Row],[OPP]],Raw!$L$2:$S$23,7,FALSE)-Raw!$U$2</f>
        <v>-1.4060978308986276</v>
      </c>
    </row>
    <row r="136" spans="1:10" x14ac:dyDescent="0.25">
      <c r="A136" t="s">
        <v>589</v>
      </c>
      <c r="B136" t="s">
        <v>115</v>
      </c>
      <c r="C136" t="s">
        <v>220</v>
      </c>
      <c r="D136" t="str">
        <f>IF(LEFT(Table19[[#This Row],[Opponent]],1)="@","Away","Home")</f>
        <v>Away</v>
      </c>
      <c r="E136">
        <f>_xlfn.NUMBERVALUE(MID(LEFT(Table19[[#This Row],[Score]],FIND("-",Table19[[#This Row],[Score]])-1),FIND(" ",Table19[[#This Row],[Score]])+1,LEN(Table19[[#This Row],[Score]])))</f>
        <v>12</v>
      </c>
      <c r="F136">
        <f>_xlfn.NUMBERVALUE(RIGHT(Table19[[#This Row],[Score]],LEN(Table19[[#This Row],[Score]])-FIND("-",Table19[[#This Row],[Score]])))</f>
        <v>8</v>
      </c>
      <c r="G136">
        <f>E136+F136</f>
        <v>20</v>
      </c>
      <c r="H136" t="str">
        <f>LEFT(Table19[[#This Row],[Score]],1)</f>
        <v>W</v>
      </c>
      <c r="I136" s="17" t="str">
        <f>VLOOKUP(IF(Table19[[#This Row],[At]]="Home",Table19[[#This Row],[Opponent]],RIGHT(Table19[[#This Row],[Opponent]],LEN(Table19[[#This Row],[Opponent]])-1)),CHOOSE({1,2},[1]StandingsRAW!$J$1:$J$22,[1]StandingsRAW!$L$1:$L$22),2,FALSE)</f>
        <v>GB</v>
      </c>
      <c r="J136" s="33">
        <f>VLOOKUP(Table19[[#This Row],[OPP]],Raw!$L$2:$S$23,7,FALSE)-Raw!$U$2</f>
        <v>-1.4060978308986276</v>
      </c>
    </row>
    <row r="137" spans="1:10" x14ac:dyDescent="0.25">
      <c r="A137" t="s">
        <v>592</v>
      </c>
      <c r="B137" t="s">
        <v>20</v>
      </c>
      <c r="C137" t="s">
        <v>270</v>
      </c>
      <c r="D137" t="str">
        <f>IF(LEFT(Table19[[#This Row],[Opponent]],1)="@","Away","Home")</f>
        <v>Home</v>
      </c>
      <c r="E137">
        <f>_xlfn.NUMBERVALUE(MID(LEFT(Table19[[#This Row],[Score]],FIND("-",Table19[[#This Row],[Score]])-1),FIND(" ",Table19[[#This Row],[Score]])+1,LEN(Table19[[#This Row],[Score]])))</f>
        <v>4</v>
      </c>
      <c r="F137">
        <f>_xlfn.NUMBERVALUE(RIGHT(Table19[[#This Row],[Score]],LEN(Table19[[#This Row],[Score]])-FIND("-",Table19[[#This Row],[Score]])))</f>
        <v>3</v>
      </c>
      <c r="G137">
        <f>E137+F137</f>
        <v>7</v>
      </c>
      <c r="H137" t="str">
        <f>LEFT(Table19[[#This Row],[Score]],1)</f>
        <v>W</v>
      </c>
      <c r="I137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137" s="33">
        <f>VLOOKUP(Table19[[#This Row],[OPP]],Raw!$L$2:$S$23,7,FALSE)-Raw!$U$2</f>
        <v>0.83001328021248344</v>
      </c>
    </row>
    <row r="138" spans="1:10" x14ac:dyDescent="0.25">
      <c r="A138" t="s">
        <v>595</v>
      </c>
      <c r="B138" t="s">
        <v>20</v>
      </c>
      <c r="C138" t="s">
        <v>48</v>
      </c>
      <c r="D138" t="str">
        <f>IF(LEFT(Table19[[#This Row],[Opponent]],1)="@","Away","Home")</f>
        <v>Home</v>
      </c>
      <c r="E138">
        <f>_xlfn.NUMBERVALUE(MID(LEFT(Table19[[#This Row],[Score]],FIND("-",Table19[[#This Row],[Score]])-1),FIND(" ",Table19[[#This Row],[Score]])+1,LEN(Table19[[#This Row],[Score]])))</f>
        <v>4</v>
      </c>
      <c r="F138">
        <f>_xlfn.NUMBERVALUE(RIGHT(Table19[[#This Row],[Score]],LEN(Table19[[#This Row],[Score]])-FIND("-",Table19[[#This Row],[Score]])))</f>
        <v>5</v>
      </c>
      <c r="G138">
        <f>E138+F138</f>
        <v>9</v>
      </c>
      <c r="H138" t="str">
        <f>LEFT(Table19[[#This Row],[Score]],1)</f>
        <v>L</v>
      </c>
      <c r="I138" s="17" t="str">
        <f>VLOOKUP(IF(Table19[[#This Row],[At]]="Home",Table19[[#This Row],[Opponent]],RIGHT(Table19[[#This Row],[Opponent]],LEN(Table19[[#This Row],[Opponent]])-1)),CHOOSE({1,2},[1]StandingsRAW!$J$1:$J$22,[1]StandingsRAW!$L$1:$L$22),2,FALSE)</f>
        <v>RFD</v>
      </c>
      <c r="J138" s="33">
        <f>VLOOKUP(Table19[[#This Row],[OPP]],Raw!$L$2:$S$23,7,FALSE)-Raw!$U$2</f>
        <v>0.83001328021248344</v>
      </c>
    </row>
    <row r="139" spans="1:10" x14ac:dyDescent="0.25">
      <c r="A139" t="s">
        <v>598</v>
      </c>
      <c r="B139" t="s">
        <v>17</v>
      </c>
      <c r="C139" t="s">
        <v>356</v>
      </c>
      <c r="D139" t="str">
        <f>IF(LEFT(Table19[[#This Row],[Opponent]],1)="@","Away","Home")</f>
        <v>Away</v>
      </c>
      <c r="E139">
        <f>_xlfn.NUMBERVALUE(MID(LEFT(Table19[[#This Row],[Score]],FIND("-",Table19[[#This Row],[Score]])-1),FIND(" ",Table19[[#This Row],[Score]])+1,LEN(Table19[[#This Row],[Score]])))</f>
        <v>16</v>
      </c>
      <c r="F139">
        <f>_xlfn.NUMBERVALUE(RIGHT(Table19[[#This Row],[Score]],LEN(Table19[[#This Row],[Score]])-FIND("-",Table19[[#This Row],[Score]])))</f>
        <v>4</v>
      </c>
      <c r="G139">
        <f t="shared" ref="G139:G140" si="21">E139+F139</f>
        <v>20</v>
      </c>
      <c r="H139" t="str">
        <f>LEFT(Table19[[#This Row],[Score]],1)</f>
        <v>W</v>
      </c>
      <c r="I139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139" s="33">
        <f>VLOOKUP(Table19[[#This Row],[OPP]],Raw!$L$2:$S$23,7,FALSE)-Raw!$U$2</f>
        <v>0.53189121448478383</v>
      </c>
    </row>
    <row r="140" spans="1:10" x14ac:dyDescent="0.25">
      <c r="A140" t="s">
        <v>598</v>
      </c>
      <c r="B140" t="s">
        <v>5</v>
      </c>
      <c r="C140" t="s">
        <v>270</v>
      </c>
      <c r="D140" t="str">
        <f>IF(LEFT(Table19[[#This Row],[Opponent]],1)="@","Away","Home")</f>
        <v>Home</v>
      </c>
      <c r="E140">
        <f>_xlfn.NUMBERVALUE(MID(LEFT(Table19[[#This Row],[Score]],FIND("-",Table19[[#This Row],[Score]])-1),FIND(" ",Table19[[#This Row],[Score]])+1,LEN(Table19[[#This Row],[Score]])))</f>
        <v>4</v>
      </c>
      <c r="F140">
        <f>_xlfn.NUMBERVALUE(RIGHT(Table19[[#This Row],[Score]],LEN(Table19[[#This Row],[Score]])-FIND("-",Table19[[#This Row],[Score]])))</f>
        <v>3</v>
      </c>
      <c r="G140">
        <f t="shared" si="21"/>
        <v>7</v>
      </c>
      <c r="H140" t="str">
        <f>LEFT(Table19[[#This Row],[Score]],1)</f>
        <v>W</v>
      </c>
      <c r="I140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140" s="33">
        <f>VLOOKUP(Table19[[#This Row],[OPP]],Raw!$L$2:$S$23,7,FALSE)-Raw!$U$2</f>
        <v>0.53189121448478383</v>
      </c>
    </row>
    <row r="141" spans="1:10" x14ac:dyDescent="0.25">
      <c r="A141" t="s">
        <v>599</v>
      </c>
      <c r="B141" t="s">
        <v>5</v>
      </c>
      <c r="C141" t="s">
        <v>347</v>
      </c>
      <c r="D141" t="str">
        <f>IF(LEFT(Table19[[#This Row],[Opponent]],1)="@","Away","Home")</f>
        <v>Home</v>
      </c>
      <c r="E141">
        <f>_xlfn.NUMBERVALUE(MID(LEFT(Table19[[#This Row],[Score]],FIND("-",Table19[[#This Row],[Score]])-1),FIND(" ",Table19[[#This Row],[Score]])+1,LEN(Table19[[#This Row],[Score]])))</f>
        <v>9</v>
      </c>
      <c r="F141">
        <f>_xlfn.NUMBERVALUE(RIGHT(Table19[[#This Row],[Score]],LEN(Table19[[#This Row],[Score]])-FIND("-",Table19[[#This Row],[Score]])))</f>
        <v>5</v>
      </c>
      <c r="G141">
        <f>E141+F141</f>
        <v>14</v>
      </c>
      <c r="H141" t="str">
        <f>LEFT(Table19[[#This Row],[Score]],1)</f>
        <v>W</v>
      </c>
      <c r="I141" s="17" t="str">
        <f>VLOOKUP(IF(Table19[[#This Row],[At]]="Home",Table19[[#This Row],[Opponent]],RIGHT(Table19[[#This Row],[Opponent]],LEN(Table19[[#This Row],[Opponent]])-1)),CHOOSE({1,2},[1]StandingsRAW!$J$1:$J$22,[1]StandingsRAW!$L$1:$L$22),2,FALSE)</f>
        <v>KZO</v>
      </c>
      <c r="J141" s="33">
        <f>VLOOKUP(Table19[[#This Row],[OPP]],Raw!$L$2:$S$23,7,FALSE)-Raw!$U$2</f>
        <v>0.53189121448478383</v>
      </c>
    </row>
    <row r="142" spans="1:10" x14ac:dyDescent="0.25">
      <c r="A142" t="s">
        <v>600</v>
      </c>
      <c r="B142" t="s">
        <v>341</v>
      </c>
      <c r="C142" t="s">
        <v>207</v>
      </c>
      <c r="D142" t="str">
        <f>IF(LEFT(Table19[[#This Row],[Opponent]],1)="@","Away","Home")</f>
        <v>Away</v>
      </c>
      <c r="E142">
        <f>_xlfn.NUMBERVALUE(MID(LEFT(Table19[[#This Row],[Score]],FIND("-",Table19[[#This Row],[Score]])-1),FIND(" ",Table19[[#This Row],[Score]])+1,LEN(Table19[[#This Row],[Score]])))</f>
        <v>3</v>
      </c>
      <c r="F142">
        <f>_xlfn.NUMBERVALUE(RIGHT(Table19[[#This Row],[Score]],LEN(Table19[[#This Row],[Score]])-FIND("-",Table19[[#This Row],[Score]])))</f>
        <v>8</v>
      </c>
      <c r="G142">
        <f t="shared" ref="G142:G145" si="22">E142+F142</f>
        <v>11</v>
      </c>
      <c r="H142" t="str">
        <f>LEFT(Table19[[#This Row],[Score]],1)</f>
        <v>L</v>
      </c>
      <c r="I142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142" s="33">
        <f>VLOOKUP(Table19[[#This Row],[OPP]],Raw!$L$2:$S$23,7,FALSE)-Raw!$U$2</f>
        <v>-0.61443116423196109</v>
      </c>
    </row>
    <row r="143" spans="1:10" x14ac:dyDescent="0.25">
      <c r="A143" t="s">
        <v>601</v>
      </c>
      <c r="B143" t="s">
        <v>341</v>
      </c>
      <c r="C143" t="s">
        <v>373</v>
      </c>
      <c r="D143" t="str">
        <f>IF(LEFT(Table19[[#This Row],[Opponent]],1)="@","Away","Home")</f>
        <v>Away</v>
      </c>
      <c r="E143">
        <f>_xlfn.NUMBERVALUE(MID(LEFT(Table19[[#This Row],[Score]],FIND("-",Table19[[#This Row],[Score]])-1),FIND(" ",Table19[[#This Row],[Score]])+1,LEN(Table19[[#This Row],[Score]])))</f>
        <v>11</v>
      </c>
      <c r="F143">
        <f>_xlfn.NUMBERVALUE(RIGHT(Table19[[#This Row],[Score]],LEN(Table19[[#This Row],[Score]])-FIND("-",Table19[[#This Row],[Score]])))</f>
        <v>1</v>
      </c>
      <c r="G143">
        <f t="shared" si="22"/>
        <v>12</v>
      </c>
      <c r="H143" t="str">
        <f>LEFT(Table19[[#This Row],[Score]],1)</f>
        <v>W</v>
      </c>
      <c r="I143" s="17" t="str">
        <f>VLOOKUP(IF(Table19[[#This Row],[At]]="Home",Table19[[#This Row],[Opponent]],RIGHT(Table19[[#This Row],[Opponent]],LEN(Table19[[#This Row],[Opponent]])-1)),CHOOSE({1,2},[1]StandingsRAW!$J$1:$J$22,[1]StandingsRAW!$L$1:$L$22),2,FALSE)</f>
        <v>BC</v>
      </c>
      <c r="J143" s="33">
        <f>VLOOKUP(Table19[[#This Row],[OPP]],Raw!$L$2:$S$23,7,FALSE)-Raw!$U$2</f>
        <v>-0.61443116423196109</v>
      </c>
    </row>
    <row r="144" spans="1:10" x14ac:dyDescent="0.25">
      <c r="A144" t="s">
        <v>602</v>
      </c>
      <c r="B144" t="s">
        <v>30</v>
      </c>
      <c r="C144" t="s">
        <v>285</v>
      </c>
      <c r="D144" t="str">
        <f>IF(LEFT(Table19[[#This Row],[Opponent]],1)="@","Away","Home")</f>
        <v>Away</v>
      </c>
      <c r="E144">
        <f>_xlfn.NUMBERVALUE(MID(LEFT(Table19[[#This Row],[Score]],FIND("-",Table19[[#This Row],[Score]])-1),FIND(" ",Table19[[#This Row],[Score]])+1,LEN(Table19[[#This Row],[Score]])))</f>
        <v>10</v>
      </c>
      <c r="F144">
        <f>_xlfn.NUMBERVALUE(RIGHT(Table19[[#This Row],[Score]],LEN(Table19[[#This Row],[Score]])-FIND("-",Table19[[#This Row],[Score]])))</f>
        <v>7</v>
      </c>
      <c r="G144">
        <f t="shared" si="22"/>
        <v>17</v>
      </c>
      <c r="H144" t="str">
        <f>LEFT(Table19[[#This Row],[Score]],1)</f>
        <v>W</v>
      </c>
      <c r="I144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144" s="33">
        <f>VLOOKUP(Table19[[#This Row],[OPP]],Raw!$L$2:$S$23,7,FALSE)-Raw!$U$2</f>
        <v>-3.3200531208499337E-3</v>
      </c>
    </row>
    <row r="145" spans="1:10" x14ac:dyDescent="0.25">
      <c r="A145" t="s">
        <v>603</v>
      </c>
      <c r="B145" t="s">
        <v>30</v>
      </c>
      <c r="C145" t="s">
        <v>335</v>
      </c>
      <c r="D145" t="str">
        <f>IF(LEFT(Table19[[#This Row],[Opponent]],1)="@","Away","Home")</f>
        <v>Away</v>
      </c>
      <c r="E145">
        <f>_xlfn.NUMBERVALUE(MID(LEFT(Table19[[#This Row],[Score]],FIND("-",Table19[[#This Row],[Score]])-1),FIND(" ",Table19[[#This Row],[Score]])+1,LEN(Table19[[#This Row],[Score]])))</f>
        <v>6</v>
      </c>
      <c r="F145">
        <f>_xlfn.NUMBERVALUE(RIGHT(Table19[[#This Row],[Score]],LEN(Table19[[#This Row],[Score]])-FIND("-",Table19[[#This Row],[Score]])))</f>
        <v>4</v>
      </c>
      <c r="G145">
        <f t="shared" si="22"/>
        <v>10</v>
      </c>
      <c r="H145" t="str">
        <f>LEFT(Table19[[#This Row],[Score]],1)</f>
        <v>W</v>
      </c>
      <c r="I145" s="17" t="str">
        <f>VLOOKUP(IF(Table19[[#This Row],[At]]="Home",Table19[[#This Row],[Opponent]],RIGHT(Table19[[#This Row],[Opponent]],LEN(Table19[[#This Row],[Opponent]])-1)),CHOOSE({1,2},[1]StandingsRAW!$J$1:$J$22,[1]StandingsRAW!$L$1:$L$22),2,FALSE)</f>
        <v>KEN</v>
      </c>
      <c r="J145" s="33">
        <f>VLOOKUP(Table19[[#This Row],[OPP]],Raw!$L$2:$S$23,7,FALSE)-Raw!$U$2</f>
        <v>-3.3200531208499337E-3</v>
      </c>
    </row>
    <row r="146" spans="1:10" x14ac:dyDescent="0.25">
      <c r="A146" t="s">
        <v>608</v>
      </c>
      <c r="B146" t="s">
        <v>69</v>
      </c>
      <c r="C146" t="s">
        <v>28</v>
      </c>
      <c r="D146" t="str">
        <f>IF(LEFT(Table19[[#This Row],[Opponent]],1)="@","Away","Home")</f>
        <v>Home</v>
      </c>
      <c r="E146">
        <f>_xlfn.NUMBERVALUE(MID(LEFT(Table19[[#This Row],[Score]],FIND("-",Table19[[#This Row],[Score]])-1),FIND(" ",Table19[[#This Row],[Score]])+1,LEN(Table19[[#This Row],[Score]])))</f>
        <v>4</v>
      </c>
      <c r="F146">
        <f>_xlfn.NUMBERVALUE(RIGHT(Table19[[#This Row],[Score]],LEN(Table19[[#This Row],[Score]])-FIND("-",Table19[[#This Row],[Score]])))</f>
        <v>2</v>
      </c>
      <c r="G146">
        <f t="shared" ref="G146:G147" si="23">E146+F146</f>
        <v>6</v>
      </c>
      <c r="H146" t="str">
        <f>LEFT(Table19[[#This Row],[Score]],1)</f>
        <v>W</v>
      </c>
      <c r="I146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146" s="33">
        <f>VLOOKUP(Table19[[#This Row],[OPP]],Raw!$L$2:$S$23,7,FALSE)-Raw!$U$2</f>
        <v>-3.1019116024166244</v>
      </c>
    </row>
    <row r="147" spans="1:10" x14ac:dyDescent="0.25">
      <c r="A147" t="s">
        <v>609</v>
      </c>
      <c r="B147" t="s">
        <v>69</v>
      </c>
      <c r="C147" t="s">
        <v>368</v>
      </c>
      <c r="D147" t="str">
        <f>IF(LEFT(Table19[[#This Row],[Opponent]],1)="@","Away","Home")</f>
        <v>Home</v>
      </c>
      <c r="E147">
        <f>_xlfn.NUMBERVALUE(MID(LEFT(Table19[[#This Row],[Score]],FIND("-",Table19[[#This Row],[Score]])-1),FIND(" ",Table19[[#This Row],[Score]])+1,LEN(Table19[[#This Row],[Score]])))</f>
        <v>7</v>
      </c>
      <c r="F147">
        <f>_xlfn.NUMBERVALUE(RIGHT(Table19[[#This Row],[Score]],LEN(Table19[[#This Row],[Score]])-FIND("-",Table19[[#This Row],[Score]])))</f>
        <v>11</v>
      </c>
      <c r="G147">
        <f t="shared" si="23"/>
        <v>18</v>
      </c>
      <c r="H147" t="str">
        <f>LEFT(Table19[[#This Row],[Score]],1)</f>
        <v>L</v>
      </c>
      <c r="I147" s="17" t="str">
        <f>VLOOKUP(IF(Table19[[#This Row],[At]]="Home",Table19[[#This Row],[Opponent]],RIGHT(Table19[[#This Row],[Opponent]],LEN(Table19[[#This Row],[Opponent]])-1)),CHOOSE({1,2},[1]StandingsRAW!$J$1:$J$22,[1]StandingsRAW!$L$1:$L$22),2,FALSE)</f>
        <v>KMO</v>
      </c>
      <c r="J147" s="33">
        <f>VLOOKUP(Table19[[#This Row],[OPP]],Raw!$L$2:$S$23,7,FALSE)-Raw!$U$2</f>
        <v>-3.1019116024166244</v>
      </c>
    </row>
  </sheetData>
  <conditionalFormatting sqref="L17">
    <cfRule type="cellIs" dxfId="24" priority="4" operator="greaterThan">
      <formula>100</formula>
    </cfRule>
    <cfRule type="cellIs" dxfId="23" priority="5" operator="lessThan">
      <formula>100</formula>
    </cfRule>
  </conditionalFormatting>
  <conditionalFormatting sqref="L18">
    <cfRule type="cellIs" dxfId="22" priority="2" operator="greaterThan">
      <formula>100</formula>
    </cfRule>
    <cfRule type="cellIs" dxfId="21" priority="3" operator="lessThan">
      <formula>100</formula>
    </cfRule>
  </conditionalFormatting>
  <conditionalFormatting sqref="L17:L18">
    <cfRule type="cellIs" dxfId="20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B5B-D18E-45DF-AF06-11CDA0A174C3}">
  <sheetPr codeName="Sheet21"/>
  <dimension ref="A1:P142"/>
  <sheetViews>
    <sheetView topLeftCell="A70" workbookViewId="0">
      <selection activeCell="A72" sqref="A72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430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198</v>
      </c>
      <c r="C3" t="s">
        <v>290</v>
      </c>
      <c r="E3" s="1" t="str">
        <f>IF(LEFT(B3,1)="@","Away","Home")</f>
        <v>Away</v>
      </c>
      <c r="F3" s="3">
        <f>_xlfn.NUMBERVALUE(MID(LEFT(C3,FIND("-",C3)-1),FIND(" ",C3)+1,LEN(C3)))</f>
        <v>5</v>
      </c>
      <c r="G3" s="3">
        <f>_xlfn.NUMBERVALUE(RIGHT(C3,LEN(C3)-FIND("-",C3)))</f>
        <v>0</v>
      </c>
      <c r="H3" s="3">
        <f t="shared" ref="H3:H66" si="0">F3+G3</f>
        <v>5</v>
      </c>
      <c r="I3" s="3" t="str">
        <f>LEFT(C3,1)</f>
        <v>W</v>
      </c>
      <c r="K3" s="4" t="s">
        <v>139</v>
      </c>
      <c r="L3" s="5">
        <f>(SUMIF($E$3:$E$141,$K3,F$3:F$141) + SUMIF(WAT!$D$72:$D$139,$K3,WAT!$E$72:$E$139))/(COUNTIF($E$3:$E$141,$K3) + COUNTIF(WAT!$D$72:$D$139,$K3))</f>
        <v>6.802816901408451</v>
      </c>
      <c r="M3" s="5">
        <f>(SUMIF($E$3:$E$141,$K3,G$3:G$141) + SUMIF(WAT!$D$72:$D$139,$K3,WAT!$F$72:$F$139))/(COUNTIF($E$3:$E$141,$K3) + COUNTIF(WAT!$D$72:$D$139,$K3))</f>
        <v>7.197183098591549</v>
      </c>
      <c r="N3" s="5">
        <f>L3+M3</f>
        <v>14</v>
      </c>
      <c r="O3" s="5">
        <f>(COUNTIFS($E$3:$E$74,$K3,$I$3:$I$74,O$2) + COUNTIFS(WAT!$D$72:$D$139,$K3,WAT!$H$72:$H$139,O$2))/(COUNTIF($E$3:$E$74,$K3) + COUNTIF(WAT!$D$72:$D$139,$K3))</f>
        <v>0.43661971830985913</v>
      </c>
      <c r="P3" s="5">
        <f>(COUNTIFS($E$3:$E$74,$K3,$I$3:$I$74,P$2) + COUNTIFS(WAT!$D$72:$D$139,$K3,WAT!$H$72:$H$139,P$2))/(COUNTIF($E$3:$E$74,$K3) + COUNTIF(WAT!$D$72:$D$139,$K3))</f>
        <v>0.56338028169014087</v>
      </c>
    </row>
    <row r="4" spans="1:16" x14ac:dyDescent="0.25">
      <c r="A4" t="s">
        <v>7</v>
      </c>
      <c r="B4" t="s">
        <v>198</v>
      </c>
      <c r="C4" t="s">
        <v>212</v>
      </c>
      <c r="E4" s="1" t="str">
        <f t="shared" ref="E4:E67" si="1">IF(LEFT(B4,1)="@","Away","Home")</f>
        <v>Away</v>
      </c>
      <c r="F4" s="3">
        <f t="shared" ref="F4:F67" si="2">_xlfn.NUMBERVALUE(MID(LEFT(C4,FIND("-",C4)-1),FIND(" ",C4)+1,LEN(C4)))</f>
        <v>6</v>
      </c>
      <c r="G4" s="3">
        <f t="shared" ref="G4:G67" si="3">_xlfn.NUMBERVALUE(RIGHT(C4,LEN(C4)-FIND("-",C4)))</f>
        <v>10</v>
      </c>
      <c r="H4" s="3">
        <f t="shared" si="0"/>
        <v>16</v>
      </c>
      <c r="I4" s="3" t="str">
        <f t="shared" ref="I4:I67" si="4">LEFT(C4,1)</f>
        <v>L</v>
      </c>
      <c r="K4" s="4" t="s">
        <v>140</v>
      </c>
      <c r="L4" s="5">
        <f>(SUMIF($E$3:$E$141,$K4,F$3:F$141) + SUMIF(WAT!$D$72:$D$139,$K4,WAT!$E$72:$E$139))/(COUNTIF($E$3:$E$141,$K4) + COUNTIF(WAT!$D$72:$D$139,$K4))</f>
        <v>5.421875</v>
      </c>
      <c r="M4" s="5">
        <f>(SUMIF($E$3:$E$141,$K4,G$3:G$141) + SUMIF(WAT!$D$72:$D$139,$K4,WAT!$F$72:$F$139))/(COUNTIF($E$3:$E$141,$K4) + COUNTIF(WAT!$D$72:$D$139,$K4))</f>
        <v>6.421875</v>
      </c>
      <c r="N4" s="5">
        <f>L4+M4</f>
        <v>11.84375</v>
      </c>
      <c r="O4" s="5">
        <f>(COUNTIFS($E$3:$E$74,$K4,$I$3:$I$74,O$2) + COUNTIFS(WAT!$D$72:$D$139,$K4,WAT!$H$72:$H$139,O$2))/(COUNTIF($E$3:$E$74,$K4) + COUNTIF(WAT!$D$72:$D$139,$K4))</f>
        <v>0.421875</v>
      </c>
      <c r="P4" s="5">
        <f>(COUNTIFS($E$3:$E$74,$K4,$I$3:$I$74,P$2) + COUNTIFS(WAT!$D$72:$D$139,$K4,WAT!$H$72:$H$139,P$2))/(COUNTIF($E$3:$E$74,$K4) + COUNTIF(WAT!$D$72:$D$139,$K4))</f>
        <v>0.578125</v>
      </c>
    </row>
    <row r="5" spans="1:16" x14ac:dyDescent="0.25">
      <c r="A5" t="s">
        <v>9</v>
      </c>
      <c r="B5" t="s">
        <v>210</v>
      </c>
      <c r="C5" t="s">
        <v>291</v>
      </c>
      <c r="E5" s="1" t="str">
        <f t="shared" si="1"/>
        <v>Away</v>
      </c>
      <c r="F5" s="3">
        <f t="shared" si="2"/>
        <v>14</v>
      </c>
      <c r="G5" s="3">
        <f t="shared" si="3"/>
        <v>8</v>
      </c>
      <c r="H5" s="3">
        <f t="shared" si="0"/>
        <v>22</v>
      </c>
      <c r="I5" s="3" t="str">
        <f t="shared" si="4"/>
        <v>W</v>
      </c>
    </row>
    <row r="6" spans="1:16" x14ac:dyDescent="0.25">
      <c r="A6" t="s">
        <v>12</v>
      </c>
      <c r="B6" t="s">
        <v>263</v>
      </c>
      <c r="C6" t="s">
        <v>239</v>
      </c>
      <c r="E6" s="1" t="str">
        <f t="shared" si="1"/>
        <v>Home</v>
      </c>
      <c r="F6" s="3">
        <f t="shared" si="2"/>
        <v>8</v>
      </c>
      <c r="G6" s="3">
        <f t="shared" si="3"/>
        <v>5</v>
      </c>
      <c r="H6" s="3">
        <f t="shared" si="0"/>
        <v>13</v>
      </c>
      <c r="I6" s="3" t="str">
        <f t="shared" si="4"/>
        <v>W</v>
      </c>
      <c r="K6" s="4" t="s">
        <v>144</v>
      </c>
      <c r="L6" s="5">
        <f>N3/N4</f>
        <v>1.1820580474934037</v>
      </c>
      <c r="O6" s="4" t="s">
        <v>178</v>
      </c>
      <c r="P6" s="1" t="s">
        <v>180</v>
      </c>
    </row>
    <row r="7" spans="1:16" x14ac:dyDescent="0.25">
      <c r="A7" t="s">
        <v>14</v>
      </c>
      <c r="B7" t="s">
        <v>241</v>
      </c>
      <c r="C7" t="s">
        <v>191</v>
      </c>
      <c r="E7" s="1" t="str">
        <f t="shared" si="1"/>
        <v>Home</v>
      </c>
      <c r="F7" s="3">
        <f t="shared" si="2"/>
        <v>12</v>
      </c>
      <c r="G7" s="3">
        <f t="shared" si="3"/>
        <v>4</v>
      </c>
      <c r="H7" s="3">
        <f t="shared" si="0"/>
        <v>16</v>
      </c>
      <c r="I7" s="3" t="str">
        <f t="shared" si="4"/>
        <v>W</v>
      </c>
      <c r="K7" s="7" t="s">
        <v>143</v>
      </c>
      <c r="L7" s="5">
        <f>(18.5 - O3)/(18.5-P4)</f>
        <v>1.0078956739565554</v>
      </c>
      <c r="O7" s="4" t="s">
        <v>147</v>
      </c>
      <c r="P7" s="1">
        <f>VLOOKUP($P$6,'Full League'!$L$4:$N$5,2,FALSE)</f>
        <v>10</v>
      </c>
    </row>
    <row r="8" spans="1:16" x14ac:dyDescent="0.25">
      <c r="A8" t="s">
        <v>16</v>
      </c>
      <c r="B8" t="s">
        <v>241</v>
      </c>
      <c r="C8" t="s">
        <v>372</v>
      </c>
      <c r="E8" s="1" t="str">
        <f t="shared" si="1"/>
        <v>Home</v>
      </c>
      <c r="F8" s="3">
        <f t="shared" si="2"/>
        <v>9</v>
      </c>
      <c r="G8" s="3">
        <f t="shared" si="3"/>
        <v>1</v>
      </c>
      <c r="H8" s="3">
        <f t="shared" si="0"/>
        <v>10</v>
      </c>
      <c r="I8" s="3" t="str">
        <f t="shared" si="4"/>
        <v>W</v>
      </c>
      <c r="K8" s="7" t="s">
        <v>146</v>
      </c>
      <c r="L8" s="5">
        <f>L6/L7</f>
        <v>1.1727980167363585</v>
      </c>
      <c r="O8" s="4" t="s">
        <v>151</v>
      </c>
      <c r="P8" s="2">
        <f>VLOOKUP($P$6,'Full League'!$L$4:$N$5,3,FALSE)</f>
        <v>11.586233565351895</v>
      </c>
    </row>
    <row r="9" spans="1:16" x14ac:dyDescent="0.25">
      <c r="A9" t="s">
        <v>19</v>
      </c>
      <c r="B9" t="s">
        <v>241</v>
      </c>
      <c r="C9" t="s">
        <v>229</v>
      </c>
      <c r="E9" s="1" t="str">
        <f t="shared" si="1"/>
        <v>Home</v>
      </c>
      <c r="F9" s="3">
        <f t="shared" si="2"/>
        <v>7</v>
      </c>
      <c r="G9" s="3">
        <f t="shared" si="3"/>
        <v>1</v>
      </c>
      <c r="H9" s="3">
        <f t="shared" si="0"/>
        <v>8</v>
      </c>
      <c r="I9" s="3" t="str">
        <f t="shared" si="4"/>
        <v>W</v>
      </c>
      <c r="K9" s="7" t="s">
        <v>145</v>
      </c>
      <c r="L9" s="5">
        <f>(P7)/(P7-1+L8)</f>
        <v>0.98301371791201697</v>
      </c>
      <c r="O9" s="4"/>
      <c r="P9" s="1"/>
    </row>
    <row r="10" spans="1:16" x14ac:dyDescent="0.25">
      <c r="A10" t="s">
        <v>193</v>
      </c>
      <c r="B10" t="s">
        <v>241</v>
      </c>
      <c r="C10" t="s">
        <v>200</v>
      </c>
      <c r="E10" s="1" t="str">
        <f t="shared" si="1"/>
        <v>Home</v>
      </c>
      <c r="F10" s="3">
        <f t="shared" si="2"/>
        <v>8</v>
      </c>
      <c r="G10" s="3">
        <f t="shared" si="3"/>
        <v>0</v>
      </c>
      <c r="H10" s="3">
        <f t="shared" si="0"/>
        <v>8</v>
      </c>
      <c r="I10" s="3" t="str">
        <f t="shared" si="4"/>
        <v>W</v>
      </c>
      <c r="K10" s="4" t="s">
        <v>149</v>
      </c>
      <c r="L10" s="5">
        <f>L8*L9</f>
        <v>1.1528765387918476</v>
      </c>
      <c r="O10" s="4"/>
      <c r="P10" s="1"/>
    </row>
    <row r="11" spans="1:16" x14ac:dyDescent="0.25">
      <c r="A11" t="s">
        <v>22</v>
      </c>
      <c r="B11" t="s">
        <v>211</v>
      </c>
      <c r="C11" t="s">
        <v>322</v>
      </c>
      <c r="E11" s="1" t="str">
        <f t="shared" si="1"/>
        <v>Away</v>
      </c>
      <c r="F11" s="3">
        <f t="shared" si="2"/>
        <v>6</v>
      </c>
      <c r="G11" s="3">
        <f t="shared" si="3"/>
        <v>7</v>
      </c>
      <c r="H11" s="3">
        <f t="shared" si="0"/>
        <v>13</v>
      </c>
      <c r="I11" s="3" t="str">
        <f t="shared" si="4"/>
        <v>L</v>
      </c>
      <c r="K11" s="4" t="s">
        <v>148</v>
      </c>
      <c r="L11" s="5">
        <f>1 - ((L10-1)/(P7-1))</f>
        <v>0.98301371791201697</v>
      </c>
      <c r="O11" s="4"/>
      <c r="P11" s="1"/>
    </row>
    <row r="12" spans="1:16" x14ac:dyDescent="0.25">
      <c r="A12" t="s">
        <v>196</v>
      </c>
      <c r="B12" t="s">
        <v>211</v>
      </c>
      <c r="C12" t="s">
        <v>28</v>
      </c>
      <c r="E12" s="1" t="str">
        <f t="shared" si="1"/>
        <v>Away</v>
      </c>
      <c r="F12" s="3">
        <f t="shared" si="2"/>
        <v>4</v>
      </c>
      <c r="G12" s="3">
        <f t="shared" si="3"/>
        <v>2</v>
      </c>
      <c r="H12" s="3">
        <f t="shared" si="0"/>
        <v>6</v>
      </c>
      <c r="I12" s="3" t="str">
        <f t="shared" si="4"/>
        <v>W</v>
      </c>
      <c r="K12" s="4" t="s">
        <v>150</v>
      </c>
      <c r="L12" s="5">
        <f>(($L4/$L11)+($L3/$L10)) * (1 + (L13-1)/($P7-1)) / $P8</f>
        <v>0.98533290299452891</v>
      </c>
      <c r="M12" s="5">
        <f t="shared" ref="M12:O12" si="5">(($L4/$L11)+($L3/$L10)) * (1 + (M13-1)/($P7-1)) / $P8</f>
        <v>0.99637526822149347</v>
      </c>
      <c r="N12" s="5">
        <f t="shared" si="5"/>
        <v>0.99652338380277294</v>
      </c>
      <c r="O12" s="8">
        <f t="shared" si="5"/>
        <v>0.99652537053523171</v>
      </c>
      <c r="P12" s="5"/>
    </row>
    <row r="13" spans="1:16" x14ac:dyDescent="0.25">
      <c r="A13" t="s">
        <v>25</v>
      </c>
      <c r="B13" t="s">
        <v>194</v>
      </c>
      <c r="C13" t="s">
        <v>48</v>
      </c>
      <c r="E13" s="1" t="str">
        <f t="shared" si="1"/>
        <v>Away</v>
      </c>
      <c r="F13" s="3">
        <f t="shared" si="2"/>
        <v>4</v>
      </c>
      <c r="G13" s="3">
        <f t="shared" si="3"/>
        <v>5</v>
      </c>
      <c r="H13" s="3">
        <f t="shared" si="0"/>
        <v>9</v>
      </c>
      <c r="I13" s="3" t="str">
        <f t="shared" si="4"/>
        <v>L</v>
      </c>
      <c r="K13" s="4" t="s">
        <v>182</v>
      </c>
      <c r="L13" s="5">
        <v>1</v>
      </c>
      <c r="M13" s="5">
        <f>(($M4/$L11)+($M3/$L10)) * (1 + (L12-1)/($P7-1)) / $P8</f>
        <v>1.1008606195334092</v>
      </c>
      <c r="N13" s="5">
        <f>(($M4/$L11)+($M3/$L10)) * (1 + (M12-1)/($P7-1)) / $P8</f>
        <v>1.1022135026325783</v>
      </c>
      <c r="O13" s="5">
        <f>(($M4/$L11)+($M3/$L10)) * (1 + (N12-1)/($P7-1)) / $P8</f>
        <v>1.1022316493848836</v>
      </c>
      <c r="P13" s="8">
        <f>(($M4/$L11)+($M3/$L10)) * (1 + (O12-1)/($P7-1)) / $P8</f>
        <v>1.1022318927943986</v>
      </c>
    </row>
    <row r="14" spans="1:16" x14ac:dyDescent="0.25">
      <c r="A14" t="s">
        <v>27</v>
      </c>
      <c r="B14" t="s">
        <v>194</v>
      </c>
      <c r="C14" t="s">
        <v>228</v>
      </c>
      <c r="E14" s="1" t="str">
        <f t="shared" si="1"/>
        <v>Away</v>
      </c>
      <c r="F14" s="3">
        <f t="shared" si="2"/>
        <v>10</v>
      </c>
      <c r="G14" s="3">
        <f t="shared" si="3"/>
        <v>3</v>
      </c>
      <c r="H14" s="3">
        <f t="shared" si="0"/>
        <v>13</v>
      </c>
      <c r="I14" s="3" t="str">
        <f t="shared" si="4"/>
        <v>W</v>
      </c>
      <c r="K14" s="4" t="s">
        <v>183</v>
      </c>
      <c r="L14" s="5">
        <f xml:space="preserve"> (L10+L11) / (2 * (1 + ((P13-1)/(P7-1))))</f>
        <v>1.0559504820763959</v>
      </c>
      <c r="N14" s="5"/>
    </row>
    <row r="15" spans="1:16" x14ac:dyDescent="0.25">
      <c r="A15" t="s">
        <v>29</v>
      </c>
      <c r="B15" t="s">
        <v>225</v>
      </c>
      <c r="C15" t="s">
        <v>431</v>
      </c>
      <c r="E15" s="1" t="str">
        <f t="shared" si="1"/>
        <v>Home</v>
      </c>
      <c r="F15" s="3">
        <f t="shared" si="2"/>
        <v>12</v>
      </c>
      <c r="G15" s="3">
        <f t="shared" si="3"/>
        <v>14</v>
      </c>
      <c r="H15" s="3">
        <f t="shared" si="0"/>
        <v>26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1.0683575891028219</v>
      </c>
    </row>
    <row r="16" spans="1:16" ht="15.75" thickBot="1" x14ac:dyDescent="0.3">
      <c r="A16" t="s">
        <v>32</v>
      </c>
      <c r="B16" t="s">
        <v>225</v>
      </c>
      <c r="C16" t="s">
        <v>329</v>
      </c>
      <c r="E16" s="1" t="str">
        <f t="shared" si="1"/>
        <v>Home</v>
      </c>
      <c r="F16" s="3">
        <f t="shared" si="2"/>
        <v>5</v>
      </c>
      <c r="G16" s="3">
        <f t="shared" si="3"/>
        <v>2</v>
      </c>
      <c r="H16" s="3">
        <f t="shared" si="0"/>
        <v>7</v>
      </c>
      <c r="I16" s="3" t="str">
        <f t="shared" si="4"/>
        <v>W</v>
      </c>
    </row>
    <row r="17" spans="1:14" x14ac:dyDescent="0.25">
      <c r="A17" t="s">
        <v>34</v>
      </c>
      <c r="B17" t="s">
        <v>201</v>
      </c>
      <c r="C17" t="s">
        <v>329</v>
      </c>
      <c r="E17" s="1" t="str">
        <f t="shared" si="1"/>
        <v>Away</v>
      </c>
      <c r="F17" s="3">
        <f t="shared" si="2"/>
        <v>5</v>
      </c>
      <c r="G17" s="3">
        <f t="shared" si="3"/>
        <v>2</v>
      </c>
      <c r="H17" s="3">
        <f t="shared" si="0"/>
        <v>7</v>
      </c>
      <c r="I17" s="3" t="str">
        <f t="shared" si="4"/>
        <v>W</v>
      </c>
      <c r="K17" s="9" t="s">
        <v>185</v>
      </c>
      <c r="L17" s="10">
        <f>L14*100</f>
        <v>105.59504820763959</v>
      </c>
    </row>
    <row r="18" spans="1:14" ht="15.75" thickBot="1" x14ac:dyDescent="0.3">
      <c r="A18" t="s">
        <v>37</v>
      </c>
      <c r="B18" t="s">
        <v>201</v>
      </c>
      <c r="C18" t="s">
        <v>409</v>
      </c>
      <c r="E18" s="1" t="str">
        <f t="shared" si="1"/>
        <v>Away</v>
      </c>
      <c r="F18" s="3">
        <f t="shared" si="2"/>
        <v>9</v>
      </c>
      <c r="G18" s="3">
        <f t="shared" si="3"/>
        <v>0</v>
      </c>
      <c r="H18" s="3">
        <f t="shared" si="0"/>
        <v>9</v>
      </c>
      <c r="I18" s="3" t="str">
        <f t="shared" si="4"/>
        <v>W</v>
      </c>
      <c r="K18" s="11" t="s">
        <v>186</v>
      </c>
      <c r="L18" s="12">
        <f>L15*100</f>
        <v>106.83575891028218</v>
      </c>
    </row>
    <row r="19" spans="1:14" x14ac:dyDescent="0.25">
      <c r="A19" t="s">
        <v>39</v>
      </c>
      <c r="B19" t="s">
        <v>225</v>
      </c>
      <c r="C19" t="s">
        <v>61</v>
      </c>
      <c r="E19" s="1" t="str">
        <f t="shared" si="1"/>
        <v>Home</v>
      </c>
      <c r="F19" s="3">
        <f t="shared" si="2"/>
        <v>7</v>
      </c>
      <c r="G19" s="3">
        <f t="shared" si="3"/>
        <v>3</v>
      </c>
      <c r="H19" s="3">
        <f t="shared" si="0"/>
        <v>10</v>
      </c>
      <c r="I19" s="3" t="str">
        <f t="shared" si="4"/>
        <v>W</v>
      </c>
    </row>
    <row r="20" spans="1:14" x14ac:dyDescent="0.25">
      <c r="A20" t="s">
        <v>41</v>
      </c>
      <c r="B20" t="s">
        <v>225</v>
      </c>
      <c r="C20" t="s">
        <v>48</v>
      </c>
      <c r="E20" s="1" t="str">
        <f t="shared" si="1"/>
        <v>Home</v>
      </c>
      <c r="F20" s="3">
        <f t="shared" si="2"/>
        <v>4</v>
      </c>
      <c r="G20" s="3">
        <f t="shared" si="3"/>
        <v>5</v>
      </c>
      <c r="H20" s="3">
        <f t="shared" si="0"/>
        <v>9</v>
      </c>
      <c r="I20" s="3" t="str">
        <f t="shared" si="4"/>
        <v>L</v>
      </c>
    </row>
    <row r="21" spans="1:14" x14ac:dyDescent="0.25">
      <c r="A21" t="s">
        <v>43</v>
      </c>
      <c r="B21" t="s">
        <v>211</v>
      </c>
      <c r="C21" t="s">
        <v>276</v>
      </c>
      <c r="E21" s="1" t="str">
        <f t="shared" si="1"/>
        <v>Away</v>
      </c>
      <c r="F21" s="3">
        <f t="shared" si="2"/>
        <v>2</v>
      </c>
      <c r="G21" s="3">
        <f t="shared" si="3"/>
        <v>4</v>
      </c>
      <c r="H21" s="3">
        <f t="shared" si="0"/>
        <v>6</v>
      </c>
      <c r="I21" s="3" t="str">
        <f t="shared" si="4"/>
        <v>L</v>
      </c>
    </row>
    <row r="22" spans="1:14" x14ac:dyDescent="0.25">
      <c r="A22" t="s">
        <v>45</v>
      </c>
      <c r="B22" t="s">
        <v>211</v>
      </c>
      <c r="C22" t="s">
        <v>116</v>
      </c>
      <c r="E22" s="1" t="str">
        <f t="shared" si="1"/>
        <v>Away</v>
      </c>
      <c r="F22" s="3">
        <f t="shared" si="2"/>
        <v>9</v>
      </c>
      <c r="G22" s="3">
        <f t="shared" si="3"/>
        <v>3</v>
      </c>
      <c r="H22" s="3">
        <f t="shared" si="0"/>
        <v>12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235</v>
      </c>
      <c r="C23" t="s">
        <v>351</v>
      </c>
      <c r="E23" s="1" t="str">
        <f t="shared" si="1"/>
        <v>Home</v>
      </c>
      <c r="F23" s="3">
        <f t="shared" si="2"/>
        <v>2</v>
      </c>
      <c r="G23" s="3">
        <f t="shared" si="3"/>
        <v>1</v>
      </c>
      <c r="H23" s="3">
        <f t="shared" si="0"/>
        <v>3</v>
      </c>
      <c r="I23" s="3" t="str">
        <f t="shared" si="4"/>
        <v>W</v>
      </c>
      <c r="K23" s="1">
        <f>COUNTIFS(Table28[At], "Home",Table28[Result], "W")</f>
        <v>9</v>
      </c>
      <c r="L23" s="1">
        <f>COUNTIFS(Table28[At], "Home",Table28[Result], "L")</f>
        <v>27</v>
      </c>
      <c r="M23" s="1">
        <f>COUNTIFS(Table28[At], "Away",Table28[Result], "W")</f>
        <v>7</v>
      </c>
      <c r="N23" s="1">
        <f>COUNTIFS(Table28[At], "Away",Table28[Result], "L")</f>
        <v>25</v>
      </c>
    </row>
    <row r="24" spans="1:14" x14ac:dyDescent="0.25">
      <c r="A24" t="s">
        <v>49</v>
      </c>
      <c r="B24" t="s">
        <v>235</v>
      </c>
      <c r="C24" t="s">
        <v>393</v>
      </c>
      <c r="E24" s="1" t="str">
        <f t="shared" si="1"/>
        <v>Home</v>
      </c>
      <c r="F24" s="3">
        <f t="shared" si="2"/>
        <v>3</v>
      </c>
      <c r="G24" s="3">
        <f t="shared" si="3"/>
        <v>11</v>
      </c>
      <c r="H24" s="3">
        <f t="shared" si="0"/>
        <v>14</v>
      </c>
      <c r="I24" s="3" t="str">
        <f t="shared" si="4"/>
        <v>L</v>
      </c>
      <c r="K24" s="1"/>
      <c r="M24" s="1"/>
      <c r="N24" s="1"/>
    </row>
    <row r="25" spans="1:14" x14ac:dyDescent="0.25">
      <c r="A25" t="s">
        <v>51</v>
      </c>
      <c r="B25" t="s">
        <v>190</v>
      </c>
      <c r="C25" t="s">
        <v>63</v>
      </c>
      <c r="E25" s="1" t="str">
        <f t="shared" si="1"/>
        <v>Away</v>
      </c>
      <c r="F25" s="3">
        <f t="shared" si="2"/>
        <v>12</v>
      </c>
      <c r="G25" s="3">
        <f t="shared" si="3"/>
        <v>7</v>
      </c>
      <c r="H25" s="3">
        <f t="shared" si="0"/>
        <v>19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190</v>
      </c>
      <c r="C26" t="s">
        <v>44</v>
      </c>
      <c r="E26" s="1" t="str">
        <f t="shared" si="1"/>
        <v>Away</v>
      </c>
      <c r="F26" s="3">
        <f t="shared" si="2"/>
        <v>2</v>
      </c>
      <c r="G26" s="3">
        <f t="shared" si="3"/>
        <v>12</v>
      </c>
      <c r="H26" s="3">
        <f t="shared" si="0"/>
        <v>14</v>
      </c>
      <c r="I26" s="3" t="str">
        <f t="shared" si="4"/>
        <v>L</v>
      </c>
      <c r="K26" s="1">
        <f>COUNTIFS(Table28[oR/G], "&gt;0",Table28[Result], "W")</f>
        <v>3</v>
      </c>
      <c r="L26" s="1">
        <f>COUNTIFS(Table28[oR/G], "&gt;0",Table28[Result], "l")</f>
        <v>29</v>
      </c>
      <c r="M26" s="1">
        <f>COUNTIFS(Table28[oR/G], "&lt;0",Table28[Result], "W")</f>
        <v>13</v>
      </c>
      <c r="N26" s="1">
        <f>COUNTIFS(Table28[oR/G], "&lt;0",Table28[Result], "l")</f>
        <v>23</v>
      </c>
    </row>
    <row r="27" spans="1:14" x14ac:dyDescent="0.25">
      <c r="A27" t="s">
        <v>53</v>
      </c>
      <c r="B27" t="s">
        <v>198</v>
      </c>
      <c r="C27" t="s">
        <v>239</v>
      </c>
      <c r="E27" s="1" t="str">
        <f t="shared" si="1"/>
        <v>Away</v>
      </c>
      <c r="F27" s="3">
        <f t="shared" si="2"/>
        <v>8</v>
      </c>
      <c r="G27" s="3">
        <f t="shared" si="3"/>
        <v>5</v>
      </c>
      <c r="H27" s="3">
        <f t="shared" si="0"/>
        <v>13</v>
      </c>
      <c r="I27" s="3" t="str">
        <f t="shared" si="4"/>
        <v>W</v>
      </c>
    </row>
    <row r="28" spans="1:14" x14ac:dyDescent="0.25">
      <c r="A28" t="s">
        <v>208</v>
      </c>
      <c r="B28" t="s">
        <v>198</v>
      </c>
      <c r="C28" t="s">
        <v>391</v>
      </c>
      <c r="E28" s="1" t="str">
        <f t="shared" si="1"/>
        <v>Away</v>
      </c>
      <c r="F28" s="3">
        <f t="shared" si="2"/>
        <v>11</v>
      </c>
      <c r="G28" s="3">
        <f t="shared" si="3"/>
        <v>5</v>
      </c>
      <c r="H28" s="3">
        <f t="shared" si="0"/>
        <v>16</v>
      </c>
      <c r="I28" s="3" t="str">
        <f t="shared" si="4"/>
        <v>W</v>
      </c>
    </row>
    <row r="29" spans="1:14" x14ac:dyDescent="0.25">
      <c r="A29" t="s">
        <v>57</v>
      </c>
      <c r="B29" t="s">
        <v>278</v>
      </c>
      <c r="C29" t="s">
        <v>368</v>
      </c>
      <c r="E29" s="1" t="str">
        <f t="shared" si="1"/>
        <v>Home</v>
      </c>
      <c r="F29" s="3">
        <f t="shared" si="2"/>
        <v>7</v>
      </c>
      <c r="G29" s="3">
        <f t="shared" si="3"/>
        <v>11</v>
      </c>
      <c r="H29" s="3">
        <f t="shared" si="0"/>
        <v>18</v>
      </c>
      <c r="I29" s="3" t="str">
        <f t="shared" si="4"/>
        <v>L</v>
      </c>
    </row>
    <row r="30" spans="1:14" x14ac:dyDescent="0.25">
      <c r="A30" t="s">
        <v>60</v>
      </c>
      <c r="B30" t="s">
        <v>278</v>
      </c>
      <c r="C30" t="s">
        <v>432</v>
      </c>
      <c r="E30" s="1" t="str">
        <f t="shared" si="1"/>
        <v>Home</v>
      </c>
      <c r="F30" s="3">
        <f t="shared" si="2"/>
        <v>15</v>
      </c>
      <c r="G30" s="3">
        <f t="shared" si="3"/>
        <v>4</v>
      </c>
      <c r="H30" s="3">
        <f t="shared" si="0"/>
        <v>19</v>
      </c>
      <c r="I30" s="3" t="str">
        <f t="shared" si="4"/>
        <v>W</v>
      </c>
    </row>
    <row r="31" spans="1:14" x14ac:dyDescent="0.25">
      <c r="A31" t="s">
        <v>62</v>
      </c>
      <c r="B31" t="s">
        <v>210</v>
      </c>
      <c r="C31" t="s">
        <v>219</v>
      </c>
      <c r="E31" s="1" t="str">
        <f t="shared" si="1"/>
        <v>Away</v>
      </c>
      <c r="F31" s="3">
        <f t="shared" si="2"/>
        <v>0</v>
      </c>
      <c r="G31" s="3">
        <f t="shared" si="3"/>
        <v>2</v>
      </c>
      <c r="H31" s="3">
        <f t="shared" si="0"/>
        <v>2</v>
      </c>
      <c r="I31" s="3" t="str">
        <f t="shared" si="4"/>
        <v>L</v>
      </c>
    </row>
    <row r="32" spans="1:14" x14ac:dyDescent="0.25">
      <c r="A32" t="s">
        <v>64</v>
      </c>
      <c r="B32" t="s">
        <v>210</v>
      </c>
      <c r="C32" t="s">
        <v>349</v>
      </c>
      <c r="E32" s="1" t="str">
        <f t="shared" si="1"/>
        <v>Away</v>
      </c>
      <c r="F32" s="3">
        <f t="shared" si="2"/>
        <v>12</v>
      </c>
      <c r="G32" s="3">
        <f t="shared" si="3"/>
        <v>2</v>
      </c>
      <c r="H32" s="3">
        <f t="shared" si="0"/>
        <v>14</v>
      </c>
      <c r="I32" s="3" t="str">
        <f t="shared" si="4"/>
        <v>W</v>
      </c>
    </row>
    <row r="33" spans="1:9" x14ac:dyDescent="0.25">
      <c r="A33" t="s">
        <v>66</v>
      </c>
      <c r="B33" t="s">
        <v>222</v>
      </c>
      <c r="C33" t="s">
        <v>228</v>
      </c>
      <c r="E33" s="1" t="str">
        <f t="shared" si="1"/>
        <v>Home</v>
      </c>
      <c r="F33" s="3">
        <f t="shared" si="2"/>
        <v>10</v>
      </c>
      <c r="G33" s="3">
        <f t="shared" si="3"/>
        <v>3</v>
      </c>
      <c r="H33" s="3">
        <f t="shared" si="0"/>
        <v>13</v>
      </c>
      <c r="I33" s="3" t="str">
        <f t="shared" si="4"/>
        <v>W</v>
      </c>
    </row>
    <row r="34" spans="1:9" x14ac:dyDescent="0.25">
      <c r="A34" t="s">
        <v>67</v>
      </c>
      <c r="B34" t="s">
        <v>222</v>
      </c>
      <c r="C34" t="s">
        <v>347</v>
      </c>
      <c r="E34" s="1" t="str">
        <f t="shared" si="1"/>
        <v>Home</v>
      </c>
      <c r="F34" s="3">
        <f t="shared" si="2"/>
        <v>9</v>
      </c>
      <c r="G34" s="3">
        <f t="shared" si="3"/>
        <v>5</v>
      </c>
      <c r="H34" s="3">
        <f t="shared" si="0"/>
        <v>14</v>
      </c>
      <c r="I34" s="3" t="str">
        <f t="shared" si="4"/>
        <v>W</v>
      </c>
    </row>
    <row r="35" spans="1:9" x14ac:dyDescent="0.25">
      <c r="A35" t="s">
        <v>68</v>
      </c>
      <c r="B35" t="s">
        <v>231</v>
      </c>
      <c r="C35" t="s">
        <v>433</v>
      </c>
      <c r="E35" s="1" t="str">
        <f t="shared" si="1"/>
        <v>Home</v>
      </c>
      <c r="F35" s="3">
        <f t="shared" si="2"/>
        <v>13</v>
      </c>
      <c r="G35" s="3">
        <f t="shared" si="3"/>
        <v>0</v>
      </c>
      <c r="H35" s="3">
        <f t="shared" si="0"/>
        <v>13</v>
      </c>
      <c r="I35" s="3" t="str">
        <f t="shared" si="4"/>
        <v>W</v>
      </c>
    </row>
    <row r="36" spans="1:9" x14ac:dyDescent="0.25">
      <c r="A36" t="s">
        <v>71</v>
      </c>
      <c r="B36" t="s">
        <v>231</v>
      </c>
      <c r="C36" t="s">
        <v>94</v>
      </c>
      <c r="E36" s="1" t="str">
        <f t="shared" si="1"/>
        <v>Home</v>
      </c>
      <c r="F36" s="3">
        <f t="shared" si="2"/>
        <v>4</v>
      </c>
      <c r="G36" s="3">
        <f t="shared" si="3"/>
        <v>8</v>
      </c>
      <c r="H36" s="3">
        <f t="shared" si="0"/>
        <v>12</v>
      </c>
      <c r="I36" s="3" t="str">
        <f t="shared" si="4"/>
        <v>L</v>
      </c>
    </row>
    <row r="37" spans="1:9" x14ac:dyDescent="0.25">
      <c r="A37" t="s">
        <v>209</v>
      </c>
      <c r="B37" t="s">
        <v>206</v>
      </c>
      <c r="C37" t="s">
        <v>298</v>
      </c>
      <c r="E37" s="1" t="str">
        <f t="shared" si="1"/>
        <v>Away</v>
      </c>
      <c r="F37" s="3">
        <f t="shared" si="2"/>
        <v>1</v>
      </c>
      <c r="G37" s="3">
        <f t="shared" si="3"/>
        <v>2</v>
      </c>
      <c r="H37" s="3">
        <f t="shared" si="0"/>
        <v>3</v>
      </c>
      <c r="I37" s="3" t="str">
        <f t="shared" si="4"/>
        <v>L</v>
      </c>
    </row>
    <row r="38" spans="1:9" x14ac:dyDescent="0.25">
      <c r="A38" t="s">
        <v>209</v>
      </c>
      <c r="B38" t="s">
        <v>206</v>
      </c>
      <c r="C38" t="s">
        <v>269</v>
      </c>
      <c r="E38" s="1" t="str">
        <f t="shared" si="1"/>
        <v>Away</v>
      </c>
      <c r="F38" s="3">
        <f t="shared" si="2"/>
        <v>2</v>
      </c>
      <c r="G38" s="3">
        <f t="shared" si="3"/>
        <v>3</v>
      </c>
      <c r="H38" s="3">
        <f t="shared" si="0"/>
        <v>5</v>
      </c>
      <c r="I38" s="3" t="str">
        <f t="shared" si="4"/>
        <v>L</v>
      </c>
    </row>
    <row r="39" spans="1:9" x14ac:dyDescent="0.25">
      <c r="A39" t="s">
        <v>76</v>
      </c>
      <c r="B39" t="s">
        <v>250</v>
      </c>
      <c r="C39" t="s">
        <v>311</v>
      </c>
      <c r="E39" s="1" t="str">
        <f t="shared" si="1"/>
        <v>Home</v>
      </c>
      <c r="F39" s="3">
        <f t="shared" si="2"/>
        <v>8</v>
      </c>
      <c r="G39" s="3">
        <f t="shared" si="3"/>
        <v>11</v>
      </c>
      <c r="H39" s="3">
        <f t="shared" si="0"/>
        <v>19</v>
      </c>
      <c r="I39" s="3" t="str">
        <f t="shared" si="4"/>
        <v>L</v>
      </c>
    </row>
    <row r="40" spans="1:9" x14ac:dyDescent="0.25">
      <c r="A40" t="s">
        <v>78</v>
      </c>
      <c r="B40" t="s">
        <v>250</v>
      </c>
      <c r="C40" t="s">
        <v>374</v>
      </c>
      <c r="E40" s="1" t="str">
        <f t="shared" si="1"/>
        <v>Home</v>
      </c>
      <c r="F40" s="3">
        <f t="shared" si="2"/>
        <v>6</v>
      </c>
      <c r="G40" s="3">
        <f t="shared" si="3"/>
        <v>9</v>
      </c>
      <c r="H40" s="3">
        <f t="shared" si="0"/>
        <v>15</v>
      </c>
      <c r="I40" s="3" t="str">
        <f t="shared" si="4"/>
        <v>L</v>
      </c>
    </row>
    <row r="41" spans="1:9" x14ac:dyDescent="0.25">
      <c r="A41" t="s">
        <v>80</v>
      </c>
      <c r="B41" t="s">
        <v>245</v>
      </c>
      <c r="C41" t="s">
        <v>42</v>
      </c>
      <c r="E41" s="1" t="str">
        <f t="shared" si="1"/>
        <v>Home</v>
      </c>
      <c r="F41" s="3">
        <f t="shared" si="2"/>
        <v>0</v>
      </c>
      <c r="G41" s="3">
        <f t="shared" si="3"/>
        <v>3</v>
      </c>
      <c r="H41" s="3">
        <f t="shared" si="0"/>
        <v>3</v>
      </c>
      <c r="I41" s="3" t="str">
        <f t="shared" si="4"/>
        <v>L</v>
      </c>
    </row>
    <row r="42" spans="1:9" x14ac:dyDescent="0.25">
      <c r="A42" t="s">
        <v>81</v>
      </c>
      <c r="B42" t="s">
        <v>245</v>
      </c>
      <c r="C42" t="s">
        <v>252</v>
      </c>
      <c r="E42" s="1" t="str">
        <f t="shared" si="1"/>
        <v>Home</v>
      </c>
      <c r="F42" s="3">
        <f t="shared" si="2"/>
        <v>2</v>
      </c>
      <c r="G42" s="3">
        <f t="shared" si="3"/>
        <v>8</v>
      </c>
      <c r="H42" s="3">
        <f t="shared" si="0"/>
        <v>10</v>
      </c>
      <c r="I42" s="3" t="str">
        <f t="shared" si="4"/>
        <v>L</v>
      </c>
    </row>
    <row r="43" spans="1:9" x14ac:dyDescent="0.25">
      <c r="A43" t="s">
        <v>82</v>
      </c>
      <c r="B43" t="s">
        <v>263</v>
      </c>
      <c r="C43" t="s">
        <v>63</v>
      </c>
      <c r="E43" s="1" t="str">
        <f t="shared" si="1"/>
        <v>Home</v>
      </c>
      <c r="F43" s="3">
        <f t="shared" si="2"/>
        <v>12</v>
      </c>
      <c r="G43" s="3">
        <f t="shared" si="3"/>
        <v>7</v>
      </c>
      <c r="H43" s="3">
        <f t="shared" si="0"/>
        <v>19</v>
      </c>
      <c r="I43" s="3" t="str">
        <f t="shared" si="4"/>
        <v>W</v>
      </c>
    </row>
    <row r="44" spans="1:9" x14ac:dyDescent="0.25">
      <c r="A44" t="s">
        <v>84</v>
      </c>
      <c r="B44" t="s">
        <v>210</v>
      </c>
      <c r="C44" t="s">
        <v>323</v>
      </c>
      <c r="E44" s="1" t="str">
        <f t="shared" si="1"/>
        <v>Away</v>
      </c>
      <c r="F44" s="3">
        <f t="shared" si="2"/>
        <v>7</v>
      </c>
      <c r="G44" s="3">
        <f t="shared" si="3"/>
        <v>6</v>
      </c>
      <c r="H44" s="3">
        <f t="shared" si="0"/>
        <v>13</v>
      </c>
      <c r="I44" s="3" t="str">
        <f t="shared" si="4"/>
        <v>W</v>
      </c>
    </row>
    <row r="45" spans="1:9" x14ac:dyDescent="0.25">
      <c r="A45" t="s">
        <v>86</v>
      </c>
      <c r="B45" t="s">
        <v>263</v>
      </c>
      <c r="C45" t="s">
        <v>291</v>
      </c>
      <c r="E45" s="1" t="str">
        <f t="shared" si="1"/>
        <v>Home</v>
      </c>
      <c r="F45" s="3">
        <f t="shared" si="2"/>
        <v>14</v>
      </c>
      <c r="G45" s="3">
        <f t="shared" si="3"/>
        <v>8</v>
      </c>
      <c r="H45" s="3">
        <f t="shared" si="0"/>
        <v>22</v>
      </c>
      <c r="I45" s="3" t="str">
        <f t="shared" si="4"/>
        <v>W</v>
      </c>
    </row>
    <row r="46" spans="1:9" x14ac:dyDescent="0.25">
      <c r="A46" t="s">
        <v>88</v>
      </c>
      <c r="B46" t="s">
        <v>190</v>
      </c>
      <c r="C46" t="s">
        <v>205</v>
      </c>
      <c r="E46" s="1" t="str">
        <f t="shared" si="1"/>
        <v>Away</v>
      </c>
      <c r="F46" s="3">
        <f t="shared" si="2"/>
        <v>5</v>
      </c>
      <c r="G46" s="3">
        <f t="shared" si="3"/>
        <v>6</v>
      </c>
      <c r="H46" s="3">
        <f t="shared" si="0"/>
        <v>11</v>
      </c>
      <c r="I46" s="3" t="str">
        <f t="shared" si="4"/>
        <v>L</v>
      </c>
    </row>
    <row r="47" spans="1:9" x14ac:dyDescent="0.25">
      <c r="A47" t="s">
        <v>91</v>
      </c>
      <c r="B47" t="s">
        <v>190</v>
      </c>
      <c r="C47" t="s">
        <v>270</v>
      </c>
      <c r="E47" s="1" t="str">
        <f t="shared" si="1"/>
        <v>Away</v>
      </c>
      <c r="F47" s="3">
        <f t="shared" si="2"/>
        <v>4</v>
      </c>
      <c r="G47" s="3">
        <f t="shared" si="3"/>
        <v>3</v>
      </c>
      <c r="H47" s="3">
        <f t="shared" si="0"/>
        <v>7</v>
      </c>
      <c r="I47" s="3" t="str">
        <f t="shared" si="4"/>
        <v>W</v>
      </c>
    </row>
    <row r="48" spans="1:9" x14ac:dyDescent="0.25">
      <c r="A48" t="s">
        <v>93</v>
      </c>
      <c r="B48" t="s">
        <v>245</v>
      </c>
      <c r="C48" t="s">
        <v>28</v>
      </c>
      <c r="E48" s="1" t="str">
        <f t="shared" si="1"/>
        <v>Home</v>
      </c>
      <c r="F48" s="3">
        <f t="shared" si="2"/>
        <v>4</v>
      </c>
      <c r="G48" s="3">
        <f t="shared" si="3"/>
        <v>2</v>
      </c>
      <c r="H48" s="3">
        <f t="shared" si="0"/>
        <v>6</v>
      </c>
      <c r="I48" s="3" t="str">
        <f t="shared" si="4"/>
        <v>W</v>
      </c>
    </row>
    <row r="49" spans="1:9" x14ac:dyDescent="0.25">
      <c r="A49" t="s">
        <v>96</v>
      </c>
      <c r="B49" t="s">
        <v>245</v>
      </c>
      <c r="C49" t="s">
        <v>219</v>
      </c>
      <c r="E49" s="1" t="str">
        <f t="shared" si="1"/>
        <v>Home</v>
      </c>
      <c r="F49" s="3">
        <f t="shared" si="2"/>
        <v>0</v>
      </c>
      <c r="G49" s="3">
        <f t="shared" si="3"/>
        <v>2</v>
      </c>
      <c r="H49" s="3">
        <f t="shared" si="0"/>
        <v>2</v>
      </c>
      <c r="I49" s="3" t="str">
        <f t="shared" si="4"/>
        <v>L</v>
      </c>
    </row>
    <row r="50" spans="1:9" x14ac:dyDescent="0.25">
      <c r="A50" t="s">
        <v>97</v>
      </c>
      <c r="B50" t="s">
        <v>201</v>
      </c>
      <c r="C50" t="s">
        <v>276</v>
      </c>
      <c r="E50" s="1" t="str">
        <f t="shared" si="1"/>
        <v>Away</v>
      </c>
      <c r="F50" s="3">
        <f t="shared" si="2"/>
        <v>2</v>
      </c>
      <c r="G50" s="3">
        <f t="shared" si="3"/>
        <v>4</v>
      </c>
      <c r="H50" s="3">
        <f t="shared" si="0"/>
        <v>6</v>
      </c>
      <c r="I50" s="3" t="str">
        <f t="shared" si="4"/>
        <v>L</v>
      </c>
    </row>
    <row r="51" spans="1:9" x14ac:dyDescent="0.25">
      <c r="A51" t="s">
        <v>100</v>
      </c>
      <c r="B51" t="s">
        <v>201</v>
      </c>
      <c r="C51" t="s">
        <v>18</v>
      </c>
      <c r="E51" s="1" t="str">
        <f t="shared" si="1"/>
        <v>Away</v>
      </c>
      <c r="F51" s="3">
        <f t="shared" si="2"/>
        <v>8</v>
      </c>
      <c r="G51" s="3">
        <f t="shared" si="3"/>
        <v>9</v>
      </c>
      <c r="H51" s="3">
        <f t="shared" si="0"/>
        <v>17</v>
      </c>
      <c r="I51" s="3" t="str">
        <f t="shared" si="4"/>
        <v>L</v>
      </c>
    </row>
    <row r="52" spans="1:9" x14ac:dyDescent="0.25">
      <c r="A52" t="s">
        <v>215</v>
      </c>
      <c r="B52" t="s">
        <v>203</v>
      </c>
      <c r="C52" t="s">
        <v>304</v>
      </c>
      <c r="E52" s="1" t="str">
        <f t="shared" si="1"/>
        <v>Away</v>
      </c>
      <c r="F52" s="3">
        <f t="shared" si="2"/>
        <v>2</v>
      </c>
      <c r="G52" s="3">
        <f t="shared" si="3"/>
        <v>0</v>
      </c>
      <c r="H52" s="3">
        <f t="shared" si="0"/>
        <v>2</v>
      </c>
      <c r="I52" s="3" t="str">
        <f t="shared" si="4"/>
        <v>W</v>
      </c>
    </row>
    <row r="53" spans="1:9" x14ac:dyDescent="0.25">
      <c r="A53" t="s">
        <v>102</v>
      </c>
      <c r="B53" t="s">
        <v>203</v>
      </c>
      <c r="C53" t="s">
        <v>290</v>
      </c>
      <c r="E53" s="1" t="str">
        <f t="shared" si="1"/>
        <v>Away</v>
      </c>
      <c r="F53" s="3">
        <f t="shared" si="2"/>
        <v>5</v>
      </c>
      <c r="G53" s="3">
        <f t="shared" si="3"/>
        <v>0</v>
      </c>
      <c r="H53" s="3">
        <f t="shared" si="0"/>
        <v>5</v>
      </c>
      <c r="I53" s="3" t="str">
        <f t="shared" si="4"/>
        <v>W</v>
      </c>
    </row>
    <row r="54" spans="1:9" x14ac:dyDescent="0.25">
      <c r="A54" t="s">
        <v>105</v>
      </c>
      <c r="B54" t="s">
        <v>203</v>
      </c>
      <c r="C54" t="s">
        <v>335</v>
      </c>
      <c r="E54" s="1" t="str">
        <f t="shared" si="1"/>
        <v>Away</v>
      </c>
      <c r="F54" s="3">
        <f t="shared" si="2"/>
        <v>6</v>
      </c>
      <c r="G54" s="3">
        <f t="shared" si="3"/>
        <v>4</v>
      </c>
      <c r="H54" s="3">
        <f t="shared" si="0"/>
        <v>10</v>
      </c>
      <c r="I54" s="3" t="str">
        <f t="shared" si="4"/>
        <v>W</v>
      </c>
    </row>
    <row r="55" spans="1:9" x14ac:dyDescent="0.25">
      <c r="A55" t="s">
        <v>107</v>
      </c>
      <c r="B55" t="s">
        <v>203</v>
      </c>
      <c r="C55" t="s">
        <v>106</v>
      </c>
      <c r="E55" s="1" t="str">
        <f t="shared" si="1"/>
        <v>Away</v>
      </c>
      <c r="F55" s="3">
        <f t="shared" si="2"/>
        <v>12</v>
      </c>
      <c r="G55" s="3">
        <f t="shared" si="3"/>
        <v>5</v>
      </c>
      <c r="H55" s="3">
        <f t="shared" si="0"/>
        <v>17</v>
      </c>
      <c r="I55" s="3" t="str">
        <f t="shared" si="4"/>
        <v>W</v>
      </c>
    </row>
    <row r="56" spans="1:9" x14ac:dyDescent="0.25">
      <c r="A56" t="s">
        <v>108</v>
      </c>
      <c r="B56" t="s">
        <v>206</v>
      </c>
      <c r="C56" t="s">
        <v>85</v>
      </c>
      <c r="E56" s="1" t="str">
        <f t="shared" si="1"/>
        <v>Away</v>
      </c>
      <c r="F56" s="3">
        <f t="shared" si="2"/>
        <v>5</v>
      </c>
      <c r="G56" s="3">
        <f t="shared" si="3"/>
        <v>3</v>
      </c>
      <c r="H56" s="3">
        <f t="shared" si="0"/>
        <v>8</v>
      </c>
      <c r="I56" s="3" t="str">
        <f t="shared" si="4"/>
        <v>W</v>
      </c>
    </row>
    <row r="57" spans="1:9" x14ac:dyDescent="0.25">
      <c r="A57" t="s">
        <v>110</v>
      </c>
      <c r="B57" t="s">
        <v>206</v>
      </c>
      <c r="C57" t="s">
        <v>205</v>
      </c>
      <c r="E57" s="1" t="str">
        <f t="shared" si="1"/>
        <v>Away</v>
      </c>
      <c r="F57" s="3">
        <f t="shared" si="2"/>
        <v>5</v>
      </c>
      <c r="G57" s="3">
        <f t="shared" si="3"/>
        <v>6</v>
      </c>
      <c r="H57" s="3">
        <f t="shared" si="0"/>
        <v>11</v>
      </c>
      <c r="I57" s="3" t="str">
        <f t="shared" si="4"/>
        <v>L</v>
      </c>
    </row>
    <row r="58" spans="1:9" x14ac:dyDescent="0.25">
      <c r="A58" t="s">
        <v>111</v>
      </c>
      <c r="B58" t="s">
        <v>278</v>
      </c>
      <c r="C58" t="s">
        <v>434</v>
      </c>
      <c r="E58" s="1" t="str">
        <f t="shared" si="1"/>
        <v>Home</v>
      </c>
      <c r="F58" s="3">
        <f t="shared" si="2"/>
        <v>16</v>
      </c>
      <c r="G58" s="3">
        <f t="shared" si="3"/>
        <v>7</v>
      </c>
      <c r="H58" s="3">
        <f t="shared" si="0"/>
        <v>23</v>
      </c>
      <c r="I58" s="3" t="str">
        <f t="shared" si="4"/>
        <v>W</v>
      </c>
    </row>
    <row r="59" spans="1:9" x14ac:dyDescent="0.25">
      <c r="A59" t="s">
        <v>112</v>
      </c>
      <c r="B59" t="s">
        <v>278</v>
      </c>
      <c r="C59" t="s">
        <v>435</v>
      </c>
      <c r="E59" s="1" t="str">
        <f t="shared" si="1"/>
        <v>Home</v>
      </c>
      <c r="F59" s="3">
        <f t="shared" si="2"/>
        <v>21</v>
      </c>
      <c r="G59" s="3">
        <f t="shared" si="3"/>
        <v>12</v>
      </c>
      <c r="H59" s="3">
        <f t="shared" si="0"/>
        <v>33</v>
      </c>
      <c r="I59" s="3" t="str">
        <f t="shared" si="4"/>
        <v>W</v>
      </c>
    </row>
    <row r="60" spans="1:9" x14ac:dyDescent="0.25">
      <c r="A60" t="s">
        <v>114</v>
      </c>
      <c r="B60" t="s">
        <v>222</v>
      </c>
      <c r="C60" t="s">
        <v>132</v>
      </c>
      <c r="E60" s="1" t="str">
        <f t="shared" si="1"/>
        <v>Home</v>
      </c>
      <c r="F60" s="3">
        <f t="shared" si="2"/>
        <v>3</v>
      </c>
      <c r="G60" s="3">
        <f t="shared" si="3"/>
        <v>6</v>
      </c>
      <c r="H60" s="3">
        <f t="shared" si="0"/>
        <v>9</v>
      </c>
      <c r="I60" s="3" t="str">
        <f t="shared" si="4"/>
        <v>L</v>
      </c>
    </row>
    <row r="61" spans="1:9" x14ac:dyDescent="0.25">
      <c r="A61" t="s">
        <v>117</v>
      </c>
      <c r="B61" t="s">
        <v>222</v>
      </c>
      <c r="C61" t="s">
        <v>270</v>
      </c>
      <c r="E61" s="1" t="str">
        <f t="shared" si="1"/>
        <v>Home</v>
      </c>
      <c r="F61" s="3">
        <f t="shared" si="2"/>
        <v>4</v>
      </c>
      <c r="G61" s="3">
        <f t="shared" si="3"/>
        <v>3</v>
      </c>
      <c r="H61" s="3">
        <f t="shared" si="0"/>
        <v>7</v>
      </c>
      <c r="I61" s="3" t="str">
        <f t="shared" si="4"/>
        <v>W</v>
      </c>
    </row>
    <row r="62" spans="1:9" x14ac:dyDescent="0.25">
      <c r="A62" t="s">
        <v>119</v>
      </c>
      <c r="B62" t="s">
        <v>250</v>
      </c>
      <c r="C62" t="s">
        <v>320</v>
      </c>
      <c r="E62" s="1" t="str">
        <f t="shared" si="1"/>
        <v>Home</v>
      </c>
      <c r="F62" s="3">
        <f t="shared" si="2"/>
        <v>5</v>
      </c>
      <c r="G62" s="3">
        <f t="shared" si="3"/>
        <v>1</v>
      </c>
      <c r="H62" s="3">
        <f t="shared" si="0"/>
        <v>6</v>
      </c>
      <c r="I62" s="3" t="str">
        <f t="shared" si="4"/>
        <v>W</v>
      </c>
    </row>
    <row r="63" spans="1:9" x14ac:dyDescent="0.25">
      <c r="A63" t="s">
        <v>122</v>
      </c>
      <c r="B63" t="s">
        <v>250</v>
      </c>
      <c r="C63" t="s">
        <v>239</v>
      </c>
      <c r="E63" s="1" t="str">
        <f t="shared" si="1"/>
        <v>Home</v>
      </c>
      <c r="F63" s="3">
        <f t="shared" si="2"/>
        <v>8</v>
      </c>
      <c r="G63" s="3">
        <f t="shared" si="3"/>
        <v>5</v>
      </c>
      <c r="H63" s="3">
        <f t="shared" si="0"/>
        <v>13</v>
      </c>
      <c r="I63" s="3" t="str">
        <f t="shared" si="4"/>
        <v>W</v>
      </c>
    </row>
    <row r="64" spans="1:9" x14ac:dyDescent="0.25">
      <c r="A64" t="s">
        <v>123</v>
      </c>
      <c r="B64" t="s">
        <v>194</v>
      </c>
      <c r="C64" t="s">
        <v>35</v>
      </c>
      <c r="E64" s="1" t="str">
        <f t="shared" si="1"/>
        <v>Away</v>
      </c>
      <c r="F64" s="3">
        <f t="shared" si="2"/>
        <v>4</v>
      </c>
      <c r="G64" s="3">
        <f t="shared" si="3"/>
        <v>1</v>
      </c>
      <c r="H64" s="3">
        <f t="shared" si="0"/>
        <v>5</v>
      </c>
      <c r="I64" s="3" t="str">
        <f t="shared" si="4"/>
        <v>W</v>
      </c>
    </row>
    <row r="65" spans="1:15" x14ac:dyDescent="0.25">
      <c r="A65" t="s">
        <v>123</v>
      </c>
      <c r="B65" t="s">
        <v>194</v>
      </c>
      <c r="C65" t="s">
        <v>228</v>
      </c>
      <c r="E65" s="1" t="str">
        <f t="shared" si="1"/>
        <v>Away</v>
      </c>
      <c r="F65" s="3">
        <f t="shared" si="2"/>
        <v>10</v>
      </c>
      <c r="G65" s="3">
        <f t="shared" si="3"/>
        <v>3</v>
      </c>
      <c r="H65" s="3">
        <f t="shared" si="0"/>
        <v>13</v>
      </c>
      <c r="I65" s="3" t="str">
        <f t="shared" si="4"/>
        <v>W</v>
      </c>
    </row>
    <row r="66" spans="1:15" x14ac:dyDescent="0.25">
      <c r="A66" t="s">
        <v>129</v>
      </c>
      <c r="B66" t="s">
        <v>235</v>
      </c>
      <c r="C66" t="s">
        <v>436</v>
      </c>
      <c r="E66" s="1" t="str">
        <f t="shared" si="1"/>
        <v>Home</v>
      </c>
      <c r="F66" s="3">
        <f t="shared" si="2"/>
        <v>14</v>
      </c>
      <c r="G66" s="3">
        <f t="shared" si="3"/>
        <v>11</v>
      </c>
      <c r="H66" s="3">
        <f t="shared" si="0"/>
        <v>25</v>
      </c>
      <c r="I66" s="3" t="str">
        <f t="shared" si="4"/>
        <v>W</v>
      </c>
    </row>
    <row r="67" spans="1:15" x14ac:dyDescent="0.25">
      <c r="A67" t="s">
        <v>131</v>
      </c>
      <c r="B67" t="s">
        <v>235</v>
      </c>
      <c r="C67" t="s">
        <v>252</v>
      </c>
      <c r="E67" s="1" t="str">
        <f t="shared" si="1"/>
        <v>Home</v>
      </c>
      <c r="F67" s="3">
        <f t="shared" si="2"/>
        <v>2</v>
      </c>
      <c r="G67" s="3">
        <f t="shared" si="3"/>
        <v>8</v>
      </c>
      <c r="H67" s="3">
        <f t="shared" ref="H67:H69" si="6">F67+G67</f>
        <v>10</v>
      </c>
      <c r="I67" s="3" t="str">
        <f t="shared" si="4"/>
        <v>L</v>
      </c>
    </row>
    <row r="68" spans="1:15" x14ac:dyDescent="0.25">
      <c r="A68" t="s">
        <v>133</v>
      </c>
      <c r="B68" t="s">
        <v>231</v>
      </c>
      <c r="C68" t="s">
        <v>323</v>
      </c>
      <c r="E68" s="1" t="str">
        <f t="shared" ref="E68:E69" si="7">IF(LEFT(B68,1)="@","Away","Home")</f>
        <v>Home</v>
      </c>
      <c r="F68" s="3">
        <f t="shared" ref="F68:F69" si="8">_xlfn.NUMBERVALUE(MID(LEFT(C68,FIND("-",C68)-1),FIND(" ",C68)+1,LEN(C68)))</f>
        <v>7</v>
      </c>
      <c r="G68" s="3">
        <f t="shared" ref="G68:G69" si="9">_xlfn.NUMBERVALUE(RIGHT(C68,LEN(C68)-FIND("-",C68)))</f>
        <v>6</v>
      </c>
      <c r="H68" s="3">
        <f t="shared" si="6"/>
        <v>13</v>
      </c>
      <c r="I68" s="3" t="str">
        <f t="shared" ref="I68:I70" si="10">LEFT(C68,1)</f>
        <v>W</v>
      </c>
    </row>
    <row r="69" spans="1:15" x14ac:dyDescent="0.25">
      <c r="A69" t="s">
        <v>134</v>
      </c>
      <c r="B69" t="s">
        <v>231</v>
      </c>
      <c r="C69" t="s">
        <v>94</v>
      </c>
      <c r="E69" s="1" t="str">
        <f t="shared" si="7"/>
        <v>Home</v>
      </c>
      <c r="F69" s="3">
        <f t="shared" si="8"/>
        <v>4</v>
      </c>
      <c r="G69" s="3">
        <f t="shared" si="9"/>
        <v>8</v>
      </c>
      <c r="H69" s="3">
        <f t="shared" si="6"/>
        <v>12</v>
      </c>
      <c r="I69" s="3" t="str">
        <f t="shared" si="10"/>
        <v>L</v>
      </c>
    </row>
    <row r="70" spans="1:15" x14ac:dyDescent="0.25">
      <c r="E70" s="1"/>
      <c r="F70" s="3"/>
      <c r="G70" s="3"/>
      <c r="H70" s="3"/>
      <c r="I70" s="3" t="str">
        <f t="shared" si="10"/>
        <v/>
      </c>
    </row>
    <row r="71" spans="1:15" x14ac:dyDescent="0.25">
      <c r="A71" s="25" t="s">
        <v>1</v>
      </c>
      <c r="B71" s="25" t="s">
        <v>2</v>
      </c>
      <c r="C71" s="25" t="s">
        <v>469</v>
      </c>
      <c r="D71" s="25" t="s">
        <v>135</v>
      </c>
      <c r="E71" s="36" t="s">
        <v>136</v>
      </c>
      <c r="F71" s="37" t="s">
        <v>137</v>
      </c>
      <c r="G71" s="37" t="s">
        <v>138</v>
      </c>
      <c r="H71" s="38" t="s">
        <v>3</v>
      </c>
      <c r="I71" s="27" t="s">
        <v>494</v>
      </c>
      <c r="J71" s="28" t="s">
        <v>495</v>
      </c>
      <c r="L71" s="1" t="s">
        <v>578</v>
      </c>
      <c r="M71" s="1" t="s">
        <v>579</v>
      </c>
      <c r="N71" s="1" t="s">
        <v>580</v>
      </c>
      <c r="O71" s="1" t="s">
        <v>581</v>
      </c>
    </row>
    <row r="72" spans="1:15" x14ac:dyDescent="0.25">
      <c r="A72" s="31" t="s">
        <v>448</v>
      </c>
      <c r="B72" s="31" t="s">
        <v>245</v>
      </c>
      <c r="C72" s="31" t="s">
        <v>94</v>
      </c>
      <c r="D72" s="31" t="str">
        <f>IF(LEFT(WAT!$B72,1)="@","Away","Home")</f>
        <v>Home</v>
      </c>
      <c r="E72" s="39">
        <f>_xlfn.NUMBERVALUE(MID(LEFT(WAT!$C72,FIND("-",WAT!$C72)-1),FIND(" ",WAT!$C72)+1,LEN(WAT!$C72)))</f>
        <v>4</v>
      </c>
      <c r="F72" s="40">
        <f>_xlfn.NUMBERVALUE(RIGHT(WAT!$C72,LEN(WAT!$C72)-FIND("-",WAT!$C72)))</f>
        <v>8</v>
      </c>
      <c r="G72" s="40">
        <f t="shared" ref="G72" si="11">E72+F72</f>
        <v>12</v>
      </c>
      <c r="H72" s="41" t="str">
        <f>LEFT(WAT!$C72,1)</f>
        <v>L</v>
      </c>
      <c r="I72" s="62" t="str">
        <f>VLOOKUP(IF(Table28[[#This Row],[At]]="Home",Table28[[#This Row],[Opponent]],RIGHT(Table28[[#This Row],[Opponent]],LEN(Table28[[#This Row],[Opponent]])-1)),CHOOSE({1,2},[1]StandingsRAW!$J$1:$J$22,[1]StandingsRAW!$L$1:$L$22),2,FALSE)</f>
        <v>STC</v>
      </c>
      <c r="J72" s="63">
        <f>VLOOKUP(Table28[[#This Row],[OPP]],Raw!$L$2:$S$23,7,FALSE)-Raw!$U$2</f>
        <v>2.5702093586438561</v>
      </c>
      <c r="L72" s="1">
        <f>COUNTIFS(Table28[At], "Home",Table28[Result], "W")</f>
        <v>9</v>
      </c>
      <c r="M72" s="1">
        <f>COUNTIFS(Table28[At], "Home",Table28[Result], "L")</f>
        <v>27</v>
      </c>
      <c r="N72" s="1">
        <f>COUNTIFS(Table28[At], "Away",Table28[Result], "W")</f>
        <v>7</v>
      </c>
      <c r="O72" s="1">
        <f>COUNTIFS(Table28[At], "Away",Table28[Result], "L")</f>
        <v>25</v>
      </c>
    </row>
    <row r="73" spans="1:15" x14ac:dyDescent="0.25">
      <c r="A73" s="31" t="s">
        <v>449</v>
      </c>
      <c r="B73" s="31" t="s">
        <v>245</v>
      </c>
      <c r="C73" s="31" t="s">
        <v>38</v>
      </c>
      <c r="D73" s="31" t="str">
        <f>IF(LEFT(WAT!$B73,1)="@","Away","Home")</f>
        <v>Home</v>
      </c>
      <c r="E73" s="39">
        <f>_xlfn.NUMBERVALUE(MID(LEFT(WAT!$C73,FIND("-",WAT!$C73)-1),FIND(" ",WAT!$C73)+1,LEN(WAT!$C73)))</f>
        <v>3</v>
      </c>
      <c r="F73" s="40">
        <f>_xlfn.NUMBERVALUE(RIGHT(WAT!$C73,LEN(WAT!$C73)-FIND("-",WAT!$C73)))</f>
        <v>5</v>
      </c>
      <c r="G73" s="40">
        <f t="shared" ref="G73:G92" si="12">E73+F73</f>
        <v>8</v>
      </c>
      <c r="H73" s="41" t="str">
        <f>LEFT(WAT!$C73,1)</f>
        <v>L</v>
      </c>
      <c r="I73" s="62" t="str">
        <f>VLOOKUP(IF(Table28[[#This Row],[At]]="Home",Table28[[#This Row],[Opponent]],RIGHT(Table28[[#This Row],[Opponent]],LEN(Table28[[#This Row],[Opponent]])-1)),CHOOSE({1,2},[1]StandingsRAW!$J$1:$J$22,[1]StandingsRAW!$L$1:$L$22),2,FALSE)</f>
        <v>STC</v>
      </c>
      <c r="J73" s="63">
        <f>VLOOKUP(Table28[[#This Row],[OPP]],Raw!$L$2:$S$23,7,FALSE)-Raw!$U$2</f>
        <v>2.5702093586438561</v>
      </c>
      <c r="M73" s="1"/>
      <c r="N73" s="1"/>
      <c r="O73" s="1"/>
    </row>
    <row r="74" spans="1:15" x14ac:dyDescent="0.25">
      <c r="A74" s="31" t="s">
        <v>450</v>
      </c>
      <c r="B74" s="31" t="s">
        <v>206</v>
      </c>
      <c r="C74" s="31" t="s">
        <v>72</v>
      </c>
      <c r="D74" s="31" t="str">
        <f>IF(LEFT(WAT!$B74,1)="@","Away","Home")</f>
        <v>Away</v>
      </c>
      <c r="E74" s="39">
        <f>_xlfn.NUMBERVALUE(MID(LEFT(WAT!$C74,FIND("-",WAT!$C74)-1),FIND(" ",WAT!$C74)+1,LEN(WAT!$C74)))</f>
        <v>12</v>
      </c>
      <c r="F74" s="40">
        <f>_xlfn.NUMBERVALUE(RIGHT(WAT!$C74,LEN(WAT!$C74)-FIND("-",WAT!$C74)))</f>
        <v>3</v>
      </c>
      <c r="G74" s="40">
        <f t="shared" si="12"/>
        <v>15</v>
      </c>
      <c r="H74" s="41" t="str">
        <f>LEFT(WAT!$C74,1)</f>
        <v>W</v>
      </c>
      <c r="I74" s="62" t="str">
        <f>VLOOKUP(IF(Table28[[#This Row],[At]]="Home",Table28[[#This Row],[Opponent]],RIGHT(Table28[[#This Row],[Opponent]],LEN(Table28[[#This Row],[Opponent]])-1)),CHOOSE({1,2},[1]StandingsRAW!$J$1:$J$22,[1]StandingsRAW!$L$1:$L$22),2,FALSE)</f>
        <v>MAN</v>
      </c>
      <c r="J74" s="63">
        <f>VLOOKUP(Table28[[#This Row],[OPP]],Raw!$L$2:$S$23,7,FALSE)-Raw!$U$2</f>
        <v>0.73197406452620895</v>
      </c>
      <c r="L74" s="1" t="s">
        <v>582</v>
      </c>
      <c r="M74" s="1" t="s">
        <v>583</v>
      </c>
      <c r="N74" s="1" t="s">
        <v>584</v>
      </c>
      <c r="O74" s="1" t="s">
        <v>585</v>
      </c>
    </row>
    <row r="75" spans="1:15" x14ac:dyDescent="0.25">
      <c r="A75" s="31" t="s">
        <v>451</v>
      </c>
      <c r="B75" s="31" t="s">
        <v>206</v>
      </c>
      <c r="C75" s="31" t="s">
        <v>286</v>
      </c>
      <c r="D75" s="31" t="str">
        <f>IF(LEFT(WAT!$B75,1)="@","Away","Home")</f>
        <v>Away</v>
      </c>
      <c r="E75" s="39">
        <f>_xlfn.NUMBERVALUE(MID(LEFT(WAT!$C75,FIND("-",WAT!$C75)-1),FIND(" ",WAT!$C75)+1,LEN(WAT!$C75)))</f>
        <v>4</v>
      </c>
      <c r="F75" s="40">
        <f>_xlfn.NUMBERVALUE(RIGHT(WAT!$C75,LEN(WAT!$C75)-FIND("-",WAT!$C75)))</f>
        <v>13</v>
      </c>
      <c r="G75" s="40">
        <f t="shared" si="12"/>
        <v>17</v>
      </c>
      <c r="H75" s="41" t="str">
        <f>LEFT(WAT!$C75,1)</f>
        <v>L</v>
      </c>
      <c r="I75" s="62" t="str">
        <f>VLOOKUP(IF(Table28[[#This Row],[At]]="Home",Table28[[#This Row],[Opponent]],RIGHT(Table28[[#This Row],[Opponent]],LEN(Table28[[#This Row],[Opponent]])-1)),CHOOSE({1,2},[1]StandingsRAW!$J$1:$J$22,[1]StandingsRAW!$L$1:$L$22),2,FALSE)</f>
        <v>MAN</v>
      </c>
      <c r="J75" s="63">
        <f>VLOOKUP(Table28[[#This Row],[OPP]],Raw!$L$2:$S$23,7,FALSE)-Raw!$U$2</f>
        <v>0.73197406452620895</v>
      </c>
      <c r="L75" s="1">
        <f>COUNTIFS(Table28[oR/G], "&gt;0",Table28[Result], "W")</f>
        <v>3</v>
      </c>
      <c r="M75" s="1">
        <f>COUNTIFS(Table28[oR/G], "&gt;0",Table28[Result], "l")</f>
        <v>29</v>
      </c>
      <c r="N75" s="1">
        <f>COUNTIFS(Table28[oR/G], "&lt;0",Table28[Result], "W")</f>
        <v>13</v>
      </c>
      <c r="O75" s="1">
        <f>COUNTIFS(Table28[oR/G], "&lt;0",Table28[Result], "l")</f>
        <v>23</v>
      </c>
    </row>
    <row r="76" spans="1:15" x14ac:dyDescent="0.25">
      <c r="A76" s="31" t="s">
        <v>453</v>
      </c>
      <c r="B76" s="31" t="s">
        <v>194</v>
      </c>
      <c r="C76" s="31" t="s">
        <v>487</v>
      </c>
      <c r="D76" s="31" t="str">
        <f>IF(LEFT(WAT!$B76,1)="@","Away","Home")</f>
        <v>Away</v>
      </c>
      <c r="E76" s="39">
        <f>_xlfn.NUMBERVALUE(MID(LEFT(WAT!$C76,FIND("-",WAT!$C76)-1),FIND(" ",WAT!$C76)+1,LEN(WAT!$C76)))</f>
        <v>1</v>
      </c>
      <c r="F76" s="40">
        <f>_xlfn.NUMBERVALUE(RIGHT(WAT!$C76,LEN(WAT!$C76)-FIND("-",WAT!$C76)))</f>
        <v>14</v>
      </c>
      <c r="G76" s="40">
        <f t="shared" si="12"/>
        <v>15</v>
      </c>
      <c r="H76" s="41" t="str">
        <f>LEFT(WAT!$C76,1)</f>
        <v>L</v>
      </c>
      <c r="I76" s="62" t="str">
        <f>VLOOKUP(IF(Table28[[#This Row],[At]]="Home",Table28[[#This Row],[Opponent]],RIGHT(Table28[[#This Row],[Opponent]],LEN(Table28[[#This Row],[Opponent]])-1)),CHOOSE({1,2},[1]StandingsRAW!$J$1:$J$22,[1]StandingsRAW!$L$1:$L$22),2,FALSE)</f>
        <v>EC</v>
      </c>
      <c r="J76" s="63">
        <f>VLOOKUP(Table28[[#This Row],[OPP]],Raw!$L$2:$S$23,7,FALSE)-Raw!$U$2</f>
        <v>1.1143270057026795</v>
      </c>
    </row>
    <row r="77" spans="1:15" x14ac:dyDescent="0.25">
      <c r="A77" s="31" t="s">
        <v>454</v>
      </c>
      <c r="B77" s="31" t="s">
        <v>194</v>
      </c>
      <c r="C77" s="31" t="s">
        <v>276</v>
      </c>
      <c r="D77" s="31" t="str">
        <f>IF(LEFT(WAT!$B77,1)="@","Away","Home")</f>
        <v>Away</v>
      </c>
      <c r="E77" s="39">
        <f>_xlfn.NUMBERVALUE(MID(LEFT(WAT!$C77,FIND("-",WAT!$C77)-1),FIND(" ",WAT!$C77)+1,LEN(WAT!$C77)))</f>
        <v>2</v>
      </c>
      <c r="F77" s="40">
        <f>_xlfn.NUMBERVALUE(RIGHT(WAT!$C77,LEN(WAT!$C77)-FIND("-",WAT!$C77)))</f>
        <v>4</v>
      </c>
      <c r="G77" s="40">
        <f t="shared" si="12"/>
        <v>6</v>
      </c>
      <c r="H77" s="41" t="str">
        <f>LEFT(WAT!$C77,1)</f>
        <v>L</v>
      </c>
      <c r="I77" s="62" t="str">
        <f>VLOOKUP(IF(Table28[[#This Row],[At]]="Home",Table28[[#This Row],[Opponent]],RIGHT(Table28[[#This Row],[Opponent]],LEN(Table28[[#This Row],[Opponent]])-1)),CHOOSE({1,2},[1]StandingsRAW!$J$1:$J$22,[1]StandingsRAW!$L$1:$L$22),2,FALSE)</f>
        <v>EC</v>
      </c>
      <c r="J77" s="63">
        <f>VLOOKUP(Table28[[#This Row],[OPP]],Raw!$L$2:$S$23,7,FALSE)-Raw!$U$2</f>
        <v>1.1143270057026795</v>
      </c>
    </row>
    <row r="78" spans="1:15" x14ac:dyDescent="0.25">
      <c r="A78" s="31" t="s">
        <v>455</v>
      </c>
      <c r="B78" s="31" t="s">
        <v>235</v>
      </c>
      <c r="C78" s="31" t="s">
        <v>65</v>
      </c>
      <c r="D78" s="31" t="str">
        <f>IF(LEFT(WAT!$B78,1)="@","Away","Home")</f>
        <v>Home</v>
      </c>
      <c r="E78" s="39">
        <f>_xlfn.NUMBERVALUE(MID(LEFT(WAT!$C78,FIND("-",WAT!$C78)-1),FIND(" ",WAT!$C78)+1,LEN(WAT!$C78)))</f>
        <v>1</v>
      </c>
      <c r="F78" s="40">
        <f>_xlfn.NUMBERVALUE(RIGHT(WAT!$C78,LEN(WAT!$C78)-FIND("-",WAT!$C78)))</f>
        <v>4</v>
      </c>
      <c r="G78" s="40">
        <f t="shared" si="12"/>
        <v>5</v>
      </c>
      <c r="H78" s="41" t="str">
        <f>LEFT(WAT!$C78,1)</f>
        <v>L</v>
      </c>
      <c r="I78" s="62" t="str">
        <f>VLOOKUP(IF(Table28[[#This Row],[At]]="Home",Table28[[#This Row],[Opponent]],RIGHT(Table28[[#This Row],[Opponent]],LEN(Table28[[#This Row],[Opponent]])-1)),CHOOSE({1,2},[1]StandingsRAW!$J$1:$J$22,[1]StandingsRAW!$L$1:$L$22),2,FALSE)</f>
        <v>EC</v>
      </c>
      <c r="J78" s="63">
        <f>VLOOKUP(Table28[[#This Row],[OPP]],Raw!$L$2:$S$23,7,FALSE)-Raw!$U$2</f>
        <v>1.1143270057026795</v>
      </c>
    </row>
    <row r="79" spans="1:15" x14ac:dyDescent="0.25">
      <c r="A79" s="31" t="s">
        <v>456</v>
      </c>
      <c r="B79" s="31" t="s">
        <v>235</v>
      </c>
      <c r="C79" s="31" t="s">
        <v>223</v>
      </c>
      <c r="D79" s="31" t="str">
        <f>IF(LEFT(WAT!$B79,1)="@","Away","Home")</f>
        <v>Home</v>
      </c>
      <c r="E79" s="39">
        <f>_xlfn.NUMBERVALUE(MID(LEFT(WAT!$C79,FIND("-",WAT!$C79)-1),FIND(" ",WAT!$C79)+1,LEN(WAT!$C79)))</f>
        <v>10</v>
      </c>
      <c r="F79" s="40">
        <f>_xlfn.NUMBERVALUE(RIGHT(WAT!$C79,LEN(WAT!$C79)-FIND("-",WAT!$C79)))</f>
        <v>4</v>
      </c>
      <c r="G79" s="40">
        <f t="shared" si="12"/>
        <v>14</v>
      </c>
      <c r="H79" s="41" t="str">
        <f>LEFT(WAT!$C79,1)</f>
        <v>W</v>
      </c>
      <c r="I79" s="62" t="str">
        <f>VLOOKUP(IF(Table28[[#This Row],[At]]="Home",Table28[[#This Row],[Opponent]],RIGHT(Table28[[#This Row],[Opponent]],LEN(Table28[[#This Row],[Opponent]])-1)),CHOOSE({1,2},[1]StandingsRAW!$J$1:$J$22,[1]StandingsRAW!$L$1:$L$22),2,FALSE)</f>
        <v>EC</v>
      </c>
      <c r="J79" s="63">
        <f>VLOOKUP(Table28[[#This Row],[OPP]],Raw!$L$2:$S$23,7,FALSE)-Raw!$U$2</f>
        <v>1.1143270057026795</v>
      </c>
    </row>
    <row r="80" spans="1:15" x14ac:dyDescent="0.25">
      <c r="A80" s="31" t="s">
        <v>470</v>
      </c>
      <c r="B80" s="31" t="s">
        <v>198</v>
      </c>
      <c r="C80" s="31" t="s">
        <v>199</v>
      </c>
      <c r="D80" s="31" t="str">
        <f>IF(LEFT(WAT!$B80,1)="@","Away","Home")</f>
        <v>Away</v>
      </c>
      <c r="E80" s="39">
        <f>_xlfn.NUMBERVALUE(MID(LEFT(WAT!$C80,FIND("-",WAT!$C80)-1),FIND(" ",WAT!$C80)+1,LEN(WAT!$C80)))</f>
        <v>3</v>
      </c>
      <c r="F80" s="40">
        <f>_xlfn.NUMBERVALUE(RIGHT(WAT!$C80,LEN(WAT!$C80)-FIND("-",WAT!$C80)))</f>
        <v>7</v>
      </c>
      <c r="G80" s="40">
        <f t="shared" si="12"/>
        <v>10</v>
      </c>
      <c r="H80" s="41" t="str">
        <f>LEFT(WAT!$C80,1)</f>
        <v>L</v>
      </c>
      <c r="I80" s="62" t="str">
        <f>VLOOKUP(IF(Table28[[#This Row],[At]]="Home",Table28[[#This Row],[Opponent]],RIGHT(Table28[[#This Row],[Opponent]],LEN(Table28[[#This Row],[Opponent]])-1)),CHOOSE({1,2},[1]StandingsRAW!$J$1:$J$22,[1]StandingsRAW!$L$1:$L$22),2,FALSE)</f>
        <v>DUL</v>
      </c>
      <c r="J80" s="63">
        <f>VLOOKUP(Table28[[#This Row],[OPP]],Raw!$L$2:$S$23,7,FALSE)-Raw!$U$2</f>
        <v>-0.37645438147905891</v>
      </c>
    </row>
    <row r="81" spans="1:10" x14ac:dyDescent="0.25">
      <c r="A81" s="31" t="s">
        <v>457</v>
      </c>
      <c r="B81" s="31" t="s">
        <v>198</v>
      </c>
      <c r="C81" s="31" t="s">
        <v>207</v>
      </c>
      <c r="D81" s="31" t="str">
        <f>IF(LEFT(WAT!$B81,1)="@","Away","Home")</f>
        <v>Away</v>
      </c>
      <c r="E81" s="39">
        <f>_xlfn.NUMBERVALUE(MID(LEFT(WAT!$C81,FIND("-",WAT!$C81)-1),FIND(" ",WAT!$C81)+1,LEN(WAT!$C81)))</f>
        <v>3</v>
      </c>
      <c r="F81" s="40">
        <f>_xlfn.NUMBERVALUE(RIGHT(WAT!$C81,LEN(WAT!$C81)-FIND("-",WAT!$C81)))</f>
        <v>8</v>
      </c>
      <c r="G81" s="40">
        <f t="shared" si="12"/>
        <v>11</v>
      </c>
      <c r="H81" s="41" t="str">
        <f>LEFT(WAT!$C81,1)</f>
        <v>L</v>
      </c>
      <c r="I81" s="62" t="str">
        <f>VLOOKUP(IF(Table28[[#This Row],[At]]="Home",Table28[[#This Row],[Opponent]],RIGHT(Table28[[#This Row],[Opponent]],LEN(Table28[[#This Row],[Opponent]])-1)),CHOOSE({1,2},[1]StandingsRAW!$J$1:$J$22,[1]StandingsRAW!$L$1:$L$22),2,FALSE)</f>
        <v>DUL</v>
      </c>
      <c r="J81" s="63">
        <f>VLOOKUP(Table28[[#This Row],[OPP]],Raw!$L$2:$S$23,7,FALSE)-Raw!$U$2</f>
        <v>-0.37645438147905891</v>
      </c>
    </row>
    <row r="82" spans="1:10" x14ac:dyDescent="0.25">
      <c r="A82" s="31" t="s">
        <v>458</v>
      </c>
      <c r="B82" s="31" t="s">
        <v>222</v>
      </c>
      <c r="C82" s="31" t="s">
        <v>36</v>
      </c>
      <c r="D82" s="31" t="str">
        <f>IF(LEFT(WAT!$B82,1)="@","Away","Home")</f>
        <v>Home</v>
      </c>
      <c r="E82" s="39">
        <f>_xlfn.NUMBERVALUE(MID(LEFT(WAT!$C82,FIND("-",WAT!$C82)-1),FIND(" ",WAT!$C82)+1,LEN(WAT!$C82)))</f>
        <v>1</v>
      </c>
      <c r="F82" s="40">
        <f>_xlfn.NUMBERVALUE(RIGHT(WAT!$C82,LEN(WAT!$C82)-FIND("-",WAT!$C82)))</f>
        <v>5</v>
      </c>
      <c r="G82" s="40">
        <f t="shared" si="12"/>
        <v>6</v>
      </c>
      <c r="H82" s="41" t="str">
        <f>LEFT(WAT!$C82,1)</f>
        <v>L</v>
      </c>
      <c r="I82" s="62" t="str">
        <f>VLOOKUP(IF(Table28[[#This Row],[At]]="Home",Table28[[#This Row],[Opponent]],RIGHT(Table28[[#This Row],[Opponent]],LEN(Table28[[#This Row],[Opponent]])-1)),CHOOSE({1,2},[1]StandingsRAW!$J$1:$J$22,[1]StandingsRAW!$L$1:$L$22),2,FALSE)</f>
        <v>WIL</v>
      </c>
      <c r="J82" s="63">
        <f>VLOOKUP(Table28[[#This Row],[OPP]],Raw!$L$2:$S$23,7,FALSE)-Raw!$U$2</f>
        <v>3.0407975939379734</v>
      </c>
    </row>
    <row r="83" spans="1:10" x14ac:dyDescent="0.25">
      <c r="A83" s="31" t="s">
        <v>459</v>
      </c>
      <c r="B83" s="31" t="s">
        <v>222</v>
      </c>
      <c r="C83" s="31" t="s">
        <v>132</v>
      </c>
      <c r="D83" s="31" t="str">
        <f>IF(LEFT(WAT!$B83,1)="@","Away","Home")</f>
        <v>Home</v>
      </c>
      <c r="E83" s="39">
        <f>_xlfn.NUMBERVALUE(MID(LEFT(WAT!$C83,FIND("-",WAT!$C83)-1),FIND(" ",WAT!$C83)+1,LEN(WAT!$C83)))</f>
        <v>3</v>
      </c>
      <c r="F83" s="40">
        <f>_xlfn.NUMBERVALUE(RIGHT(WAT!$C83,LEN(WAT!$C83)-FIND("-",WAT!$C83)))</f>
        <v>6</v>
      </c>
      <c r="G83" s="40">
        <f t="shared" si="12"/>
        <v>9</v>
      </c>
      <c r="H83" s="41" t="str">
        <f>LEFT(WAT!$C83,1)</f>
        <v>L</v>
      </c>
      <c r="I83" s="62" t="str">
        <f>VLOOKUP(IF(Table28[[#This Row],[At]]="Home",Table28[[#This Row],[Opponent]],RIGHT(Table28[[#This Row],[Opponent]],LEN(Table28[[#This Row],[Opponent]])-1)),CHOOSE({1,2},[1]StandingsRAW!$J$1:$J$22,[1]StandingsRAW!$L$1:$L$22),2,FALSE)</f>
        <v>WIL</v>
      </c>
      <c r="J83" s="63">
        <f>VLOOKUP(Table28[[#This Row],[OPP]],Raw!$L$2:$S$23,7,FALSE)-Raw!$U$2</f>
        <v>3.0407975939379734</v>
      </c>
    </row>
    <row r="84" spans="1:10" x14ac:dyDescent="0.25">
      <c r="A84" s="31" t="s">
        <v>461</v>
      </c>
      <c r="B84" s="31" t="s">
        <v>190</v>
      </c>
      <c r="C84" s="31" t="s">
        <v>488</v>
      </c>
      <c r="D84" s="31" t="str">
        <f>IF(LEFT(WAT!$B84,1)="@","Away","Home")</f>
        <v>Away</v>
      </c>
      <c r="E84" s="39">
        <f>_xlfn.NUMBERVALUE(MID(LEFT(WAT!$C84,FIND("-",WAT!$C84)-1),FIND(" ",WAT!$C84)+1,LEN(WAT!$C84)))</f>
        <v>4</v>
      </c>
      <c r="F84" s="40">
        <f>_xlfn.NUMBERVALUE(RIGHT(WAT!$C84,LEN(WAT!$C84)-FIND("-",WAT!$C84)))</f>
        <v>18</v>
      </c>
      <c r="G84" s="40">
        <f t="shared" si="12"/>
        <v>22</v>
      </c>
      <c r="H84" s="41" t="str">
        <f>LEFT(WAT!$C84,1)</f>
        <v>L</v>
      </c>
      <c r="I84" s="62" t="str">
        <f>VLOOKUP(IF(Table28[[#This Row],[At]]="Home",Table28[[#This Row],[Opponent]],RIGHT(Table28[[#This Row],[Opponent]],LEN(Table28[[#This Row],[Opponent]])-1)),CHOOSE({1,2},[1]StandingsRAW!$J$1:$J$22,[1]StandingsRAW!$L$1:$L$22),2,FALSE)</f>
        <v>LAC</v>
      </c>
      <c r="J84" s="63">
        <f>VLOOKUP(Table28[[#This Row],[OPP]],Raw!$L$2:$S$23,7,FALSE)-Raw!$U$2</f>
        <v>-0.25332005312084993</v>
      </c>
    </row>
    <row r="85" spans="1:10" x14ac:dyDescent="0.25">
      <c r="A85" s="31" t="s">
        <v>462</v>
      </c>
      <c r="B85" s="31" t="s">
        <v>190</v>
      </c>
      <c r="C85" s="31" t="s">
        <v>224</v>
      </c>
      <c r="D85" s="31" t="str">
        <f>IF(LEFT(WAT!$B85,1)="@","Away","Home")</f>
        <v>Away</v>
      </c>
      <c r="E85" s="39">
        <f>_xlfn.NUMBERVALUE(MID(LEFT(WAT!$C85,FIND("-",WAT!$C85)-1),FIND(" ",WAT!$C85)+1,LEN(WAT!$C85)))</f>
        <v>0</v>
      </c>
      <c r="F85" s="40">
        <f>_xlfn.NUMBERVALUE(RIGHT(WAT!$C85,LEN(WAT!$C85)-FIND("-",WAT!$C85)))</f>
        <v>6</v>
      </c>
      <c r="G85" s="40">
        <f t="shared" si="12"/>
        <v>6</v>
      </c>
      <c r="H85" s="41" t="str">
        <f>LEFT(WAT!$C85,1)</f>
        <v>L</v>
      </c>
      <c r="I85" s="62" t="str">
        <f>VLOOKUP(IF(Table28[[#This Row],[At]]="Home",Table28[[#This Row],[Opponent]],RIGHT(Table28[[#This Row],[Opponent]],LEN(Table28[[#This Row],[Opponent]])-1)),CHOOSE({1,2},[1]StandingsRAW!$J$1:$J$22,[1]StandingsRAW!$L$1:$L$22),2,FALSE)</f>
        <v>LAC</v>
      </c>
      <c r="J85" s="63">
        <f>VLOOKUP(Table28[[#This Row],[OPP]],Raw!$L$2:$S$23,7,FALSE)-Raw!$U$2</f>
        <v>-0.25332005312084993</v>
      </c>
    </row>
    <row r="86" spans="1:10" x14ac:dyDescent="0.25">
      <c r="A86" s="31" t="s">
        <v>463</v>
      </c>
      <c r="B86" s="31" t="s">
        <v>278</v>
      </c>
      <c r="C86" s="31" t="s">
        <v>254</v>
      </c>
      <c r="D86" s="31" t="str">
        <f>IF(LEFT(WAT!$B86,1)="@","Away","Home")</f>
        <v>Home</v>
      </c>
      <c r="E86" s="39">
        <f>_xlfn.NUMBERVALUE(MID(LEFT(WAT!$C86,FIND("-",WAT!$C86)-1),FIND(" ",WAT!$C86)+1,LEN(WAT!$C86)))</f>
        <v>5</v>
      </c>
      <c r="F86" s="40">
        <f>_xlfn.NUMBERVALUE(RIGHT(WAT!$C86,LEN(WAT!$C86)-FIND("-",WAT!$C86)))</f>
        <v>4</v>
      </c>
      <c r="G86" s="40">
        <f t="shared" si="12"/>
        <v>9</v>
      </c>
      <c r="H86" s="41" t="str">
        <f>LEFT(WAT!$C86,1)</f>
        <v>W</v>
      </c>
      <c r="I86" s="62" t="str">
        <f>VLOOKUP(IF(Table28[[#This Row],[At]]="Home",Table28[[#This Row],[Opponent]],RIGHT(Table28[[#This Row],[Opponent]],LEN(Table28[[#This Row],[Opponent]])-1)),CHOOSE({1,2},[1]StandingsRAW!$J$1:$J$22,[1]StandingsRAW!$L$1:$L$22),2,FALSE)</f>
        <v>BIS</v>
      </c>
      <c r="J86" s="63">
        <f>VLOOKUP(Table28[[#This Row],[OPP]],Raw!$L$2:$S$23,7,FALSE)-Raw!$U$2</f>
        <v>-1.915084759003203</v>
      </c>
    </row>
    <row r="87" spans="1:10" x14ac:dyDescent="0.25">
      <c r="A87" s="31" t="s">
        <v>463</v>
      </c>
      <c r="B87" s="31" t="s">
        <v>278</v>
      </c>
      <c r="C87" s="31" t="s">
        <v>72</v>
      </c>
      <c r="D87" s="31" t="str">
        <f>IF(LEFT(WAT!$B87,1)="@","Away","Home")</f>
        <v>Home</v>
      </c>
      <c r="E87" s="39">
        <f>_xlfn.NUMBERVALUE(MID(LEFT(WAT!$C87,FIND("-",WAT!$C87)-1),FIND(" ",WAT!$C87)+1,LEN(WAT!$C87)))</f>
        <v>12</v>
      </c>
      <c r="F87" s="40">
        <f>_xlfn.NUMBERVALUE(RIGHT(WAT!$C87,LEN(WAT!$C87)-FIND("-",WAT!$C87)))</f>
        <v>3</v>
      </c>
      <c r="G87" s="40">
        <f t="shared" si="12"/>
        <v>15</v>
      </c>
      <c r="H87" s="41" t="str">
        <f>LEFT(WAT!$C87,1)</f>
        <v>W</v>
      </c>
      <c r="I87" s="62" t="str">
        <f>VLOOKUP(IF(Table28[[#This Row],[At]]="Home",Table28[[#This Row],[Opponent]],RIGHT(Table28[[#This Row],[Opponent]],LEN(Table28[[#This Row],[Opponent]])-1)),CHOOSE({1,2},[1]StandingsRAW!$J$1:$J$22,[1]StandingsRAW!$L$1:$L$22),2,FALSE)</f>
        <v>BIS</v>
      </c>
      <c r="J87" s="63">
        <f>VLOOKUP(Table28[[#This Row],[OPP]],Raw!$L$2:$S$23,7,FALSE)-Raw!$U$2</f>
        <v>-1.915084759003203</v>
      </c>
    </row>
    <row r="88" spans="1:10" x14ac:dyDescent="0.25">
      <c r="A88" s="31" t="s">
        <v>464</v>
      </c>
      <c r="B88" s="31" t="s">
        <v>278</v>
      </c>
      <c r="C88" s="31" t="s">
        <v>55</v>
      </c>
      <c r="D88" s="31" t="str">
        <f>IF(LEFT(WAT!$B88,1)="@","Away","Home")</f>
        <v>Home</v>
      </c>
      <c r="E88" s="39">
        <f>_xlfn.NUMBERVALUE(MID(LEFT(WAT!$C88,FIND("-",WAT!$C88)-1),FIND(" ",WAT!$C88)+1,LEN(WAT!$C88)))</f>
        <v>5</v>
      </c>
      <c r="F88" s="40">
        <f>_xlfn.NUMBERVALUE(RIGHT(WAT!$C88,LEN(WAT!$C88)-FIND("-",WAT!$C88)))</f>
        <v>7</v>
      </c>
      <c r="G88" s="40">
        <f t="shared" si="12"/>
        <v>12</v>
      </c>
      <c r="H88" s="41" t="str">
        <f>LEFT(WAT!$C88,1)</f>
        <v>L</v>
      </c>
      <c r="I88" s="62" t="str">
        <f>VLOOKUP(IF(Table28[[#This Row],[At]]="Home",Table28[[#This Row],[Opponent]],RIGHT(Table28[[#This Row],[Opponent]],LEN(Table28[[#This Row],[Opponent]])-1)),CHOOSE({1,2},[1]StandingsRAW!$J$1:$J$22,[1]StandingsRAW!$L$1:$L$22),2,FALSE)</f>
        <v>BIS</v>
      </c>
      <c r="J88" s="63">
        <f>VLOOKUP(Table28[[#This Row],[OPP]],Raw!$L$2:$S$23,7,FALSE)-Raw!$U$2</f>
        <v>-1.915084759003203</v>
      </c>
    </row>
    <row r="89" spans="1:10" x14ac:dyDescent="0.25">
      <c r="A89" s="31" t="s">
        <v>465</v>
      </c>
      <c r="B89" s="31" t="s">
        <v>278</v>
      </c>
      <c r="C89" s="31" t="s">
        <v>38</v>
      </c>
      <c r="D89" s="31" t="str">
        <f>IF(LEFT(WAT!$B89,1)="@","Away","Home")</f>
        <v>Home</v>
      </c>
      <c r="E89" s="39">
        <f>_xlfn.NUMBERVALUE(MID(LEFT(WAT!$C89,FIND("-",WAT!$C89)-1),FIND(" ",WAT!$C89)+1,LEN(WAT!$C89)))</f>
        <v>3</v>
      </c>
      <c r="F89" s="40">
        <f>_xlfn.NUMBERVALUE(RIGHT(WAT!$C89,LEN(WAT!$C89)-FIND("-",WAT!$C89)))</f>
        <v>5</v>
      </c>
      <c r="G89" s="40">
        <f t="shared" si="12"/>
        <v>8</v>
      </c>
      <c r="H89" s="41" t="str">
        <f>LEFT(WAT!$C89,1)</f>
        <v>L</v>
      </c>
      <c r="I89" s="62" t="str">
        <f>VLOOKUP(IF(Table28[[#This Row],[At]]="Home",Table28[[#This Row],[Opponent]],RIGHT(Table28[[#This Row],[Opponent]],LEN(Table28[[#This Row],[Opponent]])-1)),CHOOSE({1,2},[1]StandingsRAW!$J$1:$J$22,[1]StandingsRAW!$L$1:$L$22),2,FALSE)</f>
        <v>BIS</v>
      </c>
      <c r="J89" s="63">
        <f>VLOOKUP(Table28[[#This Row],[OPP]],Raw!$L$2:$S$23,7,FALSE)-Raw!$U$2</f>
        <v>-1.915084759003203</v>
      </c>
    </row>
    <row r="90" spans="1:10" x14ac:dyDescent="0.25">
      <c r="A90" s="31" t="s">
        <v>466</v>
      </c>
      <c r="B90" s="31" t="s">
        <v>231</v>
      </c>
      <c r="C90" s="31" t="s">
        <v>11</v>
      </c>
      <c r="D90" s="31" t="str">
        <f>IF(LEFT(WAT!$B90,1)="@","Away","Home")</f>
        <v>Home</v>
      </c>
      <c r="E90" s="39">
        <f>_xlfn.NUMBERVALUE(MID(LEFT(WAT!$C90,FIND("-",WAT!$C90)-1),FIND(" ",WAT!$C90)+1,LEN(WAT!$C90)))</f>
        <v>3</v>
      </c>
      <c r="F90" s="40">
        <f>_xlfn.NUMBERVALUE(RIGHT(WAT!$C90,LEN(WAT!$C90)-FIND("-",WAT!$C90)))</f>
        <v>12</v>
      </c>
      <c r="G90" s="40">
        <f t="shared" si="12"/>
        <v>15</v>
      </c>
      <c r="H90" s="41" t="str">
        <f>LEFT(WAT!$C90,1)</f>
        <v>L</v>
      </c>
      <c r="I90" s="62" t="str">
        <f>VLOOKUP(IF(Table28[[#This Row],[At]]="Home",Table28[[#This Row],[Opponent]],RIGHT(Table28[[#This Row],[Opponent]],LEN(Table28[[#This Row],[Opponent]])-1)),CHOOSE({1,2},[1]StandingsRAW!$J$1:$J$22,[1]StandingsRAW!$L$1:$L$22),2,FALSE)</f>
        <v>LAC</v>
      </c>
      <c r="J90" s="63">
        <f>VLOOKUP(Table28[[#This Row],[OPP]],Raw!$L$2:$S$23,7,FALSE)-Raw!$U$2</f>
        <v>-0.25332005312084993</v>
      </c>
    </row>
    <row r="91" spans="1:10" x14ac:dyDescent="0.25">
      <c r="A91" s="31" t="s">
        <v>467</v>
      </c>
      <c r="B91" s="31" t="s">
        <v>231</v>
      </c>
      <c r="C91" s="31" t="s">
        <v>118</v>
      </c>
      <c r="D91" s="31" t="str">
        <f>IF(LEFT(WAT!$B91,1)="@","Away","Home")</f>
        <v>Home</v>
      </c>
      <c r="E91" s="39">
        <f>_xlfn.NUMBERVALUE(MID(LEFT(WAT!$C91,FIND("-",WAT!$C91)-1),FIND(" ",WAT!$C91)+1,LEN(WAT!$C91)))</f>
        <v>9</v>
      </c>
      <c r="F91" s="40">
        <f>_xlfn.NUMBERVALUE(RIGHT(WAT!$C91,LEN(WAT!$C91)-FIND("-",WAT!$C91)))</f>
        <v>8</v>
      </c>
      <c r="G91" s="40">
        <f t="shared" si="12"/>
        <v>17</v>
      </c>
      <c r="H91" s="41" t="str">
        <f>LEFT(WAT!$C91,1)</f>
        <v>W</v>
      </c>
      <c r="I91" s="62" t="str">
        <f>VLOOKUP(IF(Table28[[#This Row],[At]]="Home",Table28[[#This Row],[Opponent]],RIGHT(Table28[[#This Row],[Opponent]],LEN(Table28[[#This Row],[Opponent]])-1)),CHOOSE({1,2},[1]StandingsRAW!$J$1:$J$22,[1]StandingsRAW!$L$1:$L$22),2,FALSE)</f>
        <v>LAC</v>
      </c>
      <c r="J91" s="63">
        <f>VLOOKUP(Table28[[#This Row],[OPP]],Raw!$L$2:$S$23,7,FALSE)-Raw!$U$2</f>
        <v>-0.25332005312084993</v>
      </c>
    </row>
    <row r="92" spans="1:10" x14ac:dyDescent="0.25">
      <c r="A92" s="26" t="s">
        <v>468</v>
      </c>
      <c r="B92" s="26" t="s">
        <v>263</v>
      </c>
      <c r="C92" s="26" t="s">
        <v>6</v>
      </c>
      <c r="D92" s="26" t="str">
        <f>IF(LEFT(WAT!$B92,1)="@","Away","Home")</f>
        <v>Home</v>
      </c>
      <c r="E92" s="42">
        <f>_xlfn.NUMBERVALUE(MID(LEFT(WAT!$C92,FIND("-",WAT!$C92)-1),FIND(" ",WAT!$C92)+1,LEN(WAT!$C92)))</f>
        <v>2</v>
      </c>
      <c r="F92" s="43">
        <f>_xlfn.NUMBERVALUE(RIGHT(WAT!$C92,LEN(WAT!$C92)-FIND("-",WAT!$C92)))</f>
        <v>6</v>
      </c>
      <c r="G92" s="43">
        <f t="shared" si="12"/>
        <v>8</v>
      </c>
      <c r="H92" s="44" t="str">
        <f>LEFT(WAT!$C92,1)</f>
        <v>L</v>
      </c>
      <c r="I92" s="62" t="str">
        <f>VLOOKUP(IF(Table28[[#This Row],[At]]="Home",Table28[[#This Row],[Opponent]],RIGHT(Table28[[#This Row],[Opponent]],LEN(Table28[[#This Row],[Opponent]])-1)),CHOOSE({1,2},[1]StandingsRAW!$J$1:$J$22,[1]StandingsRAW!$L$1:$L$22),2,FALSE)</f>
        <v>ROC</v>
      </c>
      <c r="J92" s="63">
        <f>VLOOKUP(Table28[[#This Row],[OPP]],Raw!$L$2:$S$23,7,FALSE)-Raw!$U$2</f>
        <v>-0.20920240606202639</v>
      </c>
    </row>
    <row r="93" spans="1:10" x14ac:dyDescent="0.25">
      <c r="A93" s="31" t="s">
        <v>498</v>
      </c>
      <c r="B93" s="31" t="s">
        <v>210</v>
      </c>
      <c r="C93" s="31" t="s">
        <v>18</v>
      </c>
      <c r="D93" s="31" t="str">
        <f>IF(LEFT(WAT!$B93,1)="@","Away","Home")</f>
        <v>Away</v>
      </c>
      <c r="E93" s="39">
        <f>_xlfn.NUMBERVALUE(MID(LEFT(WAT!$C93,FIND("-",WAT!$C93)-1),FIND(" ",WAT!$C93)+1,LEN(WAT!$C93)))</f>
        <v>8</v>
      </c>
      <c r="F93" s="40">
        <f>_xlfn.NUMBERVALUE(RIGHT(WAT!$C93,LEN(WAT!$C93)-FIND("-",WAT!$C93)))</f>
        <v>9</v>
      </c>
      <c r="G93" s="40">
        <f t="shared" ref="G93:G95" si="13">E93+F93</f>
        <v>17</v>
      </c>
      <c r="H93" s="41" t="str">
        <f>LEFT(WAT!$C93,1)</f>
        <v>L</v>
      </c>
      <c r="I93" s="17" t="str">
        <f>VLOOKUP(IF(Table28[[#This Row],[At]]="Home",Table28[[#This Row],[Opponent]],RIGHT(Table28[[#This Row],[Opponent]],LEN(Table28[[#This Row],[Opponent]])-1)),CHOOSE({1,2},[1]StandingsRAW!$J$1:$J$22,[1]StandingsRAW!$L$1:$L$22),2,FALSE)</f>
        <v>ROC</v>
      </c>
      <c r="J93" s="33">
        <f>VLOOKUP(Table28[[#This Row],[OPP]],Raw!$L$2:$S$23,7,FALSE)-Raw!$U$2</f>
        <v>-0.20920240606202639</v>
      </c>
    </row>
    <row r="94" spans="1:10" x14ac:dyDescent="0.25">
      <c r="A94" t="s">
        <v>499</v>
      </c>
      <c r="B94" t="s">
        <v>198</v>
      </c>
      <c r="C94" t="s">
        <v>50</v>
      </c>
      <c r="D94" t="str">
        <f>IF(LEFT(WAT!$B94,1)="@","Away","Home")</f>
        <v>Away</v>
      </c>
      <c r="E94" s="1">
        <f>_xlfn.NUMBERVALUE(MID(LEFT(WAT!$C94,FIND("-",WAT!$C94)-1),FIND(" ",WAT!$C94)+1,LEN(WAT!$C94)))</f>
        <v>3</v>
      </c>
      <c r="F94" s="3">
        <f>_xlfn.NUMBERVALUE(RIGHT(WAT!$C94,LEN(WAT!$C94)-FIND("-",WAT!$C94)))</f>
        <v>4</v>
      </c>
      <c r="G94" s="3">
        <f t="shared" si="13"/>
        <v>7</v>
      </c>
      <c r="H94" s="84" t="str">
        <f>LEFT(WAT!$C94,1)</f>
        <v>L</v>
      </c>
      <c r="I94" s="17" t="str">
        <f>VLOOKUP(IF(Table28[[#This Row],[At]]="Home",Table28[[#This Row],[Opponent]],RIGHT(Table28[[#This Row],[Opponent]],LEN(Table28[[#This Row],[Opponent]])-1)),CHOOSE({1,2},[1]StandingsRAW!$J$1:$J$22,[1]StandingsRAW!$L$1:$L$22),2,FALSE)</f>
        <v>DUL</v>
      </c>
      <c r="J94" s="33">
        <f>VLOOKUP(Table28[[#This Row],[OPP]],Raw!$L$2:$S$23,7,FALSE)-Raw!$U$2</f>
        <v>-0.37645438147905891</v>
      </c>
    </row>
    <row r="95" spans="1:10" x14ac:dyDescent="0.25">
      <c r="A95" t="s">
        <v>500</v>
      </c>
      <c r="B95" t="s">
        <v>198</v>
      </c>
      <c r="C95" t="s">
        <v>28</v>
      </c>
      <c r="D95" t="str">
        <f>IF(LEFT(WAT!$B95,1)="@","Away","Home")</f>
        <v>Away</v>
      </c>
      <c r="E95" s="1">
        <f>_xlfn.NUMBERVALUE(MID(LEFT(WAT!$C95,FIND("-",WAT!$C95)-1),FIND(" ",WAT!$C95)+1,LEN(WAT!$C95)))</f>
        <v>4</v>
      </c>
      <c r="F95" s="3">
        <f>_xlfn.NUMBERVALUE(RIGHT(WAT!$C95,LEN(WAT!$C95)-FIND("-",WAT!$C95)))</f>
        <v>2</v>
      </c>
      <c r="G95" s="3">
        <f t="shared" si="13"/>
        <v>6</v>
      </c>
      <c r="H95" s="84" t="str">
        <f>LEFT(WAT!$C95,1)</f>
        <v>W</v>
      </c>
      <c r="I95" s="17" t="str">
        <f>VLOOKUP(IF(Table28[[#This Row],[At]]="Home",Table28[[#This Row],[Opponent]],RIGHT(Table28[[#This Row],[Opponent]],LEN(Table28[[#This Row],[Opponent]])-1)),CHOOSE({1,2},[1]StandingsRAW!$J$1:$J$22,[1]StandingsRAW!$L$1:$L$22),2,FALSE)</f>
        <v>DUL</v>
      </c>
      <c r="J95" s="33">
        <f>VLOOKUP(Table28[[#This Row],[OPP]],Raw!$L$2:$S$23,7,FALSE)-Raw!$U$2</f>
        <v>-0.37645438147905891</v>
      </c>
    </row>
    <row r="96" spans="1:10" x14ac:dyDescent="0.25">
      <c r="A96" s="31" t="s">
        <v>501</v>
      </c>
      <c r="B96" s="31" t="s">
        <v>210</v>
      </c>
      <c r="C96" s="31" t="s">
        <v>474</v>
      </c>
      <c r="D96" s="31" t="str">
        <f>IF(LEFT(WAT!$B96,1)="@","Away","Home")</f>
        <v>Away</v>
      </c>
      <c r="E96" s="39">
        <f>_xlfn.NUMBERVALUE(MID(LEFT(WAT!$C96,FIND("-",WAT!$C96)-1),FIND(" ",WAT!$C96)+1,LEN(WAT!$C96)))</f>
        <v>11</v>
      </c>
      <c r="F96" s="40">
        <f>_xlfn.NUMBERVALUE(RIGHT(WAT!$C96,LEN(WAT!$C96)-FIND("-",WAT!$C96)))</f>
        <v>17</v>
      </c>
      <c r="G96" s="40">
        <f t="shared" ref="G96:G98" si="14">E96+F96</f>
        <v>28</v>
      </c>
      <c r="H96" s="41" t="str">
        <f>LEFT(WAT!$C96,1)</f>
        <v>L</v>
      </c>
      <c r="I96" s="17" t="str">
        <f>VLOOKUP(IF(Table28[[#This Row],[At]]="Home",Table28[[#This Row],[Opponent]],RIGHT(Table28[[#This Row],[Opponent]],LEN(Table28[[#This Row],[Opponent]])-1)),CHOOSE({1,2},[1]StandingsRAW!$J$1:$J$22,[1]StandingsRAW!$L$1:$L$22),2,FALSE)</f>
        <v>ROC</v>
      </c>
      <c r="J96" s="33">
        <f>VLOOKUP(Table28[[#This Row],[OPP]],Raw!$L$2:$S$23,7,FALSE)-Raw!$U$2</f>
        <v>-0.20920240606202639</v>
      </c>
    </row>
    <row r="97" spans="1:10" x14ac:dyDescent="0.25">
      <c r="A97" t="s">
        <v>502</v>
      </c>
      <c r="B97" t="s">
        <v>210</v>
      </c>
      <c r="C97" t="s">
        <v>326</v>
      </c>
      <c r="D97" t="str">
        <f>IF(LEFT(WAT!$B97,1)="@","Away","Home")</f>
        <v>Away</v>
      </c>
      <c r="E97" s="1">
        <f>_xlfn.NUMBERVALUE(MID(LEFT(WAT!$C97,FIND("-",WAT!$C97)-1),FIND(" ",WAT!$C97)+1,LEN(WAT!$C97)))</f>
        <v>10</v>
      </c>
      <c r="F97" s="3">
        <f>_xlfn.NUMBERVALUE(RIGHT(WAT!$C97,LEN(WAT!$C97)-FIND("-",WAT!$C97)))</f>
        <v>9</v>
      </c>
      <c r="G97" s="3">
        <f t="shared" si="14"/>
        <v>19</v>
      </c>
      <c r="H97" s="84" t="str">
        <f>LEFT(WAT!$C97,1)</f>
        <v>W</v>
      </c>
      <c r="I97" s="17" t="str">
        <f>VLOOKUP(IF(Table28[[#This Row],[At]]="Home",Table28[[#This Row],[Opponent]],RIGHT(Table28[[#This Row],[Opponent]],LEN(Table28[[#This Row],[Opponent]])-1)),CHOOSE({1,2},[1]StandingsRAW!$J$1:$J$22,[1]StandingsRAW!$L$1:$L$22),2,FALSE)</f>
        <v>ROC</v>
      </c>
      <c r="J97" s="33">
        <f>VLOOKUP(Table28[[#This Row],[OPP]],Raw!$L$2:$S$23,7,FALSE)-Raw!$U$2</f>
        <v>-0.20920240606202639</v>
      </c>
    </row>
    <row r="98" spans="1:10" x14ac:dyDescent="0.25">
      <c r="A98" t="s">
        <v>505</v>
      </c>
      <c r="B98" t="s">
        <v>250</v>
      </c>
      <c r="C98" t="s">
        <v>271</v>
      </c>
      <c r="D98" t="str">
        <f>IF(LEFT(WAT!$B98,1)="@","Away","Home")</f>
        <v>Home</v>
      </c>
      <c r="E98" s="1">
        <f>_xlfn.NUMBERVALUE(MID(LEFT(WAT!$C98,FIND("-",WAT!$C98)-1),FIND(" ",WAT!$C98)+1,LEN(WAT!$C98)))</f>
        <v>5</v>
      </c>
      <c r="F98" s="3">
        <f>_xlfn.NUMBERVALUE(RIGHT(WAT!$C98,LEN(WAT!$C98)-FIND("-",WAT!$C98)))</f>
        <v>11</v>
      </c>
      <c r="G98" s="3">
        <f t="shared" si="14"/>
        <v>16</v>
      </c>
      <c r="H98" s="84" t="str">
        <f>LEFT(WAT!$C98,1)</f>
        <v>L</v>
      </c>
      <c r="I98" s="17" t="str">
        <f>VLOOKUP(IF(Table28[[#This Row],[At]]="Home",Table28[[#This Row],[Opponent]],RIGHT(Table28[[#This Row],[Opponent]],LEN(Table28[[#This Row],[Opponent]])-1)),CHOOSE({1,2},[1]StandingsRAW!$J$1:$J$22,[1]StandingsRAW!$L$1:$L$22),2,FALSE)</f>
        <v>MAN</v>
      </c>
      <c r="J98" s="33">
        <f>VLOOKUP(Table28[[#This Row],[OPP]],Raw!$L$2:$S$23,7,FALSE)-Raw!$U$2</f>
        <v>0.73197406452620895</v>
      </c>
    </row>
    <row r="99" spans="1:10" x14ac:dyDescent="0.25">
      <c r="A99" s="31" t="s">
        <v>508</v>
      </c>
      <c r="B99" s="31" t="s">
        <v>250</v>
      </c>
      <c r="C99" s="31" t="s">
        <v>212</v>
      </c>
      <c r="D99" s="31" t="str">
        <f>IF(LEFT(WAT!$B99,1)="@","Away","Home")</f>
        <v>Home</v>
      </c>
      <c r="E99" s="39">
        <f>_xlfn.NUMBERVALUE(MID(LEFT(WAT!$C99,FIND("-",WAT!$C99)-1),FIND(" ",WAT!$C99)+1,LEN(WAT!$C99)))</f>
        <v>6</v>
      </c>
      <c r="F99" s="40">
        <f>_xlfn.NUMBERVALUE(RIGHT(WAT!$C99,LEN(WAT!$C99)-FIND("-",WAT!$C99)))</f>
        <v>10</v>
      </c>
      <c r="G99" s="40">
        <f t="shared" ref="G99:G101" si="15">E99+F99</f>
        <v>16</v>
      </c>
      <c r="H99" s="41" t="str">
        <f>LEFT(WAT!$C99,1)</f>
        <v>L</v>
      </c>
      <c r="I99" s="17" t="str">
        <f>VLOOKUP(IF(Table28[[#This Row],[At]]="Home",Table28[[#This Row],[Opponent]],RIGHT(Table28[[#This Row],[Opponent]],LEN(Table28[[#This Row],[Opponent]])-1)),CHOOSE({1,2},[1]StandingsRAW!$J$1:$J$22,[1]StandingsRAW!$L$1:$L$22),2,FALSE)</f>
        <v>MAN</v>
      </c>
      <c r="J99" s="33">
        <f>VLOOKUP(Table28[[#This Row],[OPP]],Raw!$L$2:$S$23,7,FALSE)-Raw!$U$2</f>
        <v>0.73197406452620895</v>
      </c>
    </row>
    <row r="100" spans="1:10" x14ac:dyDescent="0.25">
      <c r="A100" t="s">
        <v>509</v>
      </c>
      <c r="B100" t="s">
        <v>206</v>
      </c>
      <c r="C100" t="s">
        <v>246</v>
      </c>
      <c r="D100" t="str">
        <f>IF(LEFT(WAT!$B100,1)="@","Away","Home")</f>
        <v>Away</v>
      </c>
      <c r="E100" s="1">
        <f>_xlfn.NUMBERVALUE(MID(LEFT(WAT!$C100,FIND("-",WAT!$C100)-1),FIND(" ",WAT!$C100)+1,LEN(WAT!$C100)))</f>
        <v>4</v>
      </c>
      <c r="F100" s="3">
        <f>_xlfn.NUMBERVALUE(RIGHT(WAT!$C100,LEN(WAT!$C100)-FIND("-",WAT!$C100)))</f>
        <v>6</v>
      </c>
      <c r="G100" s="3">
        <f t="shared" si="15"/>
        <v>10</v>
      </c>
      <c r="H100" s="84" t="str">
        <f>LEFT(WAT!$C100,1)</f>
        <v>L</v>
      </c>
      <c r="I100" s="17" t="str">
        <f>VLOOKUP(IF(Table28[[#This Row],[At]]="Home",Table28[[#This Row],[Opponent]],RIGHT(Table28[[#This Row],[Opponent]],LEN(Table28[[#This Row],[Opponent]])-1)),CHOOSE({1,2},[1]StandingsRAW!$J$1:$J$22,[1]StandingsRAW!$L$1:$L$22),2,FALSE)</f>
        <v>MAN</v>
      </c>
      <c r="J100" s="33">
        <f>VLOOKUP(Table28[[#This Row],[OPP]],Raw!$L$2:$S$23,7,FALSE)-Raw!$U$2</f>
        <v>0.73197406452620895</v>
      </c>
    </row>
    <row r="101" spans="1:10" x14ac:dyDescent="0.25">
      <c r="A101" t="s">
        <v>510</v>
      </c>
      <c r="B101" t="s">
        <v>206</v>
      </c>
      <c r="C101" t="s">
        <v>113</v>
      </c>
      <c r="D101" t="str">
        <f>IF(LEFT(WAT!$B101,1)="@","Away","Home")</f>
        <v>Away</v>
      </c>
      <c r="E101" s="1">
        <f>_xlfn.NUMBERVALUE(MID(LEFT(WAT!$C101,FIND("-",WAT!$C101)-1),FIND(" ",WAT!$C101)+1,LEN(WAT!$C101)))</f>
        <v>7</v>
      </c>
      <c r="F101" s="3">
        <f>_xlfn.NUMBERVALUE(RIGHT(WAT!$C101,LEN(WAT!$C101)-FIND("-",WAT!$C101)))</f>
        <v>9</v>
      </c>
      <c r="G101" s="3">
        <f t="shared" si="15"/>
        <v>16</v>
      </c>
      <c r="H101" s="84" t="str">
        <f>LEFT(WAT!$C101,1)</f>
        <v>L</v>
      </c>
      <c r="I101" s="17" t="str">
        <f>VLOOKUP(IF(Table28[[#This Row],[At]]="Home",Table28[[#This Row],[Opponent]],RIGHT(Table28[[#This Row],[Opponent]],LEN(Table28[[#This Row],[Opponent]])-1)),CHOOSE({1,2},[1]StandingsRAW!$J$1:$J$22,[1]StandingsRAW!$L$1:$L$22),2,FALSE)</f>
        <v>MAN</v>
      </c>
      <c r="J101" s="33">
        <f>VLOOKUP(Table28[[#This Row],[OPP]],Raw!$L$2:$S$23,7,FALSE)-Raw!$U$2</f>
        <v>0.73197406452620895</v>
      </c>
    </row>
    <row r="102" spans="1:10" x14ac:dyDescent="0.25">
      <c r="A102" s="31" t="s">
        <v>515</v>
      </c>
      <c r="B102" s="31" t="s">
        <v>241</v>
      </c>
      <c r="C102" s="31" t="s">
        <v>239</v>
      </c>
      <c r="D102" s="31" t="str">
        <f>IF(LEFT(WAT!$B102,1)="@","Away","Home")</f>
        <v>Home</v>
      </c>
      <c r="E102" s="39">
        <f>_xlfn.NUMBERVALUE(MID(LEFT(WAT!$C102,FIND("-",WAT!$C102)-1),FIND(" ",WAT!$C102)+1,LEN(WAT!$C102)))</f>
        <v>8</v>
      </c>
      <c r="F102" s="40">
        <f>_xlfn.NUMBERVALUE(RIGHT(WAT!$C102,LEN(WAT!$C102)-FIND("-",WAT!$C102)))</f>
        <v>5</v>
      </c>
      <c r="G102" s="40">
        <f>E102+F102</f>
        <v>13</v>
      </c>
      <c r="H102" s="41" t="str">
        <f>LEFT(WAT!$C102,1)</f>
        <v>W</v>
      </c>
      <c r="I102" s="17" t="str">
        <f>VLOOKUP(IF(Table28[[#This Row],[At]]="Home",Table28[[#This Row],[Opponent]],RIGHT(Table28[[#This Row],[Opponent]],LEN(Table28[[#This Row],[Opponent]])-1)),CHOOSE({1,2},[1]StandingsRAW!$J$1:$J$22,[1]StandingsRAW!$L$1:$L$22),2,FALSE)</f>
        <v>MIN</v>
      </c>
      <c r="J102" s="33">
        <f>VLOOKUP(Table28[[#This Row],[OPP]],Raw!$L$2:$S$23,7,FALSE)-Raw!$U$2</f>
        <v>-2.6422089420097388</v>
      </c>
    </row>
    <row r="103" spans="1:10" x14ac:dyDescent="0.25">
      <c r="A103" s="31" t="s">
        <v>518</v>
      </c>
      <c r="B103" s="31" t="s">
        <v>241</v>
      </c>
      <c r="C103" s="31" t="s">
        <v>407</v>
      </c>
      <c r="D103" s="31" t="str">
        <f>IF(LEFT(WAT!$B103,1)="@","Away","Home")</f>
        <v>Home</v>
      </c>
      <c r="E103" s="39">
        <f>_xlfn.NUMBERVALUE(MID(LEFT(WAT!$C103,FIND("-",WAT!$C103)-1),FIND(" ",WAT!$C103)+1,LEN(WAT!$C103)))</f>
        <v>10</v>
      </c>
      <c r="F103" s="40">
        <f>_xlfn.NUMBERVALUE(RIGHT(WAT!$C103,LEN(WAT!$C103)-FIND("-",WAT!$C103)))</f>
        <v>11</v>
      </c>
      <c r="G103" s="40">
        <f t="shared" ref="G103:G106" si="16">E103+F103</f>
        <v>21</v>
      </c>
      <c r="H103" s="41" t="str">
        <f>LEFT(WAT!$C103,1)</f>
        <v>L</v>
      </c>
      <c r="I103" s="17" t="str">
        <f>VLOOKUP(IF(Table28[[#This Row],[At]]="Home",Table28[[#This Row],[Opponent]],RIGHT(Table28[[#This Row],[Opponent]],LEN(Table28[[#This Row],[Opponent]])-1)),CHOOSE({1,2},[1]StandingsRAW!$J$1:$J$22,[1]StandingsRAW!$L$1:$L$22),2,FALSE)</f>
        <v>MIN</v>
      </c>
      <c r="J103" s="33">
        <f>VLOOKUP(Table28[[#This Row],[OPP]],Raw!$L$2:$S$23,7,FALSE)-Raw!$U$2</f>
        <v>-2.6422089420097388</v>
      </c>
    </row>
    <row r="104" spans="1:10" x14ac:dyDescent="0.25">
      <c r="A104" t="s">
        <v>519</v>
      </c>
      <c r="B104" t="s">
        <v>225</v>
      </c>
      <c r="C104" t="s">
        <v>356</v>
      </c>
      <c r="D104" t="str">
        <f>IF(LEFT(WAT!$B104,1)="@","Away","Home")</f>
        <v>Home</v>
      </c>
      <c r="E104" s="1">
        <f>_xlfn.NUMBERVALUE(MID(LEFT(WAT!$C104,FIND("-",WAT!$C104)-1),FIND(" ",WAT!$C104)+1,LEN(WAT!$C104)))</f>
        <v>16</v>
      </c>
      <c r="F104" s="3">
        <f>_xlfn.NUMBERVALUE(RIGHT(WAT!$C104,LEN(WAT!$C104)-FIND("-",WAT!$C104)))</f>
        <v>4</v>
      </c>
      <c r="G104" s="3">
        <f t="shared" si="16"/>
        <v>20</v>
      </c>
      <c r="H104" s="84" t="str">
        <f>LEFT(WAT!$C104,1)</f>
        <v>W</v>
      </c>
      <c r="I104" s="17" t="str">
        <f>VLOOKUP(IF(Table28[[#This Row],[At]]="Home",Table28[[#This Row],[Opponent]],RIGHT(Table28[[#This Row],[Opponent]],LEN(Table28[[#This Row],[Opponent]])-1)),CHOOSE({1,2},[1]StandingsRAW!$J$1:$J$22,[1]StandingsRAW!$L$1:$L$22),2,FALSE)</f>
        <v>DUL</v>
      </c>
      <c r="J104" s="33">
        <f>VLOOKUP(Table28[[#This Row],[OPP]],Raw!$L$2:$S$23,7,FALSE)-Raw!$U$2</f>
        <v>-0.37645438147905891</v>
      </c>
    </row>
    <row r="105" spans="1:10" x14ac:dyDescent="0.25">
      <c r="A105" t="s">
        <v>520</v>
      </c>
      <c r="B105" t="s">
        <v>225</v>
      </c>
      <c r="C105" t="s">
        <v>207</v>
      </c>
      <c r="D105" t="str">
        <f>IF(LEFT(WAT!$B105,1)="@","Away","Home")</f>
        <v>Home</v>
      </c>
      <c r="E105" s="1">
        <f>_xlfn.NUMBERVALUE(MID(LEFT(WAT!$C105,FIND("-",WAT!$C105)-1),FIND(" ",WAT!$C105)+1,LEN(WAT!$C105)))</f>
        <v>3</v>
      </c>
      <c r="F105" s="3">
        <f>_xlfn.NUMBERVALUE(RIGHT(WAT!$C105,LEN(WAT!$C105)-FIND("-",WAT!$C105)))</f>
        <v>8</v>
      </c>
      <c r="G105" s="3">
        <f t="shared" si="16"/>
        <v>11</v>
      </c>
      <c r="H105" s="84" t="str">
        <f>LEFT(WAT!$C105,1)</f>
        <v>L</v>
      </c>
      <c r="I105" s="17" t="str">
        <f>VLOOKUP(IF(Table28[[#This Row],[At]]="Home",Table28[[#This Row],[Opponent]],RIGHT(Table28[[#This Row],[Opponent]],LEN(Table28[[#This Row],[Opponent]])-1)),CHOOSE({1,2},[1]StandingsRAW!$J$1:$J$22,[1]StandingsRAW!$L$1:$L$22),2,FALSE)</f>
        <v>DUL</v>
      </c>
      <c r="J105" s="33">
        <f>VLOOKUP(Table28[[#This Row],[OPP]],Raw!$L$2:$S$23,7,FALSE)-Raw!$U$2</f>
        <v>-0.37645438147905891</v>
      </c>
    </row>
    <row r="106" spans="1:10" x14ac:dyDescent="0.25">
      <c r="A106" t="s">
        <v>521</v>
      </c>
      <c r="B106" t="s">
        <v>190</v>
      </c>
      <c r="C106" t="s">
        <v>269</v>
      </c>
      <c r="D106" t="str">
        <f>IF(LEFT(WAT!$B106,1)="@","Away","Home")</f>
        <v>Away</v>
      </c>
      <c r="E106" s="1">
        <f>_xlfn.NUMBERVALUE(MID(LEFT(WAT!$C106,FIND("-",WAT!$C106)-1),FIND(" ",WAT!$C106)+1,LEN(WAT!$C106)))</f>
        <v>2</v>
      </c>
      <c r="F106" s="3">
        <f>_xlfn.NUMBERVALUE(RIGHT(WAT!$C106,LEN(WAT!$C106)-FIND("-",WAT!$C106)))</f>
        <v>3</v>
      </c>
      <c r="G106" s="3">
        <f t="shared" si="16"/>
        <v>5</v>
      </c>
      <c r="H106" s="84" t="str">
        <f>LEFT(WAT!$C106,1)</f>
        <v>L</v>
      </c>
      <c r="I106" s="17" t="str">
        <f>VLOOKUP(IF(Table28[[#This Row],[At]]="Home",Table28[[#This Row],[Opponent]],RIGHT(Table28[[#This Row],[Opponent]],LEN(Table28[[#This Row],[Opponent]])-1)),CHOOSE({1,2},[1]StandingsRAW!$J$1:$J$22,[1]StandingsRAW!$L$1:$L$22),2,FALSE)</f>
        <v>LAC</v>
      </c>
      <c r="J106" s="33">
        <f>VLOOKUP(Table28[[#This Row],[OPP]],Raw!$L$2:$S$23,7,FALSE)-Raw!$U$2</f>
        <v>-0.25332005312084993</v>
      </c>
    </row>
    <row r="107" spans="1:10" x14ac:dyDescent="0.25">
      <c r="A107" s="31" t="s">
        <v>524</v>
      </c>
      <c r="B107" s="31" t="s">
        <v>190</v>
      </c>
      <c r="C107" s="31" t="s">
        <v>326</v>
      </c>
      <c r="D107" s="31" t="str">
        <f>IF(LEFT(WAT!$B107,1)="@","Away","Home")</f>
        <v>Away</v>
      </c>
      <c r="E107" s="39">
        <f>_xlfn.NUMBERVALUE(MID(LEFT(WAT!$C107,FIND("-",WAT!$C107)-1),FIND(" ",WAT!$C107)+1,LEN(WAT!$C107)))</f>
        <v>10</v>
      </c>
      <c r="F107" s="40">
        <f>_xlfn.NUMBERVALUE(RIGHT(WAT!$C107,LEN(WAT!$C107)-FIND("-",WAT!$C107)))</f>
        <v>9</v>
      </c>
      <c r="G107" s="40">
        <f t="shared" ref="G107:G111" si="17">E107+F107</f>
        <v>19</v>
      </c>
      <c r="H107" s="41" t="str">
        <f>LEFT(WAT!$C107,1)</f>
        <v>W</v>
      </c>
      <c r="I107" s="17" t="str">
        <f>VLOOKUP(IF(Table28[[#This Row],[At]]="Home",Table28[[#This Row],[Opponent]],RIGHT(Table28[[#This Row],[Opponent]],LEN(Table28[[#This Row],[Opponent]])-1)),CHOOSE({1,2},[1]StandingsRAW!$J$1:$J$22,[1]StandingsRAW!$L$1:$L$22),2,FALSE)</f>
        <v>LAC</v>
      </c>
      <c r="J107" s="33">
        <f>VLOOKUP(Table28[[#This Row],[OPP]],Raw!$L$2:$S$23,7,FALSE)-Raw!$U$2</f>
        <v>-0.25332005312084993</v>
      </c>
    </row>
    <row r="108" spans="1:10" x14ac:dyDescent="0.25">
      <c r="A108" t="s">
        <v>525</v>
      </c>
      <c r="B108" t="s">
        <v>222</v>
      </c>
      <c r="C108" t="s">
        <v>536</v>
      </c>
      <c r="D108" t="str">
        <f>IF(LEFT(WAT!$B108,1)="@","Away","Home")</f>
        <v>Home</v>
      </c>
      <c r="E108" s="1">
        <f>_xlfn.NUMBERVALUE(MID(LEFT(WAT!$C108,FIND("-",WAT!$C108)-1),FIND(" ",WAT!$C108)+1,LEN(WAT!$C108)))</f>
        <v>1</v>
      </c>
      <c r="F108" s="3">
        <f>_xlfn.NUMBERVALUE(RIGHT(WAT!$C108,LEN(WAT!$C108)-FIND("-",WAT!$C108)))</f>
        <v>20</v>
      </c>
      <c r="G108" s="3">
        <f t="shared" si="17"/>
        <v>21</v>
      </c>
      <c r="H108" s="84" t="str">
        <f>LEFT(WAT!$C108,1)</f>
        <v>L</v>
      </c>
      <c r="I108" s="17" t="str">
        <f>VLOOKUP(IF(Table28[[#This Row],[At]]="Home",Table28[[#This Row],[Opponent]],RIGHT(Table28[[#This Row],[Opponent]],LEN(Table28[[#This Row],[Opponent]])-1)),CHOOSE({1,2},[1]StandingsRAW!$J$1:$J$22,[1]StandingsRAW!$L$1:$L$22),2,FALSE)</f>
        <v>WIL</v>
      </c>
      <c r="J108" s="33">
        <f>VLOOKUP(Table28[[#This Row],[OPP]],Raw!$L$2:$S$23,7,FALSE)-Raw!$U$2</f>
        <v>3.0407975939379734</v>
      </c>
    </row>
    <row r="109" spans="1:10" x14ac:dyDescent="0.25">
      <c r="A109" t="s">
        <v>526</v>
      </c>
      <c r="B109" t="s">
        <v>222</v>
      </c>
      <c r="C109" t="s">
        <v>322</v>
      </c>
      <c r="D109" t="str">
        <f>IF(LEFT(WAT!$B109,1)="@","Away","Home")</f>
        <v>Home</v>
      </c>
      <c r="E109" s="1">
        <f>_xlfn.NUMBERVALUE(MID(LEFT(WAT!$C109,FIND("-",WAT!$C109)-1),FIND(" ",WAT!$C109)+1,LEN(WAT!$C109)))</f>
        <v>6</v>
      </c>
      <c r="F109" s="3">
        <f>_xlfn.NUMBERVALUE(RIGHT(WAT!$C109,LEN(WAT!$C109)-FIND("-",WAT!$C109)))</f>
        <v>7</v>
      </c>
      <c r="G109" s="3">
        <f t="shared" si="17"/>
        <v>13</v>
      </c>
      <c r="H109" s="84" t="str">
        <f>LEFT(WAT!$C109,1)</f>
        <v>L</v>
      </c>
      <c r="I109" s="17" t="str">
        <f>VLOOKUP(IF(Table28[[#This Row],[At]]="Home",Table28[[#This Row],[Opponent]],RIGHT(Table28[[#This Row],[Opponent]],LEN(Table28[[#This Row],[Opponent]])-1)),CHOOSE({1,2},[1]StandingsRAW!$J$1:$J$22,[1]StandingsRAW!$L$1:$L$22),2,FALSE)</f>
        <v>WIL</v>
      </c>
      <c r="J109" s="33">
        <f>VLOOKUP(Table28[[#This Row],[OPP]],Raw!$L$2:$S$23,7,FALSE)-Raw!$U$2</f>
        <v>3.0407975939379734</v>
      </c>
    </row>
    <row r="110" spans="1:10" x14ac:dyDescent="0.25">
      <c r="A110" t="s">
        <v>529</v>
      </c>
      <c r="B110" t="s">
        <v>211</v>
      </c>
      <c r="C110" t="s">
        <v>125</v>
      </c>
      <c r="D110" t="str">
        <f>IF(LEFT(WAT!$B110,1)="@","Away","Home")</f>
        <v>Away</v>
      </c>
      <c r="E110" s="1">
        <f>_xlfn.NUMBERVALUE(MID(LEFT(WAT!$C110,FIND("-",WAT!$C110)-1),FIND(" ",WAT!$C110)+1,LEN(WAT!$C110)))</f>
        <v>0</v>
      </c>
      <c r="F110" s="3">
        <f>_xlfn.NUMBERVALUE(RIGHT(WAT!$C110,LEN(WAT!$C110)-FIND("-",WAT!$C110)))</f>
        <v>4</v>
      </c>
      <c r="G110" s="3">
        <f t="shared" si="17"/>
        <v>4</v>
      </c>
      <c r="H110" s="84" t="str">
        <f>LEFT(WAT!$C110,1)</f>
        <v>L</v>
      </c>
      <c r="I110" s="17" t="str">
        <f>VLOOKUP(IF(Table28[[#This Row],[At]]="Home",Table28[[#This Row],[Opponent]],RIGHT(Table28[[#This Row],[Opponent]],LEN(Table28[[#This Row],[Opponent]])-1)),CHOOSE({1,2},[1]StandingsRAW!$J$1:$J$22,[1]StandingsRAW!$L$1:$L$22),2,FALSE)</f>
        <v>WIL</v>
      </c>
      <c r="J110" s="33">
        <f>VLOOKUP(Table28[[#This Row],[OPP]],Raw!$L$2:$S$23,7,FALSE)-Raw!$U$2</f>
        <v>3.0407975939379734</v>
      </c>
    </row>
    <row r="111" spans="1:10" x14ac:dyDescent="0.25">
      <c r="A111" t="s">
        <v>530</v>
      </c>
      <c r="B111" t="s">
        <v>211</v>
      </c>
      <c r="C111" t="s">
        <v>537</v>
      </c>
      <c r="D111" t="str">
        <f>IF(LEFT(WAT!$B111,1)="@","Away","Home")</f>
        <v>Away</v>
      </c>
      <c r="E111" s="1">
        <f>_xlfn.NUMBERVALUE(MID(LEFT(WAT!$C111,FIND("-",WAT!$C111)-1),FIND(" ",WAT!$C111)+1,LEN(WAT!$C111)))</f>
        <v>2</v>
      </c>
      <c r="F111" s="3">
        <f>_xlfn.NUMBERVALUE(RIGHT(WAT!$C111,LEN(WAT!$C111)-FIND("-",WAT!$C111)))</f>
        <v>20</v>
      </c>
      <c r="G111" s="3">
        <f t="shared" si="17"/>
        <v>22</v>
      </c>
      <c r="H111" s="84" t="str">
        <f>LEFT(WAT!$C111,1)</f>
        <v>L</v>
      </c>
      <c r="I111" s="17" t="str">
        <f>VLOOKUP(IF(Table28[[#This Row],[At]]="Home",Table28[[#This Row],[Opponent]],RIGHT(Table28[[#This Row],[Opponent]],LEN(Table28[[#This Row],[Opponent]])-1)),CHOOSE({1,2},[1]StandingsRAW!$J$1:$J$22,[1]StandingsRAW!$L$1:$L$22),2,FALSE)</f>
        <v>WIL</v>
      </c>
      <c r="J111" s="33">
        <f>VLOOKUP(Table28[[#This Row],[OPP]],Raw!$L$2:$S$23,7,FALSE)-Raw!$U$2</f>
        <v>3.0407975939379734</v>
      </c>
    </row>
    <row r="112" spans="1:10" x14ac:dyDescent="0.25">
      <c r="A112" s="31" t="s">
        <v>541</v>
      </c>
      <c r="B112" s="31" t="s">
        <v>263</v>
      </c>
      <c r="C112" s="31" t="s">
        <v>212</v>
      </c>
      <c r="D112" s="31" t="str">
        <f>IF(LEFT(WAT!$B112,1)="@","Away","Home")</f>
        <v>Home</v>
      </c>
      <c r="E112" s="39">
        <f>_xlfn.NUMBERVALUE(MID(LEFT(WAT!$C112,FIND("-",WAT!$C112)-1),FIND(" ",WAT!$C112)+1,LEN(WAT!$C112)))</f>
        <v>6</v>
      </c>
      <c r="F112" s="40">
        <f>_xlfn.NUMBERVALUE(RIGHT(WAT!$C112,LEN(WAT!$C112)-FIND("-",WAT!$C112)))</f>
        <v>10</v>
      </c>
      <c r="G112" s="40">
        <f>E112+F112</f>
        <v>16</v>
      </c>
      <c r="H112" s="41" t="str">
        <f>LEFT(WAT!$C112,1)</f>
        <v>L</v>
      </c>
      <c r="I112" s="17" t="str">
        <f>VLOOKUP(IF(Table28[[#This Row],[At]]="Home",Table28[[#This Row],[Opponent]],RIGHT(Table28[[#This Row],[Opponent]],LEN(Table28[[#This Row],[Opponent]])-1)),CHOOSE({1,2},[1]StandingsRAW!$J$1:$J$22,[1]StandingsRAW!$L$1:$L$22),2,FALSE)</f>
        <v>ROC</v>
      </c>
      <c r="J112" s="33">
        <f>VLOOKUP(Table28[[#This Row],[OPP]],Raw!$L$2:$S$23,7,FALSE)-Raw!$U$2</f>
        <v>-0.20920240606202639</v>
      </c>
    </row>
    <row r="113" spans="1:10" x14ac:dyDescent="0.25">
      <c r="A113" s="31" t="s">
        <v>542</v>
      </c>
      <c r="B113" s="31" t="s">
        <v>210</v>
      </c>
      <c r="C113" s="31" t="s">
        <v>121</v>
      </c>
      <c r="D113" s="31" t="str">
        <f>IF(LEFT(WAT!$B113,1)="@","Away","Home")</f>
        <v>Away</v>
      </c>
      <c r="E113" s="39">
        <f>_xlfn.NUMBERVALUE(MID(LEFT(WAT!$C113,FIND("-",WAT!$C113)-1),FIND(" ",WAT!$C113)+1,LEN(WAT!$C113)))</f>
        <v>2</v>
      </c>
      <c r="F113" s="40">
        <f>_xlfn.NUMBERVALUE(RIGHT(WAT!$C113,LEN(WAT!$C113)-FIND("-",WAT!$C113)))</f>
        <v>11</v>
      </c>
      <c r="G113" s="40">
        <f>E113+F113</f>
        <v>13</v>
      </c>
      <c r="H113" s="41" t="str">
        <f>LEFT(WAT!$C113,1)</f>
        <v>L</v>
      </c>
      <c r="I113" s="17" t="str">
        <f>VLOOKUP(IF(Table28[[#This Row],[At]]="Home",Table28[[#This Row],[Opponent]],RIGHT(Table28[[#This Row],[Opponent]],LEN(Table28[[#This Row],[Opponent]])-1)),CHOOSE({1,2},[1]StandingsRAW!$J$1:$J$22,[1]StandingsRAW!$L$1:$L$22),2,FALSE)</f>
        <v>ROC</v>
      </c>
      <c r="J113" s="33">
        <f>VLOOKUP(Table28[[#This Row],[OPP]],Raw!$L$2:$S$23,7,FALSE)-Raw!$U$2</f>
        <v>-0.20920240606202639</v>
      </c>
    </row>
    <row r="114" spans="1:10" x14ac:dyDescent="0.25">
      <c r="A114" s="31" t="s">
        <v>543</v>
      </c>
      <c r="B114" s="31" t="s">
        <v>235</v>
      </c>
      <c r="C114" s="31" t="s">
        <v>264</v>
      </c>
      <c r="D114" s="31" t="str">
        <f>IF(LEFT(WAT!$B114,1)="@","Away","Home")</f>
        <v>Home</v>
      </c>
      <c r="E114" s="39">
        <f>_xlfn.NUMBERVALUE(MID(LEFT(WAT!$C114,FIND("-",WAT!$C114)-1),FIND(" ",WAT!$C114)+1,LEN(WAT!$C114)))</f>
        <v>6</v>
      </c>
      <c r="F114" s="40">
        <f>_xlfn.NUMBERVALUE(RIGHT(WAT!$C114,LEN(WAT!$C114)-FIND("-",WAT!$C114)))</f>
        <v>2</v>
      </c>
      <c r="G114" s="40">
        <f>E114+F114</f>
        <v>8</v>
      </c>
      <c r="H114" s="41" t="str">
        <f>LEFT(WAT!$C114,1)</f>
        <v>W</v>
      </c>
      <c r="I114" s="17" t="str">
        <f>VLOOKUP(IF(Table28[[#This Row],[At]]="Home",Table28[[#This Row],[Opponent]],RIGHT(Table28[[#This Row],[Opponent]],LEN(Table28[[#This Row],[Opponent]])-1)),CHOOSE({1,2},[1]StandingsRAW!$J$1:$J$22,[1]StandingsRAW!$L$1:$L$22),2,FALSE)</f>
        <v>EC</v>
      </c>
      <c r="J114" s="33">
        <f>VLOOKUP(Table28[[#This Row],[OPP]],Raw!$L$2:$S$23,7,FALSE)-Raw!$U$2</f>
        <v>1.1143270057026795</v>
      </c>
    </row>
    <row r="115" spans="1:10" x14ac:dyDescent="0.25">
      <c r="A115" s="31" t="s">
        <v>546</v>
      </c>
      <c r="B115" s="31" t="s">
        <v>235</v>
      </c>
      <c r="C115" s="31" t="s">
        <v>548</v>
      </c>
      <c r="D115" s="31" t="str">
        <f>IF(LEFT(WAT!$B115,1)="@","Away","Home")</f>
        <v>Home</v>
      </c>
      <c r="E115" s="39">
        <f>_xlfn.NUMBERVALUE(MID(LEFT(WAT!$C115,FIND("-",WAT!$C115)-1),FIND(" ",WAT!$C115)+1,LEN(WAT!$C115)))</f>
        <v>9</v>
      </c>
      <c r="F115" s="40">
        <f>_xlfn.NUMBERVALUE(RIGHT(WAT!$C115,LEN(WAT!$C115)-FIND("-",WAT!$C115)))</f>
        <v>14</v>
      </c>
      <c r="G115" s="40">
        <f>E115+F115</f>
        <v>23</v>
      </c>
      <c r="H115" s="41" t="str">
        <f>LEFT(WAT!$C115,1)</f>
        <v>L</v>
      </c>
      <c r="I115" s="17" t="str">
        <f>VLOOKUP(IF(Table28[[#This Row],[At]]="Home",Table28[[#This Row],[Opponent]],RIGHT(Table28[[#This Row],[Opponent]],LEN(Table28[[#This Row],[Opponent]])-1)),CHOOSE({1,2},[1]StandingsRAW!$J$1:$J$22,[1]StandingsRAW!$L$1:$L$22),2,FALSE)</f>
        <v>EC</v>
      </c>
      <c r="J115" s="33">
        <f>VLOOKUP(Table28[[#This Row],[OPP]],Raw!$L$2:$S$23,7,FALSE)-Raw!$U$2</f>
        <v>1.1143270057026795</v>
      </c>
    </row>
    <row r="116" spans="1:10" x14ac:dyDescent="0.25">
      <c r="A116" s="31" t="s">
        <v>549</v>
      </c>
      <c r="B116" s="31" t="s">
        <v>225</v>
      </c>
      <c r="C116" s="31" t="s">
        <v>249</v>
      </c>
      <c r="D116" s="31" t="str">
        <f>IF(LEFT(WAT!$B116,1)="@","Away","Home")</f>
        <v>Home</v>
      </c>
      <c r="E116" s="39">
        <f>_xlfn.NUMBERVALUE(MID(LEFT(WAT!$C116,FIND("-",WAT!$C116)-1),FIND(" ",WAT!$C116)+1,LEN(WAT!$C116)))</f>
        <v>9</v>
      </c>
      <c r="F116" s="40">
        <f>_xlfn.NUMBERVALUE(RIGHT(WAT!$C116,LEN(WAT!$C116)-FIND("-",WAT!$C116)))</f>
        <v>11</v>
      </c>
      <c r="G116" s="40">
        <f t="shared" ref="G116:G119" si="18">E116+F116</f>
        <v>20</v>
      </c>
      <c r="H116" s="41" t="str">
        <f>LEFT(WAT!$C116,1)</f>
        <v>L</v>
      </c>
      <c r="I116" s="17" t="str">
        <f>VLOOKUP(IF(Table28[[#This Row],[At]]="Home",Table28[[#This Row],[Opponent]],RIGHT(Table28[[#This Row],[Opponent]],LEN(Table28[[#This Row],[Opponent]])-1)),CHOOSE({1,2},[1]StandingsRAW!$J$1:$J$22,[1]StandingsRAW!$L$1:$L$22),2,FALSE)</f>
        <v>DUL</v>
      </c>
      <c r="J116" s="33">
        <f>VLOOKUP(Table28[[#This Row],[OPP]],Raw!$L$2:$S$23,7,FALSE)-Raw!$U$2</f>
        <v>-0.37645438147905891</v>
      </c>
    </row>
    <row r="117" spans="1:10" x14ac:dyDescent="0.25">
      <c r="A117" t="s">
        <v>550</v>
      </c>
      <c r="B117" t="s">
        <v>225</v>
      </c>
      <c r="C117" t="s">
        <v>322</v>
      </c>
      <c r="D117" t="str">
        <f>IF(LEFT(WAT!$B117,1)="@","Away","Home")</f>
        <v>Home</v>
      </c>
      <c r="E117" s="1">
        <f>_xlfn.NUMBERVALUE(MID(LEFT(WAT!$C117,FIND("-",WAT!$C117)-1),FIND(" ",WAT!$C117)+1,LEN(WAT!$C117)))</f>
        <v>6</v>
      </c>
      <c r="F117" s="3">
        <f>_xlfn.NUMBERVALUE(RIGHT(WAT!$C117,LEN(WAT!$C117)-FIND("-",WAT!$C117)))</f>
        <v>7</v>
      </c>
      <c r="G117" s="3">
        <f t="shared" si="18"/>
        <v>13</v>
      </c>
      <c r="H117" s="84" t="str">
        <f>LEFT(WAT!$C117,1)</f>
        <v>L</v>
      </c>
      <c r="I117" s="17" t="str">
        <f>VLOOKUP(IF(Table28[[#This Row],[At]]="Home",Table28[[#This Row],[Opponent]],RIGHT(Table28[[#This Row],[Opponent]],LEN(Table28[[#This Row],[Opponent]])-1)),CHOOSE({1,2},[1]StandingsRAW!$J$1:$J$22,[1]StandingsRAW!$L$1:$L$22),2,FALSE)</f>
        <v>DUL</v>
      </c>
      <c r="J117" s="33">
        <f>VLOOKUP(Table28[[#This Row],[OPP]],Raw!$L$2:$S$23,7,FALSE)-Raw!$U$2</f>
        <v>-0.37645438147905891</v>
      </c>
    </row>
    <row r="118" spans="1:10" x14ac:dyDescent="0.25">
      <c r="A118" t="s">
        <v>551</v>
      </c>
      <c r="B118" t="s">
        <v>211</v>
      </c>
      <c r="C118" t="s">
        <v>269</v>
      </c>
      <c r="D118" t="str">
        <f>IF(LEFT(WAT!$B118,1)="@","Away","Home")</f>
        <v>Away</v>
      </c>
      <c r="E118" s="1">
        <f>_xlfn.NUMBERVALUE(MID(LEFT(WAT!$C118,FIND("-",WAT!$C118)-1),FIND(" ",WAT!$C118)+1,LEN(WAT!$C118)))</f>
        <v>2</v>
      </c>
      <c r="F118" s="3">
        <f>_xlfn.NUMBERVALUE(RIGHT(WAT!$C118,LEN(WAT!$C118)-FIND("-",WAT!$C118)))</f>
        <v>3</v>
      </c>
      <c r="G118" s="3">
        <f t="shared" si="18"/>
        <v>5</v>
      </c>
      <c r="H118" s="84" t="str">
        <f>LEFT(WAT!$C118,1)</f>
        <v>L</v>
      </c>
      <c r="I118" s="17" t="str">
        <f>VLOOKUP(IF(Table28[[#This Row],[At]]="Home",Table28[[#This Row],[Opponent]],RIGHT(Table28[[#This Row],[Opponent]],LEN(Table28[[#This Row],[Opponent]])-1)),CHOOSE({1,2},[1]StandingsRAW!$J$1:$J$22,[1]StandingsRAW!$L$1:$L$22),2,FALSE)</f>
        <v>WIL</v>
      </c>
      <c r="J118" s="33">
        <f>VLOOKUP(Table28[[#This Row],[OPP]],Raw!$L$2:$S$23,7,FALSE)-Raw!$U$2</f>
        <v>3.0407975939379734</v>
      </c>
    </row>
    <row r="119" spans="1:10" x14ac:dyDescent="0.25">
      <c r="A119" t="s">
        <v>552</v>
      </c>
      <c r="B119" t="s">
        <v>211</v>
      </c>
      <c r="C119" t="s">
        <v>284</v>
      </c>
      <c r="D119" t="str">
        <f>IF(LEFT(WAT!$B119,1)="@","Away","Home")</f>
        <v>Away</v>
      </c>
      <c r="E119" s="1">
        <f>_xlfn.NUMBERVALUE(MID(LEFT(WAT!$C119,FIND("-",WAT!$C119)-1),FIND(" ",WAT!$C119)+1,LEN(WAT!$C119)))</f>
        <v>2</v>
      </c>
      <c r="F119" s="3">
        <f>_xlfn.NUMBERVALUE(RIGHT(WAT!$C119,LEN(WAT!$C119)-FIND("-",WAT!$C119)))</f>
        <v>13</v>
      </c>
      <c r="G119" s="3">
        <f t="shared" si="18"/>
        <v>15</v>
      </c>
      <c r="H119" s="84" t="str">
        <f>LEFT(WAT!$C119,1)</f>
        <v>L</v>
      </c>
      <c r="I119" s="17" t="str">
        <f>VLOOKUP(IF(Table28[[#This Row],[At]]="Home",Table28[[#This Row],[Opponent]],RIGHT(Table28[[#This Row],[Opponent]],LEN(Table28[[#This Row],[Opponent]])-1)),CHOOSE({1,2},[1]StandingsRAW!$J$1:$J$22,[1]StandingsRAW!$L$1:$L$22),2,FALSE)</f>
        <v>WIL</v>
      </c>
      <c r="J119" s="33">
        <f>VLOOKUP(Table28[[#This Row],[OPP]],Raw!$L$2:$S$23,7,FALSE)-Raw!$U$2</f>
        <v>3.0407975939379734</v>
      </c>
    </row>
    <row r="120" spans="1:10" x14ac:dyDescent="0.25">
      <c r="A120" s="31" t="s">
        <v>555</v>
      </c>
      <c r="B120" s="31" t="s">
        <v>203</v>
      </c>
      <c r="C120" s="31" t="s">
        <v>412</v>
      </c>
      <c r="D120" s="31" t="str">
        <f>IF(LEFT(WAT!$B120,1)="@","Away","Home")</f>
        <v>Away</v>
      </c>
      <c r="E120" s="39">
        <f>_xlfn.NUMBERVALUE(MID(LEFT(WAT!$C120,FIND("-",WAT!$C120)-1),FIND(" ",WAT!$C120)+1,LEN(WAT!$C120)))</f>
        <v>15</v>
      </c>
      <c r="F120" s="40">
        <f>_xlfn.NUMBERVALUE(RIGHT(WAT!$C120,LEN(WAT!$C120)-FIND("-",WAT!$C120)))</f>
        <v>5</v>
      </c>
      <c r="G120" s="40">
        <f>E120+F120</f>
        <v>20</v>
      </c>
      <c r="H120" s="41" t="str">
        <f>LEFT(WAT!$C120,1)</f>
        <v>W</v>
      </c>
      <c r="I120" s="17" t="str">
        <f>VLOOKUP(IF(Table28[[#This Row],[At]]="Home",Table28[[#This Row],[Opponent]],RIGHT(Table28[[#This Row],[Opponent]],LEN(Table28[[#This Row],[Opponent]])-1)),CHOOSE({1,2},[1]StandingsRAW!$J$1:$J$22,[1]StandingsRAW!$L$1:$L$22),2,FALSE)</f>
        <v>BIS</v>
      </c>
      <c r="J120" s="33">
        <f>VLOOKUP(Table28[[#This Row],[OPP]],Raw!$L$2:$S$23,7,FALSE)-Raw!$U$2</f>
        <v>-1.915084759003203</v>
      </c>
    </row>
    <row r="121" spans="1:10" x14ac:dyDescent="0.25">
      <c r="A121" s="31" t="s">
        <v>557</v>
      </c>
      <c r="B121" s="31" t="s">
        <v>203</v>
      </c>
      <c r="C121" s="31" t="s">
        <v>116</v>
      </c>
      <c r="D121" s="31" t="str">
        <f>IF(LEFT(WAT!$B121,1)="@","Away","Home")</f>
        <v>Away</v>
      </c>
      <c r="E121" s="39">
        <f>_xlfn.NUMBERVALUE(MID(LEFT(WAT!$C121,FIND("-",WAT!$C121)-1),FIND(" ",WAT!$C121)+1,LEN(WAT!$C121)))</f>
        <v>9</v>
      </c>
      <c r="F121" s="40">
        <f>_xlfn.NUMBERVALUE(RIGHT(WAT!$C121,LEN(WAT!$C121)-FIND("-",WAT!$C121)))</f>
        <v>3</v>
      </c>
      <c r="G121" s="40">
        <f t="shared" ref="G121:G122" si="19">E121+F121</f>
        <v>12</v>
      </c>
      <c r="H121" s="41" t="str">
        <f>LEFT(WAT!$C121,1)</f>
        <v>W</v>
      </c>
      <c r="I121" s="17" t="str">
        <f>VLOOKUP(IF(Table28[[#This Row],[At]]="Home",Table28[[#This Row],[Opponent]],RIGHT(Table28[[#This Row],[Opponent]],LEN(Table28[[#This Row],[Opponent]])-1)),CHOOSE({1,2},[1]StandingsRAW!$J$1:$J$22,[1]StandingsRAW!$L$1:$L$22),2,FALSE)</f>
        <v>BIS</v>
      </c>
      <c r="J121" s="33">
        <f>VLOOKUP(Table28[[#This Row],[OPP]],Raw!$L$2:$S$23,7,FALSE)-Raw!$U$2</f>
        <v>-1.915084759003203</v>
      </c>
    </row>
    <row r="122" spans="1:10" x14ac:dyDescent="0.25">
      <c r="A122" t="s">
        <v>557</v>
      </c>
      <c r="B122" t="s">
        <v>203</v>
      </c>
      <c r="C122" t="s">
        <v>128</v>
      </c>
      <c r="D122" t="str">
        <f>IF(LEFT(WAT!$B122,1)="@","Away","Home")</f>
        <v>Away</v>
      </c>
      <c r="E122" s="1">
        <f>_xlfn.NUMBERVALUE(MID(LEFT(WAT!$C122,FIND("-",WAT!$C122)-1),FIND(" ",WAT!$C122)+1,LEN(WAT!$C122)))</f>
        <v>6</v>
      </c>
      <c r="F122" s="3">
        <f>_xlfn.NUMBERVALUE(RIGHT(WAT!$C122,LEN(WAT!$C122)-FIND("-",WAT!$C122)))</f>
        <v>5</v>
      </c>
      <c r="G122" s="3">
        <f t="shared" si="19"/>
        <v>11</v>
      </c>
      <c r="H122" s="84" t="str">
        <f>LEFT(WAT!$C122,1)</f>
        <v>W</v>
      </c>
      <c r="I122" s="17" t="str">
        <f>VLOOKUP(IF(Table28[[#This Row],[At]]="Home",Table28[[#This Row],[Opponent]],RIGHT(Table28[[#This Row],[Opponent]],LEN(Table28[[#This Row],[Opponent]])-1)),CHOOSE({1,2},[1]StandingsRAW!$J$1:$J$22,[1]StandingsRAW!$L$1:$L$22),2,FALSE)</f>
        <v>BIS</v>
      </c>
      <c r="J122" s="33">
        <f>VLOOKUP(Table28[[#This Row],[OPP]],Raw!$L$2:$S$23,7,FALSE)-Raw!$U$2</f>
        <v>-1.915084759003203</v>
      </c>
    </row>
    <row r="123" spans="1:10" x14ac:dyDescent="0.25">
      <c r="A123" s="31" t="s">
        <v>558</v>
      </c>
      <c r="B123" s="31" t="s">
        <v>203</v>
      </c>
      <c r="C123" s="31" t="s">
        <v>562</v>
      </c>
      <c r="D123" s="31" t="str">
        <f>IF(LEFT(WAT!$B123,1)="@","Away","Home")</f>
        <v>Away</v>
      </c>
      <c r="E123" s="39">
        <f>_xlfn.NUMBERVALUE(MID(LEFT(WAT!$C123,FIND("-",WAT!$C123)-1),FIND(" ",WAT!$C123)+1,LEN(WAT!$C123)))</f>
        <v>3</v>
      </c>
      <c r="F123" s="40">
        <f>_xlfn.NUMBERVALUE(RIGHT(WAT!$C123,LEN(WAT!$C123)-FIND("-",WAT!$C123)))</f>
        <v>14</v>
      </c>
      <c r="G123" s="40">
        <f>E123+F123</f>
        <v>17</v>
      </c>
      <c r="H123" s="41" t="str">
        <f>LEFT(WAT!$C123,1)</f>
        <v>L</v>
      </c>
      <c r="I123" s="17" t="str">
        <f>VLOOKUP(IF(Table28[[#This Row],[At]]="Home",Table28[[#This Row],[Opponent]],RIGHT(Table28[[#This Row],[Opponent]],LEN(Table28[[#This Row],[Opponent]])-1)),CHOOSE({1,2},[1]StandingsRAW!$J$1:$J$22,[1]StandingsRAW!$L$1:$L$22),2,FALSE)</f>
        <v>BIS</v>
      </c>
      <c r="J123" s="33">
        <f>VLOOKUP(Table28[[#This Row],[OPP]],Raw!$L$2:$S$23,7,FALSE)-Raw!$U$2</f>
        <v>-1.915084759003203</v>
      </c>
    </row>
    <row r="124" spans="1:10" x14ac:dyDescent="0.25">
      <c r="A124" s="31" t="s">
        <v>563</v>
      </c>
      <c r="B124" s="31" t="s">
        <v>201</v>
      </c>
      <c r="C124" s="31" t="s">
        <v>252</v>
      </c>
      <c r="D124" s="31" t="str">
        <f>IF(LEFT(WAT!$B124,1)="@","Away","Home")</f>
        <v>Away</v>
      </c>
      <c r="E124" s="39">
        <f>_xlfn.NUMBERVALUE(MID(LEFT(WAT!$C124,FIND("-",WAT!$C124)-1),FIND(" ",WAT!$C124)+1,LEN(WAT!$C124)))</f>
        <v>2</v>
      </c>
      <c r="F124" s="40">
        <f>_xlfn.NUMBERVALUE(RIGHT(WAT!$C124,LEN(WAT!$C124)-FIND("-",WAT!$C124)))</f>
        <v>8</v>
      </c>
      <c r="G124" s="40">
        <f>E124+F124</f>
        <v>10</v>
      </c>
      <c r="H124" s="41" t="str">
        <f>LEFT(WAT!$C124,1)</f>
        <v>L</v>
      </c>
      <c r="I124" s="17" t="str">
        <f>VLOOKUP(IF(Table28[[#This Row],[At]]="Home",Table28[[#This Row],[Opponent]],RIGHT(Table28[[#This Row],[Opponent]],LEN(Table28[[#This Row],[Opponent]])-1)),CHOOSE({1,2},[1]StandingsRAW!$J$1:$J$22,[1]StandingsRAW!$L$1:$L$22),2,FALSE)</f>
        <v>STC</v>
      </c>
      <c r="J124" s="33">
        <f>VLOOKUP(Table28[[#This Row],[OPP]],Raw!$L$2:$S$23,7,FALSE)-Raw!$U$2</f>
        <v>2.5702093586438561</v>
      </c>
    </row>
    <row r="125" spans="1:10" x14ac:dyDescent="0.25">
      <c r="A125" s="31" t="s">
        <v>564</v>
      </c>
      <c r="B125" s="31" t="s">
        <v>201</v>
      </c>
      <c r="C125" s="31" t="s">
        <v>255</v>
      </c>
      <c r="D125" s="31" t="str">
        <f>IF(LEFT(WAT!$B125,1)="@","Away","Home")</f>
        <v>Away</v>
      </c>
      <c r="E125" s="39">
        <f>_xlfn.NUMBERVALUE(MID(LEFT(WAT!$C125,FIND("-",WAT!$C125)-1),FIND(" ",WAT!$C125)+1,LEN(WAT!$C125)))</f>
        <v>4</v>
      </c>
      <c r="F125" s="40">
        <f>_xlfn.NUMBERVALUE(RIGHT(WAT!$C125,LEN(WAT!$C125)-FIND("-",WAT!$C125)))</f>
        <v>10</v>
      </c>
      <c r="G125" s="40">
        <f t="shared" ref="G125:G128" si="20">E125+F125</f>
        <v>14</v>
      </c>
      <c r="H125" s="41" t="str">
        <f>LEFT(WAT!$C125,1)</f>
        <v>L</v>
      </c>
      <c r="I125" s="17" t="str">
        <f>VLOOKUP(IF(Table28[[#This Row],[At]]="Home",Table28[[#This Row],[Opponent]],RIGHT(Table28[[#This Row],[Opponent]],LEN(Table28[[#This Row],[Opponent]])-1)),CHOOSE({1,2},[1]StandingsRAW!$J$1:$J$22,[1]StandingsRAW!$L$1:$L$22),2,FALSE)</f>
        <v>STC</v>
      </c>
      <c r="J125" s="33">
        <f>VLOOKUP(Table28[[#This Row],[OPP]],Raw!$L$2:$S$23,7,FALSE)-Raw!$U$2</f>
        <v>2.5702093586438561</v>
      </c>
    </row>
    <row r="126" spans="1:10" x14ac:dyDescent="0.25">
      <c r="A126" t="s">
        <v>565</v>
      </c>
      <c r="B126" t="s">
        <v>250</v>
      </c>
      <c r="C126" t="s">
        <v>575</v>
      </c>
      <c r="D126" t="str">
        <f>IF(LEFT(WAT!$B126,1)="@","Away","Home")</f>
        <v>Home</v>
      </c>
      <c r="E126" s="1">
        <f>_xlfn.NUMBERVALUE(MID(LEFT(WAT!$C126,FIND("-",WAT!$C126)-1),FIND(" ",WAT!$C126)+1,LEN(WAT!$C126)))</f>
        <v>14</v>
      </c>
      <c r="F126" s="3">
        <f>_xlfn.NUMBERVALUE(RIGHT(WAT!$C126,LEN(WAT!$C126)-FIND("-",WAT!$C126)))</f>
        <v>19</v>
      </c>
      <c r="G126" s="3">
        <f t="shared" si="20"/>
        <v>33</v>
      </c>
      <c r="H126" s="84" t="str">
        <f>LEFT(WAT!$C126,1)</f>
        <v>L</v>
      </c>
      <c r="I126" s="17" t="str">
        <f>VLOOKUP(IF(Table28[[#This Row],[At]]="Home",Table28[[#This Row],[Opponent]],RIGHT(Table28[[#This Row],[Opponent]],LEN(Table28[[#This Row],[Opponent]])-1)),CHOOSE({1,2},[1]StandingsRAW!$J$1:$J$22,[1]StandingsRAW!$L$1:$L$22),2,FALSE)</f>
        <v>MAN</v>
      </c>
      <c r="J126" s="33">
        <f>VLOOKUP(Table28[[#This Row],[OPP]],Raw!$L$2:$S$23,7,FALSE)-Raw!$U$2</f>
        <v>0.73197406452620895</v>
      </c>
    </row>
    <row r="127" spans="1:10" x14ac:dyDescent="0.25">
      <c r="A127" t="s">
        <v>566</v>
      </c>
      <c r="B127" t="s">
        <v>250</v>
      </c>
      <c r="C127" t="s">
        <v>237</v>
      </c>
      <c r="D127" t="str">
        <f>IF(LEFT(WAT!$B127,1)="@","Away","Home")</f>
        <v>Home</v>
      </c>
      <c r="E127" s="1">
        <f>_xlfn.NUMBERVALUE(MID(LEFT(WAT!$C127,FIND("-",WAT!$C127)-1),FIND(" ",WAT!$C127)+1,LEN(WAT!$C127)))</f>
        <v>6</v>
      </c>
      <c r="F127" s="3">
        <f>_xlfn.NUMBERVALUE(RIGHT(WAT!$C127,LEN(WAT!$C127)-FIND("-",WAT!$C127)))</f>
        <v>11</v>
      </c>
      <c r="G127" s="3">
        <f t="shared" si="20"/>
        <v>17</v>
      </c>
      <c r="H127" s="84" t="str">
        <f>LEFT(WAT!$C127,1)</f>
        <v>L</v>
      </c>
      <c r="I127" s="17" t="str">
        <f>VLOOKUP(IF(Table28[[#This Row],[At]]="Home",Table28[[#This Row],[Opponent]],RIGHT(Table28[[#This Row],[Opponent]],LEN(Table28[[#This Row],[Opponent]])-1)),CHOOSE({1,2},[1]StandingsRAW!$J$1:$J$22,[1]StandingsRAW!$L$1:$L$22),2,FALSE)</f>
        <v>MAN</v>
      </c>
      <c r="J127" s="33">
        <f>VLOOKUP(Table28[[#This Row],[OPP]],Raw!$L$2:$S$23,7,FALSE)-Raw!$U$2</f>
        <v>0.73197406452620895</v>
      </c>
    </row>
    <row r="128" spans="1:10" x14ac:dyDescent="0.25">
      <c r="A128" t="s">
        <v>568</v>
      </c>
      <c r="B128" t="s">
        <v>194</v>
      </c>
      <c r="C128" t="s">
        <v>55</v>
      </c>
      <c r="D128" t="str">
        <f>IF(LEFT(WAT!$B128,1)="@","Away","Home")</f>
        <v>Away</v>
      </c>
      <c r="E128" s="1">
        <f>_xlfn.NUMBERVALUE(MID(LEFT(WAT!$C128,FIND("-",WAT!$C128)-1),FIND(" ",WAT!$C128)+1,LEN(WAT!$C128)))</f>
        <v>5</v>
      </c>
      <c r="F128" s="3">
        <f>_xlfn.NUMBERVALUE(RIGHT(WAT!$C128,LEN(WAT!$C128)-FIND("-",WAT!$C128)))</f>
        <v>7</v>
      </c>
      <c r="G128" s="3">
        <f t="shared" si="20"/>
        <v>12</v>
      </c>
      <c r="H128" s="84" t="str">
        <f>LEFT(WAT!$C128,1)</f>
        <v>L</v>
      </c>
      <c r="I128" s="17" t="str">
        <f>VLOOKUP(IF(Table28[[#This Row],[At]]="Home",Table28[[#This Row],[Opponent]],RIGHT(Table28[[#This Row],[Opponent]],LEN(Table28[[#This Row],[Opponent]])-1)),CHOOSE({1,2},[1]StandingsRAW!$J$1:$J$22,[1]StandingsRAW!$L$1:$L$22),2,FALSE)</f>
        <v>EC</v>
      </c>
      <c r="J128" s="33">
        <f>VLOOKUP(Table28[[#This Row],[OPP]],Raw!$L$2:$S$23,7,FALSE)-Raw!$U$2</f>
        <v>1.1143270057026795</v>
      </c>
    </row>
    <row r="129" spans="1:10" x14ac:dyDescent="0.25">
      <c r="A129" s="31" t="s">
        <v>589</v>
      </c>
      <c r="B129" s="31" t="s">
        <v>194</v>
      </c>
      <c r="C129" s="31" t="s">
        <v>591</v>
      </c>
      <c r="D129" s="31" t="str">
        <f>IF(LEFT(WAT!$B129,1)="@","Away","Home")</f>
        <v>Away</v>
      </c>
      <c r="E129" s="39">
        <f>_xlfn.NUMBERVALUE(MID(LEFT(WAT!$C129,FIND("-",WAT!$C129)-1),FIND(" ",WAT!$C129)+1,LEN(WAT!$C129)))</f>
        <v>2</v>
      </c>
      <c r="F129" s="40">
        <f>_xlfn.NUMBERVALUE(RIGHT(WAT!$C129,LEN(WAT!$C129)-FIND("-",WAT!$C129)))</f>
        <v>19</v>
      </c>
      <c r="G129" s="40">
        <f>E129+F129</f>
        <v>21</v>
      </c>
      <c r="H129" s="41" t="str">
        <f>LEFT(WAT!$C129,1)</f>
        <v>L</v>
      </c>
      <c r="I129" s="17" t="str">
        <f>VLOOKUP(IF(Table28[[#This Row],[At]]="Home",Table28[[#This Row],[Opponent]],RIGHT(Table28[[#This Row],[Opponent]],LEN(Table28[[#This Row],[Opponent]])-1)),CHOOSE({1,2},[1]StandingsRAW!$J$1:$J$22,[1]StandingsRAW!$L$1:$L$22),2,FALSE)</f>
        <v>EC</v>
      </c>
      <c r="J129" s="33">
        <f>VLOOKUP(Table28[[#This Row],[OPP]],Raw!$L$2:$S$23,7,FALSE)-Raw!$U$2</f>
        <v>1.1143270057026795</v>
      </c>
    </row>
    <row r="130" spans="1:10" x14ac:dyDescent="0.25">
      <c r="A130" s="31" t="s">
        <v>592</v>
      </c>
      <c r="B130" s="31" t="s">
        <v>231</v>
      </c>
      <c r="C130" s="31" t="s">
        <v>572</v>
      </c>
      <c r="D130" s="31" t="str">
        <f>IF(LEFT(WAT!$B130,1)="@","Away","Home")</f>
        <v>Home</v>
      </c>
      <c r="E130" s="39">
        <f>_xlfn.NUMBERVALUE(MID(LEFT(WAT!$C130,FIND("-",WAT!$C130)-1),FIND(" ",WAT!$C130)+1,LEN(WAT!$C130)))</f>
        <v>10</v>
      </c>
      <c r="F130" s="40">
        <f>_xlfn.NUMBERVALUE(RIGHT(WAT!$C130,LEN(WAT!$C130)-FIND("-",WAT!$C130)))</f>
        <v>14</v>
      </c>
      <c r="G130" s="40">
        <f>E130+F130</f>
        <v>24</v>
      </c>
      <c r="H130" s="41" t="str">
        <f>LEFT(WAT!$C130,1)</f>
        <v>L</v>
      </c>
      <c r="I130" s="17" t="str">
        <f>VLOOKUP(IF(Table28[[#This Row],[At]]="Home",Table28[[#This Row],[Opponent]],RIGHT(Table28[[#This Row],[Opponent]],LEN(Table28[[#This Row],[Opponent]])-1)),CHOOSE({1,2},[1]StandingsRAW!$J$1:$J$22,[1]StandingsRAW!$L$1:$L$22),2,FALSE)</f>
        <v>LAC</v>
      </c>
      <c r="J130" s="33">
        <f>VLOOKUP(Table28[[#This Row],[OPP]],Raw!$L$2:$S$23,7,FALSE)-Raw!$U$2</f>
        <v>-0.25332005312084993</v>
      </c>
    </row>
    <row r="131" spans="1:10" x14ac:dyDescent="0.25">
      <c r="A131" s="31" t="s">
        <v>595</v>
      </c>
      <c r="B131" s="31" t="s">
        <v>231</v>
      </c>
      <c r="C131" s="31" t="s">
        <v>128</v>
      </c>
      <c r="D131" s="31" t="str">
        <f>IF(LEFT(WAT!$B131,1)="@","Away","Home")</f>
        <v>Home</v>
      </c>
      <c r="E131" s="39">
        <f>_xlfn.NUMBERVALUE(MID(LEFT(WAT!$C131,FIND("-",WAT!$C131)-1),FIND(" ",WAT!$C131)+1,LEN(WAT!$C131)))</f>
        <v>6</v>
      </c>
      <c r="F131" s="40">
        <f>_xlfn.NUMBERVALUE(RIGHT(WAT!$C131,LEN(WAT!$C131)-FIND("-",WAT!$C131)))</f>
        <v>5</v>
      </c>
      <c r="G131" s="40">
        <f>E131+F131</f>
        <v>11</v>
      </c>
      <c r="H131" s="41" t="str">
        <f>LEFT(WAT!$C131,1)</f>
        <v>W</v>
      </c>
      <c r="I131" s="17" t="str">
        <f>VLOOKUP(IF(Table28[[#This Row],[At]]="Home",Table28[[#This Row],[Opponent]],RIGHT(Table28[[#This Row],[Opponent]],LEN(Table28[[#This Row],[Opponent]])-1)),CHOOSE({1,2},[1]StandingsRAW!$J$1:$J$22,[1]StandingsRAW!$L$1:$L$22),2,FALSE)</f>
        <v>LAC</v>
      </c>
      <c r="J131" s="33">
        <f>VLOOKUP(Table28[[#This Row],[OPP]],Raw!$L$2:$S$23,7,FALSE)-Raw!$U$2</f>
        <v>-0.25332005312084993</v>
      </c>
    </row>
    <row r="132" spans="1:10" x14ac:dyDescent="0.25">
      <c r="A132" s="31" t="s">
        <v>598</v>
      </c>
      <c r="B132" s="31" t="s">
        <v>201</v>
      </c>
      <c r="C132" s="31" t="s">
        <v>6</v>
      </c>
      <c r="D132" s="31" t="str">
        <f>IF(LEFT(WAT!$B132,1)="@","Away","Home")</f>
        <v>Away</v>
      </c>
      <c r="E132" s="39">
        <f>_xlfn.NUMBERVALUE(MID(LEFT(WAT!$C132,FIND("-",WAT!$C132)-1),FIND(" ",WAT!$C132)+1,LEN(WAT!$C132)))</f>
        <v>2</v>
      </c>
      <c r="F132" s="40">
        <f>_xlfn.NUMBERVALUE(RIGHT(WAT!$C132,LEN(WAT!$C132)-FIND("-",WAT!$C132)))</f>
        <v>6</v>
      </c>
      <c r="G132" s="40">
        <f>E132+F132</f>
        <v>8</v>
      </c>
      <c r="H132" s="41" t="str">
        <f>LEFT(WAT!$C132,1)</f>
        <v>L</v>
      </c>
      <c r="I132" s="17" t="str">
        <f>VLOOKUP(IF(Table28[[#This Row],[At]]="Home",Table28[[#This Row],[Opponent]],RIGHT(Table28[[#This Row],[Opponent]],LEN(Table28[[#This Row],[Opponent]])-1)),CHOOSE({1,2},[1]StandingsRAW!$J$1:$J$22,[1]StandingsRAW!$L$1:$L$22),2,FALSE)</f>
        <v>STC</v>
      </c>
      <c r="J132" s="33">
        <f>VLOOKUP(Table28[[#This Row],[OPP]],Raw!$L$2:$S$23,7,FALSE)-Raw!$U$2</f>
        <v>2.5702093586438561</v>
      </c>
    </row>
    <row r="133" spans="1:10" x14ac:dyDescent="0.25">
      <c r="A133" s="31" t="s">
        <v>599</v>
      </c>
      <c r="B133" s="31" t="s">
        <v>201</v>
      </c>
      <c r="C133" s="31" t="s">
        <v>212</v>
      </c>
      <c r="D133" s="31" t="str">
        <f>IF(LEFT(WAT!$B133,1)="@","Away","Home")</f>
        <v>Away</v>
      </c>
      <c r="E133" s="39">
        <f>_xlfn.NUMBERVALUE(MID(LEFT(WAT!$C133,FIND("-",WAT!$C133)-1),FIND(" ",WAT!$C133)+1,LEN(WAT!$C133)))</f>
        <v>6</v>
      </c>
      <c r="F133" s="40">
        <f>_xlfn.NUMBERVALUE(RIGHT(WAT!$C133,LEN(WAT!$C133)-FIND("-",WAT!$C133)))</f>
        <v>10</v>
      </c>
      <c r="G133" s="40">
        <f>E133+F133</f>
        <v>16</v>
      </c>
      <c r="H133" s="41" t="str">
        <f>LEFT(WAT!$C133,1)</f>
        <v>L</v>
      </c>
      <c r="I133" s="17" t="str">
        <f>VLOOKUP(IF(Table28[[#This Row],[At]]="Home",Table28[[#This Row],[Opponent]],RIGHT(Table28[[#This Row],[Opponent]],LEN(Table28[[#This Row],[Opponent]])-1)),CHOOSE({1,2},[1]StandingsRAW!$J$1:$J$22,[1]StandingsRAW!$L$1:$L$22),2,FALSE)</f>
        <v>STC</v>
      </c>
      <c r="J133" s="33">
        <f>VLOOKUP(Table28[[#This Row],[OPP]],Raw!$L$2:$S$23,7,FALSE)-Raw!$U$2</f>
        <v>2.5702093586438561</v>
      </c>
    </row>
    <row r="134" spans="1:10" x14ac:dyDescent="0.25">
      <c r="A134" s="31" t="s">
        <v>600</v>
      </c>
      <c r="B134" s="31" t="s">
        <v>245</v>
      </c>
      <c r="C134" s="31" t="s">
        <v>301</v>
      </c>
      <c r="D134" s="31" t="str">
        <f>IF(LEFT(WAT!$B134,1)="@","Away","Home")</f>
        <v>Home</v>
      </c>
      <c r="E134" s="39">
        <f>_xlfn.NUMBERVALUE(MID(LEFT(WAT!$C134,FIND("-",WAT!$C134)-1),FIND(" ",WAT!$C134)+1,LEN(WAT!$C134)))</f>
        <v>3</v>
      </c>
      <c r="F134" s="40">
        <f>_xlfn.NUMBERVALUE(RIGHT(WAT!$C134,LEN(WAT!$C134)-FIND("-",WAT!$C134)))</f>
        <v>9</v>
      </c>
      <c r="G134" s="40">
        <f t="shared" ref="G134:G137" si="21">E134+F134</f>
        <v>12</v>
      </c>
      <c r="H134" s="41" t="str">
        <f>LEFT(WAT!$C134,1)</f>
        <v>L</v>
      </c>
      <c r="I134" s="17" t="str">
        <f>VLOOKUP(IF(Table28[[#This Row],[At]]="Home",Table28[[#This Row],[Opponent]],RIGHT(Table28[[#This Row],[Opponent]],LEN(Table28[[#This Row],[Opponent]])-1)),CHOOSE({1,2},[1]StandingsRAW!$J$1:$J$22,[1]StandingsRAW!$L$1:$L$22),2,FALSE)</f>
        <v>STC</v>
      </c>
      <c r="J134" s="33">
        <f>VLOOKUP(Table28[[#This Row],[OPP]],Raw!$L$2:$S$23,7,FALSE)-Raw!$U$2</f>
        <v>2.5702093586438561</v>
      </c>
    </row>
    <row r="135" spans="1:10" x14ac:dyDescent="0.25">
      <c r="A135" t="s">
        <v>601</v>
      </c>
      <c r="B135" t="s">
        <v>245</v>
      </c>
      <c r="C135" t="s">
        <v>381</v>
      </c>
      <c r="D135" t="str">
        <f>IF(LEFT(WAT!$B135,1)="@","Away","Home")</f>
        <v>Home</v>
      </c>
      <c r="E135" s="1">
        <f>_xlfn.NUMBERVALUE(MID(LEFT(WAT!$C135,FIND("-",WAT!$C135)-1),FIND(" ",WAT!$C135)+1,LEN(WAT!$C135)))</f>
        <v>8</v>
      </c>
      <c r="F135" s="3">
        <f>_xlfn.NUMBERVALUE(RIGHT(WAT!$C135,LEN(WAT!$C135)-FIND("-",WAT!$C135)))</f>
        <v>13</v>
      </c>
      <c r="G135" s="3">
        <f t="shared" si="21"/>
        <v>21</v>
      </c>
      <c r="H135" s="84" t="str">
        <f>LEFT(WAT!$C135,1)</f>
        <v>L</v>
      </c>
      <c r="I135" s="17" t="str">
        <f>VLOOKUP(IF(Table28[[#This Row],[At]]="Home",Table28[[#This Row],[Opponent]],RIGHT(Table28[[#This Row],[Opponent]],LEN(Table28[[#This Row],[Opponent]])-1)),CHOOSE({1,2},[1]StandingsRAW!$J$1:$J$22,[1]StandingsRAW!$L$1:$L$22),2,FALSE)</f>
        <v>STC</v>
      </c>
      <c r="J135" s="33">
        <f>VLOOKUP(Table28[[#This Row],[OPP]],Raw!$L$2:$S$23,7,FALSE)-Raw!$U$2</f>
        <v>2.5702093586438561</v>
      </c>
    </row>
    <row r="136" spans="1:10" x14ac:dyDescent="0.25">
      <c r="A136" t="s">
        <v>602</v>
      </c>
      <c r="B136" t="s">
        <v>263</v>
      </c>
      <c r="C136" t="s">
        <v>606</v>
      </c>
      <c r="D136" t="str">
        <f>IF(LEFT(WAT!$B136,1)="@","Away","Home")</f>
        <v>Home</v>
      </c>
      <c r="E136" s="1">
        <f>_xlfn.NUMBERVALUE(MID(LEFT(WAT!$C136,FIND("-",WAT!$C136)-1),FIND(" ",WAT!$C136)+1,LEN(WAT!$C136)))</f>
        <v>0</v>
      </c>
      <c r="F136" s="3">
        <f>_xlfn.NUMBERVALUE(RIGHT(WAT!$C136,LEN(WAT!$C136)-FIND("-",WAT!$C136)))</f>
        <v>18</v>
      </c>
      <c r="G136" s="3">
        <f t="shared" si="21"/>
        <v>18</v>
      </c>
      <c r="H136" s="84" t="str">
        <f>LEFT(WAT!$C136,1)</f>
        <v>L</v>
      </c>
      <c r="I136" s="17" t="str">
        <f>VLOOKUP(IF(Table28[[#This Row],[At]]="Home",Table28[[#This Row],[Opponent]],RIGHT(Table28[[#This Row],[Opponent]],LEN(Table28[[#This Row],[Opponent]])-1)),CHOOSE({1,2},[1]StandingsRAW!$J$1:$J$22,[1]StandingsRAW!$L$1:$L$22),2,FALSE)</f>
        <v>ROC</v>
      </c>
      <c r="J136" s="33">
        <f>VLOOKUP(Table28[[#This Row],[OPP]],Raw!$L$2:$S$23,7,FALSE)-Raw!$U$2</f>
        <v>-0.20920240606202639</v>
      </c>
    </row>
    <row r="137" spans="1:10" x14ac:dyDescent="0.25">
      <c r="A137" t="s">
        <v>603</v>
      </c>
      <c r="B137" t="s">
        <v>263</v>
      </c>
      <c r="C137" t="s">
        <v>237</v>
      </c>
      <c r="D137" t="str">
        <f>IF(LEFT(WAT!$B137,1)="@","Away","Home")</f>
        <v>Home</v>
      </c>
      <c r="E137" s="1">
        <f>_xlfn.NUMBERVALUE(MID(LEFT(WAT!$C137,FIND("-",WAT!$C137)-1),FIND(" ",WAT!$C137)+1,LEN(WAT!$C137)))</f>
        <v>6</v>
      </c>
      <c r="F137" s="3">
        <f>_xlfn.NUMBERVALUE(RIGHT(WAT!$C137,LEN(WAT!$C137)-FIND("-",WAT!$C137)))</f>
        <v>11</v>
      </c>
      <c r="G137" s="3">
        <f t="shared" si="21"/>
        <v>17</v>
      </c>
      <c r="H137" s="84" t="str">
        <f>LEFT(WAT!$C137,1)</f>
        <v>L</v>
      </c>
      <c r="I137" s="17" t="str">
        <f>VLOOKUP(IF(Table28[[#This Row],[At]]="Home",Table28[[#This Row],[Opponent]],RIGHT(Table28[[#This Row],[Opponent]],LEN(Table28[[#This Row],[Opponent]])-1)),CHOOSE({1,2},[1]StandingsRAW!$J$1:$J$22,[1]StandingsRAW!$L$1:$L$22),2,FALSE)</f>
        <v>ROC</v>
      </c>
      <c r="J137" s="33">
        <f>VLOOKUP(Table28[[#This Row],[OPP]],Raw!$L$2:$S$23,7,FALSE)-Raw!$U$2</f>
        <v>-0.20920240606202639</v>
      </c>
    </row>
    <row r="138" spans="1:10" x14ac:dyDescent="0.25">
      <c r="A138" s="94" t="s">
        <v>608</v>
      </c>
      <c r="B138" s="94" t="s">
        <v>241</v>
      </c>
      <c r="C138" s="94" t="s">
        <v>33</v>
      </c>
      <c r="D138" s="94" t="str">
        <f>IF(LEFT(WAT!$B138,1)="@","Away","Home")</f>
        <v>Home</v>
      </c>
      <c r="E138" s="96">
        <f>_xlfn.NUMBERVALUE(MID(LEFT(WAT!$C138,FIND("-",WAT!$C138)-1),FIND(" ",WAT!$C138)+1,LEN(WAT!$C138)))</f>
        <v>7</v>
      </c>
      <c r="F138" s="98">
        <f>_xlfn.NUMBERVALUE(RIGHT(WAT!$C138,LEN(WAT!$C138)-FIND("-",WAT!$C138)))</f>
        <v>4</v>
      </c>
      <c r="G138" s="98">
        <f t="shared" ref="G138:G139" si="22">E138+F138</f>
        <v>11</v>
      </c>
      <c r="H138" s="100" t="str">
        <f>LEFT(WAT!$C138,1)</f>
        <v>W</v>
      </c>
      <c r="I138" s="17" t="str">
        <f>VLOOKUP(IF(Table28[[#This Row],[At]]="Home",Table28[[#This Row],[Opponent]],RIGHT(Table28[[#This Row],[Opponent]],LEN(Table28[[#This Row],[Opponent]])-1)),CHOOSE({1,2},[1]StandingsRAW!$J$1:$J$22,[1]StandingsRAW!$L$1:$L$22),2,FALSE)</f>
        <v>MIN</v>
      </c>
      <c r="J138" s="33">
        <f>VLOOKUP(Table28[[#This Row],[OPP]],Raw!$L$2:$S$23,7,FALSE)-Raw!$U$2</f>
        <v>-2.6422089420097388</v>
      </c>
    </row>
    <row r="139" spans="1:10" x14ac:dyDescent="0.25">
      <c r="A139" s="95" t="s">
        <v>609</v>
      </c>
      <c r="B139" s="95" t="s">
        <v>241</v>
      </c>
      <c r="C139" s="95" t="s">
        <v>204</v>
      </c>
      <c r="D139" s="95" t="str">
        <f>IF(LEFT(WAT!$B139,1)="@","Away","Home")</f>
        <v>Home</v>
      </c>
      <c r="E139" s="97">
        <f>_xlfn.NUMBERVALUE(MID(LEFT(WAT!$C139,FIND("-",WAT!$C139)-1),FIND(" ",WAT!$C139)+1,LEN(WAT!$C139)))</f>
        <v>6</v>
      </c>
      <c r="F139" s="99">
        <f>_xlfn.NUMBERVALUE(RIGHT(WAT!$C139,LEN(WAT!$C139)-FIND("-",WAT!$C139)))</f>
        <v>15</v>
      </c>
      <c r="G139" s="99">
        <f t="shared" si="22"/>
        <v>21</v>
      </c>
      <c r="H139" s="101" t="str">
        <f>LEFT(WAT!$C139,1)</f>
        <v>L</v>
      </c>
      <c r="I139" s="17" t="str">
        <f>VLOOKUP(IF(Table28[[#This Row],[At]]="Home",Table28[[#This Row],[Opponent]],RIGHT(Table28[[#This Row],[Opponent]],LEN(Table28[[#This Row],[Opponent]])-1)),CHOOSE({1,2},[1]StandingsRAW!$J$1:$J$22,[1]StandingsRAW!$L$1:$L$22),2,FALSE)</f>
        <v>MIN</v>
      </c>
      <c r="J139" s="33">
        <f>VLOOKUP(Table28[[#This Row],[OPP]],Raw!$L$2:$S$23,7,FALSE)-Raw!$U$2</f>
        <v>-2.6422089420097388</v>
      </c>
    </row>
    <row r="140" spans="1:10" x14ac:dyDescent="0.25">
      <c r="E140" s="1"/>
      <c r="F140" s="3"/>
      <c r="G140" s="3"/>
      <c r="H140" s="3"/>
    </row>
    <row r="141" spans="1:10" x14ac:dyDescent="0.25">
      <c r="E141" s="1"/>
      <c r="F141" s="3"/>
      <c r="G141" s="3"/>
      <c r="H141" s="3"/>
    </row>
    <row r="142" spans="1:10" x14ac:dyDescent="0.25">
      <c r="E142" s="1"/>
      <c r="F142" s="3"/>
      <c r="G142" s="3"/>
      <c r="H142" s="3"/>
    </row>
  </sheetData>
  <conditionalFormatting sqref="L17">
    <cfRule type="cellIs" dxfId="19" priority="4" operator="greaterThan">
      <formula>100</formula>
    </cfRule>
    <cfRule type="cellIs" dxfId="18" priority="5" operator="lessThan">
      <formula>100</formula>
    </cfRule>
  </conditionalFormatting>
  <conditionalFormatting sqref="L18">
    <cfRule type="cellIs" dxfId="17" priority="2" operator="greaterThan">
      <formula>100</formula>
    </cfRule>
    <cfRule type="cellIs" dxfId="16" priority="3" operator="lessThan">
      <formula>100</formula>
    </cfRule>
  </conditionalFormatting>
  <conditionalFormatting sqref="L17:L18">
    <cfRule type="cellIs" dxfId="15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CF5F-1CB4-499F-8CB9-D5AE71B19384}">
  <sheetPr codeName="Sheet22"/>
  <dimension ref="A1:P148"/>
  <sheetViews>
    <sheetView topLeftCell="A72" workbookViewId="0">
      <selection activeCell="A77" sqref="A77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437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124</v>
      </c>
      <c r="C3" t="s">
        <v>270</v>
      </c>
      <c r="E3" s="1" t="str">
        <f>IF(LEFT(B3,1)="@","Away","Home")</f>
        <v>Away</v>
      </c>
      <c r="F3" s="3">
        <f>_xlfn.NUMBERVALUE(MID(LEFT(C3,FIND("-",C3)-1),FIND(" ",C3)+1,LEN(C3)))</f>
        <v>4</v>
      </c>
      <c r="G3" s="3">
        <f>_xlfn.NUMBERVALUE(RIGHT(C3,LEN(C3)-FIND("-",C3)))</f>
        <v>3</v>
      </c>
      <c r="H3" s="3">
        <f t="shared" ref="H3:H66" si="0">F3+G3</f>
        <v>7</v>
      </c>
      <c r="I3" s="3" t="str">
        <f>LEFT(C3,1)</f>
        <v>W</v>
      </c>
      <c r="K3" s="4" t="s">
        <v>139</v>
      </c>
      <c r="L3" s="5">
        <f>(SUMIF($E$3:$E$74,$K3,F$3:F$74) + SUMIF(Table21[At],$K3,Table21[Scored]))/(COUNTIF($E$3:$E$74,$K3) + COUNTIF(Table21[At],$K3))</f>
        <v>5.9444444444444446</v>
      </c>
      <c r="M3" s="5">
        <f>(SUMIF($E$3:$E$74,$K3,G$3:G$74) + SUMIF(Table21[At],$K3,Table21[Allowed]))/(COUNTIF($E$3:$E$74,$K3) + COUNTIF(Table21[At],$K3))</f>
        <v>5.166666666666667</v>
      </c>
      <c r="N3" s="5">
        <f>L3+M3</f>
        <v>11.111111111111111</v>
      </c>
      <c r="O3" s="5">
        <f>(COUNTIFS($E$3:$E$74,$K3,$I$3:$I$74,O$2) + COUNTIFS(Table21[At],$K3,Table21[Result],O$2))/(COUNTIF($E$3:$E$74,$K3) + COUNTIF(Table21[At],$K3))</f>
        <v>0.63888888888888884</v>
      </c>
      <c r="P3" s="5">
        <f>(COUNTIFS($E$3:$E$74,$K3,$I$3:$I$74,P$2) + COUNTIFS(Table21[At],$K3,Table21[Result],P$2))/(COUNTIF($E$3:$E$74,$K3) + COUNTIF(Table21[At],$K3))</f>
        <v>0.3611111111111111</v>
      </c>
    </row>
    <row r="4" spans="1:16" x14ac:dyDescent="0.25">
      <c r="A4" t="s">
        <v>7</v>
      </c>
      <c r="B4" t="s">
        <v>103</v>
      </c>
      <c r="C4" t="s">
        <v>438</v>
      </c>
      <c r="E4" s="1" t="str">
        <f t="shared" ref="E4:E67" si="1">IF(LEFT(B4,1)="@","Away","Home")</f>
        <v>Home</v>
      </c>
      <c r="F4" s="3">
        <f t="shared" ref="F4:F67" si="2">_xlfn.NUMBERVALUE(MID(LEFT(C4,FIND("-",C4)-1),FIND(" ",C4)+1,LEN(C4)))</f>
        <v>16</v>
      </c>
      <c r="G4" s="3">
        <f t="shared" ref="G4:G67" si="3">_xlfn.NUMBERVALUE(RIGHT(C4,LEN(C4)-FIND("-",C4)))</f>
        <v>5</v>
      </c>
      <c r="H4" s="3">
        <f t="shared" si="0"/>
        <v>21</v>
      </c>
      <c r="I4" s="3" t="str">
        <f t="shared" ref="I4:I67" si="4">LEFT(C4,1)</f>
        <v>W</v>
      </c>
      <c r="K4" s="4" t="s">
        <v>140</v>
      </c>
      <c r="L4" s="5">
        <f>(SUMIF($E$3:$E$74,$K4,F$3:F$74) + SUMIF(Table21[At],$K4,Table21[Scored]))/(COUNTIF($E$3:$E$74,$K4) + COUNTIF(Table21[At],$K4))</f>
        <v>5.2222222222222223</v>
      </c>
      <c r="M4" s="5">
        <f>(SUMIF($E$3:$E$74,$K4,G$3:G$74) + SUMIF(Table21[At],$K4,Table21[Allowed]))/(COUNTIF($E$3:$E$74,$K4) + COUNTIF(Table21[At],$K4))</f>
        <v>5.583333333333333</v>
      </c>
      <c r="N4" s="5">
        <f>L4+M4</f>
        <v>10.805555555555555</v>
      </c>
      <c r="O4" s="5">
        <f>(COUNTIFS($E$3:$E$74,$K4,$I$3:$I$74,O$2) + COUNTIFS(Table21[At],$K4,Table21[Result],O$2))/(COUNTIF($E$3:$E$74,$K4) + COUNTIF(Table21[At],$K4))</f>
        <v>0.5</v>
      </c>
      <c r="P4" s="5">
        <f>(COUNTIFS($E$3:$E$74,$K4,$I$3:$I$74,P$2) + COUNTIFS(Table21[At],$K4,Table21[Result],P$2))/(COUNTIF($E$3:$E$74,$K4) + COUNTIF(Table21[At],$K4))</f>
        <v>0.5</v>
      </c>
    </row>
    <row r="5" spans="1:16" x14ac:dyDescent="0.25">
      <c r="A5" t="s">
        <v>9</v>
      </c>
      <c r="B5" t="s">
        <v>321</v>
      </c>
      <c r="C5" t="s">
        <v>85</v>
      </c>
      <c r="E5" s="1" t="str">
        <f t="shared" si="1"/>
        <v>Home</v>
      </c>
      <c r="F5" s="3">
        <f t="shared" si="2"/>
        <v>5</v>
      </c>
      <c r="G5" s="3">
        <f t="shared" si="3"/>
        <v>3</v>
      </c>
      <c r="H5" s="3">
        <f t="shared" si="0"/>
        <v>8</v>
      </c>
      <c r="I5" s="3" t="str">
        <f t="shared" si="4"/>
        <v>W</v>
      </c>
    </row>
    <row r="6" spans="1:16" x14ac:dyDescent="0.25">
      <c r="A6" t="s">
        <v>12</v>
      </c>
      <c r="B6" t="s">
        <v>321</v>
      </c>
      <c r="C6" t="s">
        <v>48</v>
      </c>
      <c r="E6" s="1" t="str">
        <f t="shared" si="1"/>
        <v>Home</v>
      </c>
      <c r="F6" s="3">
        <f t="shared" si="2"/>
        <v>4</v>
      </c>
      <c r="G6" s="3">
        <f t="shared" si="3"/>
        <v>5</v>
      </c>
      <c r="H6" s="3">
        <f t="shared" si="0"/>
        <v>9</v>
      </c>
      <c r="I6" s="3" t="str">
        <f t="shared" si="4"/>
        <v>L</v>
      </c>
      <c r="K6" s="4" t="s">
        <v>144</v>
      </c>
      <c r="L6" s="5">
        <f>N3/N4</f>
        <v>1.0282776349614395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315</v>
      </c>
      <c r="C7" t="s">
        <v>347</v>
      </c>
      <c r="E7" s="1" t="str">
        <f t="shared" si="1"/>
        <v>Away</v>
      </c>
      <c r="F7" s="3">
        <f t="shared" si="2"/>
        <v>9</v>
      </c>
      <c r="G7" s="3">
        <f t="shared" si="3"/>
        <v>5</v>
      </c>
      <c r="H7" s="3">
        <f t="shared" si="0"/>
        <v>14</v>
      </c>
      <c r="I7" s="3" t="str">
        <f t="shared" si="4"/>
        <v>W</v>
      </c>
      <c r="K7" s="7" t="s">
        <v>143</v>
      </c>
      <c r="L7" s="5">
        <f>(18.5 - O3)/(18.5-P4)</f>
        <v>0.99228395061728392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315</v>
      </c>
      <c r="C8" t="s">
        <v>316</v>
      </c>
      <c r="E8" s="1" t="str">
        <f t="shared" si="1"/>
        <v>Away</v>
      </c>
      <c r="F8" s="3">
        <f t="shared" si="2"/>
        <v>9</v>
      </c>
      <c r="G8" s="3">
        <f t="shared" si="3"/>
        <v>6</v>
      </c>
      <c r="H8" s="3">
        <f t="shared" si="0"/>
        <v>15</v>
      </c>
      <c r="I8" s="3" t="str">
        <f t="shared" si="4"/>
        <v>W</v>
      </c>
      <c r="K8" s="7" t="s">
        <v>146</v>
      </c>
      <c r="L8" s="5">
        <f>L6/L7</f>
        <v>1.0362735730249033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124</v>
      </c>
      <c r="C9" t="s">
        <v>298</v>
      </c>
      <c r="E9" s="1" t="str">
        <f t="shared" si="1"/>
        <v>Away</v>
      </c>
      <c r="F9" s="3">
        <f t="shared" si="2"/>
        <v>1</v>
      </c>
      <c r="G9" s="3">
        <f t="shared" si="3"/>
        <v>2</v>
      </c>
      <c r="H9" s="3">
        <f t="shared" si="0"/>
        <v>3</v>
      </c>
      <c r="I9" s="3" t="str">
        <f t="shared" si="4"/>
        <v>L</v>
      </c>
      <c r="K9" s="7" t="s">
        <v>145</v>
      </c>
      <c r="L9" s="5">
        <f>(P7)/(P7-1+L8)</f>
        <v>0.99698631201718457</v>
      </c>
      <c r="O9" s="4"/>
      <c r="P9" s="1"/>
    </row>
    <row r="10" spans="1:16" x14ac:dyDescent="0.25">
      <c r="A10" t="s">
        <v>193</v>
      </c>
      <c r="B10" t="s">
        <v>124</v>
      </c>
      <c r="C10" t="s">
        <v>226</v>
      </c>
      <c r="E10" s="1" t="str">
        <f t="shared" si="1"/>
        <v>Away</v>
      </c>
      <c r="F10" s="3">
        <f t="shared" si="2"/>
        <v>3</v>
      </c>
      <c r="G10" s="3">
        <f t="shared" si="3"/>
        <v>2</v>
      </c>
      <c r="H10" s="3">
        <f t="shared" si="0"/>
        <v>5</v>
      </c>
      <c r="I10" s="3" t="str">
        <f t="shared" si="4"/>
        <v>W</v>
      </c>
      <c r="K10" s="4" t="s">
        <v>149</v>
      </c>
      <c r="L10" s="5">
        <f>L8*L9</f>
        <v>1.0331505678109689</v>
      </c>
      <c r="O10" s="4"/>
      <c r="P10" s="1"/>
    </row>
    <row r="11" spans="1:16" x14ac:dyDescent="0.25">
      <c r="A11" t="s">
        <v>196</v>
      </c>
      <c r="B11" t="s">
        <v>115</v>
      </c>
      <c r="C11" t="s">
        <v>300</v>
      </c>
      <c r="E11" s="1" t="str">
        <f t="shared" si="1"/>
        <v>Away</v>
      </c>
      <c r="F11" s="3">
        <f t="shared" si="2"/>
        <v>9</v>
      </c>
      <c r="G11" s="3">
        <f t="shared" si="3"/>
        <v>4</v>
      </c>
      <c r="H11" s="3">
        <f t="shared" si="0"/>
        <v>13</v>
      </c>
      <c r="I11" s="3" t="str">
        <f t="shared" si="4"/>
        <v>W</v>
      </c>
      <c r="K11" s="4" t="s">
        <v>148</v>
      </c>
      <c r="L11" s="5">
        <f>1 - ((L10-1)/(P7-1))</f>
        <v>0.99698631201718468</v>
      </c>
      <c r="O11" s="4"/>
      <c r="P11" s="1"/>
    </row>
    <row r="12" spans="1:16" x14ac:dyDescent="0.25">
      <c r="A12" t="s">
        <v>25</v>
      </c>
      <c r="B12" t="s">
        <v>333</v>
      </c>
      <c r="C12" t="s">
        <v>301</v>
      </c>
      <c r="E12" s="1" t="str">
        <f t="shared" si="1"/>
        <v>Home</v>
      </c>
      <c r="F12" s="3">
        <f t="shared" si="2"/>
        <v>3</v>
      </c>
      <c r="G12" s="3">
        <f t="shared" si="3"/>
        <v>9</v>
      </c>
      <c r="H12" s="3">
        <f t="shared" si="0"/>
        <v>12</v>
      </c>
      <c r="I12" s="3" t="str">
        <f t="shared" si="4"/>
        <v>L</v>
      </c>
      <c r="K12" s="4" t="s">
        <v>150</v>
      </c>
      <c r="L12" s="5">
        <f>(($L4/$L11)+($L3/$L10)) * (1 + (L13-1)/($P7-1)) / $P8</f>
        <v>0.96117387200107751</v>
      </c>
      <c r="M12" s="5">
        <f t="shared" ref="M12:O12" si="5">(($L4/$L11)+($L3/$L10)) * (1 + (M13-1)/($P7-1)) / $P8</f>
        <v>0.95451067052675764</v>
      </c>
      <c r="N12" s="5">
        <f t="shared" si="5"/>
        <v>0.95446160383141898</v>
      </c>
      <c r="O12" s="8">
        <f t="shared" si="5"/>
        <v>0.95446124251252451</v>
      </c>
      <c r="P12" s="5"/>
    </row>
    <row r="13" spans="1:16" x14ac:dyDescent="0.25">
      <c r="A13" t="s">
        <v>27</v>
      </c>
      <c r="B13" t="s">
        <v>333</v>
      </c>
      <c r="C13" t="s">
        <v>290</v>
      </c>
      <c r="E13" s="1" t="str">
        <f t="shared" si="1"/>
        <v>Home</v>
      </c>
      <c r="F13" s="3">
        <f t="shared" si="2"/>
        <v>5</v>
      </c>
      <c r="G13" s="3">
        <f t="shared" si="3"/>
        <v>0</v>
      </c>
      <c r="H13" s="3">
        <f t="shared" si="0"/>
        <v>5</v>
      </c>
      <c r="I13" s="3" t="str">
        <f t="shared" si="4"/>
        <v>W</v>
      </c>
      <c r="K13" s="4" t="s">
        <v>182</v>
      </c>
      <c r="L13" s="5">
        <v>1</v>
      </c>
      <c r="M13" s="5">
        <f>(($M4/$L11)+($M3/$L10)) * (1 + (L12-1)/($P7-1)) / $P8</f>
        <v>0.92374406093153028</v>
      </c>
      <c r="N13" s="5">
        <f>(($M4/$L11)+($M3/$L10)) * (1 + (M12-1)/($P7-1)) / $P8</f>
        <v>0.92318252501753328</v>
      </c>
      <c r="O13" s="5">
        <f>(($M4/$L11)+($M3/$L10)) * (1 + (N12-1)/($P7-1)) / $P8</f>
        <v>0.92317838996147661</v>
      </c>
      <c r="P13" s="8">
        <f>(($M4/$L11)+($M3/$L10)) * (1 + (O12-1)/($P7-1)) / $P8</f>
        <v>0.92317835951161897</v>
      </c>
    </row>
    <row r="14" spans="1:16" x14ac:dyDescent="0.25">
      <c r="A14" t="s">
        <v>29</v>
      </c>
      <c r="B14" t="s">
        <v>69</v>
      </c>
      <c r="C14" t="s">
        <v>269</v>
      </c>
      <c r="E14" s="1" t="str">
        <f t="shared" si="1"/>
        <v>Home</v>
      </c>
      <c r="F14" s="3">
        <f t="shared" si="2"/>
        <v>2</v>
      </c>
      <c r="G14" s="3">
        <f t="shared" si="3"/>
        <v>3</v>
      </c>
      <c r="H14" s="3">
        <f t="shared" si="0"/>
        <v>5</v>
      </c>
      <c r="I14" s="3" t="str">
        <f t="shared" si="4"/>
        <v>L</v>
      </c>
      <c r="K14" s="4" t="s">
        <v>183</v>
      </c>
      <c r="L14" s="5">
        <f xml:space="preserve"> (L10+L11) / (2 * (1 + ((P13-1)/(P7-1))))</f>
        <v>1.022207316548301</v>
      </c>
      <c r="N14" s="5"/>
    </row>
    <row r="15" spans="1:16" x14ac:dyDescent="0.25">
      <c r="A15" t="s">
        <v>32</v>
      </c>
      <c r="B15" t="s">
        <v>69</v>
      </c>
      <c r="C15" t="s">
        <v>116</v>
      </c>
      <c r="E15" s="1" t="str">
        <f t="shared" si="1"/>
        <v>Home</v>
      </c>
      <c r="F15" s="3">
        <f t="shared" si="2"/>
        <v>9</v>
      </c>
      <c r="G15" s="3">
        <f t="shared" si="3"/>
        <v>3</v>
      </c>
      <c r="H15" s="3">
        <f t="shared" si="0"/>
        <v>12</v>
      </c>
      <c r="I15" s="3" t="str">
        <f t="shared" si="4"/>
        <v>W</v>
      </c>
      <c r="K15" s="4" t="s">
        <v>184</v>
      </c>
      <c r="L15" s="5">
        <f xml:space="preserve"> (L10+L11) / (2 * (1 + ((O12-1)/(P7-1))))</f>
        <v>1.0192881778359242</v>
      </c>
    </row>
    <row r="16" spans="1:16" ht="15.75" thickBot="1" x14ac:dyDescent="0.3">
      <c r="A16" t="s">
        <v>34</v>
      </c>
      <c r="B16" t="s">
        <v>315</v>
      </c>
      <c r="C16" t="s">
        <v>36</v>
      </c>
      <c r="E16" s="1" t="str">
        <f t="shared" si="1"/>
        <v>Away</v>
      </c>
      <c r="F16" s="3">
        <f t="shared" si="2"/>
        <v>1</v>
      </c>
      <c r="G16" s="3">
        <f t="shared" si="3"/>
        <v>5</v>
      </c>
      <c r="H16" s="3">
        <f t="shared" si="0"/>
        <v>6</v>
      </c>
      <c r="I16" s="3" t="str">
        <f t="shared" si="4"/>
        <v>L</v>
      </c>
    </row>
    <row r="17" spans="1:14" x14ac:dyDescent="0.25">
      <c r="A17" t="s">
        <v>37</v>
      </c>
      <c r="B17" t="s">
        <v>315</v>
      </c>
      <c r="C17" t="s">
        <v>240</v>
      </c>
      <c r="E17" s="1" t="str">
        <f t="shared" si="1"/>
        <v>Away</v>
      </c>
      <c r="F17" s="3">
        <f t="shared" si="2"/>
        <v>1</v>
      </c>
      <c r="G17" s="3">
        <f t="shared" si="3"/>
        <v>3</v>
      </c>
      <c r="H17" s="3">
        <f t="shared" si="0"/>
        <v>4</v>
      </c>
      <c r="I17" s="3" t="str">
        <f t="shared" si="4"/>
        <v>L</v>
      </c>
      <c r="K17" s="9" t="s">
        <v>185</v>
      </c>
      <c r="L17" s="10">
        <f>L14*100</f>
        <v>102.2207316548301</v>
      </c>
    </row>
    <row r="18" spans="1:14" ht="15.75" thickBot="1" x14ac:dyDescent="0.3">
      <c r="A18" t="s">
        <v>39</v>
      </c>
      <c r="B18" t="s">
        <v>321</v>
      </c>
      <c r="C18" t="s">
        <v>335</v>
      </c>
      <c r="E18" s="1" t="str">
        <f t="shared" si="1"/>
        <v>Home</v>
      </c>
      <c r="F18" s="3">
        <f t="shared" si="2"/>
        <v>6</v>
      </c>
      <c r="G18" s="3">
        <f t="shared" si="3"/>
        <v>4</v>
      </c>
      <c r="H18" s="3">
        <f t="shared" si="0"/>
        <v>10</v>
      </c>
      <c r="I18" s="3" t="str">
        <f t="shared" si="4"/>
        <v>W</v>
      </c>
      <c r="K18" s="11" t="s">
        <v>186</v>
      </c>
      <c r="L18" s="12">
        <f>L15*100</f>
        <v>101.92881778359242</v>
      </c>
    </row>
    <row r="19" spans="1:14" x14ac:dyDescent="0.25">
      <c r="A19" t="s">
        <v>41</v>
      </c>
      <c r="B19" t="s">
        <v>321</v>
      </c>
      <c r="C19" t="s">
        <v>266</v>
      </c>
      <c r="E19" s="1" t="str">
        <f t="shared" si="1"/>
        <v>Home</v>
      </c>
      <c r="F19" s="3">
        <f t="shared" si="2"/>
        <v>8</v>
      </c>
      <c r="G19" s="3">
        <f t="shared" si="3"/>
        <v>10</v>
      </c>
      <c r="H19" s="3">
        <f t="shared" si="0"/>
        <v>18</v>
      </c>
      <c r="I19" s="3" t="str">
        <f t="shared" si="4"/>
        <v>L</v>
      </c>
    </row>
    <row r="20" spans="1:14" x14ac:dyDescent="0.25">
      <c r="A20" t="s">
        <v>43</v>
      </c>
      <c r="B20" t="s">
        <v>20</v>
      </c>
      <c r="C20" t="s">
        <v>351</v>
      </c>
      <c r="E20" s="1" t="str">
        <f t="shared" si="1"/>
        <v>Home</v>
      </c>
      <c r="F20" s="3">
        <f t="shared" si="2"/>
        <v>2</v>
      </c>
      <c r="G20" s="3">
        <f t="shared" si="3"/>
        <v>1</v>
      </c>
      <c r="H20" s="3">
        <f t="shared" si="0"/>
        <v>3</v>
      </c>
      <c r="I20" s="3" t="str">
        <f t="shared" si="4"/>
        <v>W</v>
      </c>
    </row>
    <row r="21" spans="1:14" x14ac:dyDescent="0.25">
      <c r="A21" t="s">
        <v>45</v>
      </c>
      <c r="B21" t="s">
        <v>20</v>
      </c>
      <c r="C21" t="s">
        <v>372</v>
      </c>
      <c r="E21" s="1" t="str">
        <f t="shared" si="1"/>
        <v>Home</v>
      </c>
      <c r="F21" s="3">
        <f t="shared" si="2"/>
        <v>9</v>
      </c>
      <c r="G21" s="3">
        <f t="shared" si="3"/>
        <v>1</v>
      </c>
      <c r="H21" s="3">
        <f t="shared" si="0"/>
        <v>10</v>
      </c>
      <c r="I21" s="3" t="str">
        <f t="shared" si="4"/>
        <v>W</v>
      </c>
    </row>
    <row r="22" spans="1:14" x14ac:dyDescent="0.25">
      <c r="A22" t="s">
        <v>47</v>
      </c>
      <c r="B22" t="s">
        <v>115</v>
      </c>
      <c r="C22" t="s">
        <v>128</v>
      </c>
      <c r="E22" s="1" t="str">
        <f t="shared" si="1"/>
        <v>Away</v>
      </c>
      <c r="F22" s="3">
        <f t="shared" si="2"/>
        <v>6</v>
      </c>
      <c r="G22" s="3">
        <f t="shared" si="3"/>
        <v>5</v>
      </c>
      <c r="H22" s="3">
        <f t="shared" si="0"/>
        <v>11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49</v>
      </c>
      <c r="B23" t="s">
        <v>98</v>
      </c>
      <c r="C23" t="s">
        <v>329</v>
      </c>
      <c r="E23" s="1" t="str">
        <f t="shared" si="1"/>
        <v>Home</v>
      </c>
      <c r="F23" s="3">
        <f t="shared" si="2"/>
        <v>5</v>
      </c>
      <c r="G23" s="3">
        <f t="shared" si="3"/>
        <v>2</v>
      </c>
      <c r="H23" s="3">
        <f t="shared" si="0"/>
        <v>7</v>
      </c>
      <c r="I23" s="3" t="str">
        <f t="shared" si="4"/>
        <v>W</v>
      </c>
      <c r="K23" s="1">
        <f>COUNTIFS(Table21[At], "Home",Table21[Result], "W")</f>
        <v>23</v>
      </c>
      <c r="L23" s="1">
        <f>COUNTIFS(Table21[At], "Home",Table21[Result], "L")</f>
        <v>13</v>
      </c>
      <c r="M23" s="1">
        <f>COUNTIFS(Table21[At], "Away",Table21[Result], "W")</f>
        <v>15</v>
      </c>
      <c r="N23" s="1">
        <f>COUNTIFS(Table21[At], "Away",Table21[Result], "L")</f>
        <v>21</v>
      </c>
    </row>
    <row r="24" spans="1:14" x14ac:dyDescent="0.25">
      <c r="A24" t="s">
        <v>49</v>
      </c>
      <c r="B24" t="s">
        <v>98</v>
      </c>
      <c r="C24" t="s">
        <v>24</v>
      </c>
      <c r="E24" s="1" t="str">
        <f t="shared" si="1"/>
        <v>Home</v>
      </c>
      <c r="F24" s="3">
        <f t="shared" si="2"/>
        <v>10</v>
      </c>
      <c r="G24" s="3">
        <f t="shared" si="3"/>
        <v>5</v>
      </c>
      <c r="H24" s="3">
        <f t="shared" si="0"/>
        <v>15</v>
      </c>
      <c r="I24" s="3" t="str">
        <f t="shared" si="4"/>
        <v>W</v>
      </c>
      <c r="K24" s="1"/>
      <c r="M24" s="1"/>
      <c r="N24" s="1"/>
    </row>
    <row r="25" spans="1:14" x14ac:dyDescent="0.25">
      <c r="A25" t="s">
        <v>51</v>
      </c>
      <c r="B25" t="s">
        <v>332</v>
      </c>
      <c r="C25" t="s">
        <v>56</v>
      </c>
      <c r="E25" s="1" t="str">
        <f t="shared" si="1"/>
        <v>Away</v>
      </c>
      <c r="F25" s="3">
        <f t="shared" si="2"/>
        <v>1</v>
      </c>
      <c r="G25" s="3">
        <f t="shared" si="3"/>
        <v>7</v>
      </c>
      <c r="H25" s="3">
        <f t="shared" si="0"/>
        <v>8</v>
      </c>
      <c r="I25" s="3" t="str">
        <f t="shared" si="4"/>
        <v>L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332</v>
      </c>
      <c r="C26" t="s">
        <v>38</v>
      </c>
      <c r="E26" s="1" t="str">
        <f t="shared" si="1"/>
        <v>Away</v>
      </c>
      <c r="F26" s="3">
        <f t="shared" si="2"/>
        <v>3</v>
      </c>
      <c r="G26" s="3">
        <f t="shared" si="3"/>
        <v>5</v>
      </c>
      <c r="H26" s="3">
        <f t="shared" si="0"/>
        <v>8</v>
      </c>
      <c r="I26" s="3" t="str">
        <f t="shared" si="4"/>
        <v>L</v>
      </c>
      <c r="K26" s="1">
        <f>COUNTIFS(Table21[oR/G], "&gt;0",Table21[Result], "W")</f>
        <v>19</v>
      </c>
      <c r="L26" s="1">
        <f>COUNTIFS(Table21[oR/G], "&gt;0",Table21[Result], "l")</f>
        <v>25</v>
      </c>
      <c r="M26" s="1">
        <f>COUNTIFS(Table21[oR/G], "&lt;0",Table21[Result], "W")</f>
        <v>19</v>
      </c>
      <c r="N26" s="1">
        <f>COUNTIFS(Table21[oR/G], "&lt;0",Table21[Result], "l")</f>
        <v>9</v>
      </c>
    </row>
    <row r="27" spans="1:14" x14ac:dyDescent="0.25">
      <c r="A27" t="s">
        <v>53</v>
      </c>
      <c r="B27" t="s">
        <v>124</v>
      </c>
      <c r="C27" t="s">
        <v>244</v>
      </c>
      <c r="E27" s="1" t="str">
        <f t="shared" si="1"/>
        <v>Away</v>
      </c>
      <c r="F27" s="3">
        <f t="shared" si="2"/>
        <v>6</v>
      </c>
      <c r="G27" s="3">
        <f t="shared" si="3"/>
        <v>3</v>
      </c>
      <c r="H27" s="3">
        <f t="shared" si="0"/>
        <v>9</v>
      </c>
      <c r="I27" s="3" t="str">
        <f t="shared" si="4"/>
        <v>W</v>
      </c>
    </row>
    <row r="28" spans="1:14" x14ac:dyDescent="0.25">
      <c r="A28" t="s">
        <v>208</v>
      </c>
      <c r="B28" t="s">
        <v>124</v>
      </c>
      <c r="C28" t="s">
        <v>226</v>
      </c>
      <c r="E28" s="1" t="str">
        <f t="shared" si="1"/>
        <v>Away</v>
      </c>
      <c r="F28" s="3">
        <f t="shared" si="2"/>
        <v>3</v>
      </c>
      <c r="G28" s="3">
        <f t="shared" si="3"/>
        <v>2</v>
      </c>
      <c r="H28" s="3">
        <f t="shared" si="0"/>
        <v>5</v>
      </c>
      <c r="I28" s="3" t="str">
        <f t="shared" si="4"/>
        <v>W</v>
      </c>
    </row>
    <row r="29" spans="1:14" x14ac:dyDescent="0.25">
      <c r="A29" t="s">
        <v>54</v>
      </c>
      <c r="B29" t="s">
        <v>321</v>
      </c>
      <c r="C29" t="s">
        <v>384</v>
      </c>
      <c r="E29" s="1" t="str">
        <f t="shared" si="1"/>
        <v>Home</v>
      </c>
      <c r="F29" s="3">
        <f t="shared" si="2"/>
        <v>7</v>
      </c>
      <c r="G29" s="3">
        <f t="shared" si="3"/>
        <v>5</v>
      </c>
      <c r="H29" s="3">
        <f t="shared" si="0"/>
        <v>12</v>
      </c>
      <c r="I29" s="3" t="str">
        <f t="shared" si="4"/>
        <v>W</v>
      </c>
    </row>
    <row r="30" spans="1:14" x14ac:dyDescent="0.25">
      <c r="A30" t="s">
        <v>54</v>
      </c>
      <c r="B30" t="s">
        <v>321</v>
      </c>
      <c r="C30" t="s">
        <v>276</v>
      </c>
      <c r="E30" s="1" t="str">
        <f t="shared" si="1"/>
        <v>Home</v>
      </c>
      <c r="F30" s="3">
        <f t="shared" si="2"/>
        <v>2</v>
      </c>
      <c r="G30" s="3">
        <f t="shared" si="3"/>
        <v>4</v>
      </c>
      <c r="H30" s="3">
        <f t="shared" si="0"/>
        <v>6</v>
      </c>
      <c r="I30" s="3" t="str">
        <f t="shared" si="4"/>
        <v>L</v>
      </c>
    </row>
    <row r="31" spans="1:14" x14ac:dyDescent="0.25">
      <c r="A31" t="s">
        <v>57</v>
      </c>
      <c r="B31" t="s">
        <v>98</v>
      </c>
      <c r="C31" t="s">
        <v>15</v>
      </c>
      <c r="E31" s="1" t="str">
        <f t="shared" si="1"/>
        <v>Home</v>
      </c>
      <c r="F31" s="3">
        <f t="shared" si="2"/>
        <v>3</v>
      </c>
      <c r="G31" s="3">
        <f t="shared" si="3"/>
        <v>1</v>
      </c>
      <c r="H31" s="3">
        <f t="shared" si="0"/>
        <v>4</v>
      </c>
      <c r="I31" s="3" t="str">
        <f t="shared" si="4"/>
        <v>W</v>
      </c>
    </row>
    <row r="32" spans="1:14" x14ac:dyDescent="0.25">
      <c r="A32" t="s">
        <v>60</v>
      </c>
      <c r="B32" t="s">
        <v>115</v>
      </c>
      <c r="C32" t="s">
        <v>33</v>
      </c>
      <c r="E32" s="1" t="str">
        <f t="shared" si="1"/>
        <v>Away</v>
      </c>
      <c r="F32" s="3">
        <f t="shared" si="2"/>
        <v>7</v>
      </c>
      <c r="G32" s="3">
        <f t="shared" si="3"/>
        <v>4</v>
      </c>
      <c r="H32" s="3">
        <f t="shared" si="0"/>
        <v>11</v>
      </c>
      <c r="I32" s="3" t="str">
        <f t="shared" si="4"/>
        <v>W</v>
      </c>
    </row>
    <row r="33" spans="1:9" x14ac:dyDescent="0.25">
      <c r="A33" t="s">
        <v>62</v>
      </c>
      <c r="B33" t="s">
        <v>333</v>
      </c>
      <c r="C33" t="s">
        <v>6</v>
      </c>
      <c r="E33" s="1" t="str">
        <f t="shared" si="1"/>
        <v>Home</v>
      </c>
      <c r="F33" s="3">
        <f t="shared" si="2"/>
        <v>2</v>
      </c>
      <c r="G33" s="3">
        <f t="shared" si="3"/>
        <v>6</v>
      </c>
      <c r="H33" s="3">
        <f t="shared" si="0"/>
        <v>8</v>
      </c>
      <c r="I33" s="3" t="str">
        <f t="shared" si="4"/>
        <v>L</v>
      </c>
    </row>
    <row r="34" spans="1:9" x14ac:dyDescent="0.25">
      <c r="A34" t="s">
        <v>64</v>
      </c>
      <c r="B34" t="s">
        <v>333</v>
      </c>
      <c r="C34" t="s">
        <v>419</v>
      </c>
      <c r="E34" s="1" t="str">
        <f t="shared" si="1"/>
        <v>Home</v>
      </c>
      <c r="F34" s="3">
        <f t="shared" si="2"/>
        <v>4</v>
      </c>
      <c r="G34" s="3">
        <f t="shared" si="3"/>
        <v>14</v>
      </c>
      <c r="H34" s="3">
        <f t="shared" si="0"/>
        <v>18</v>
      </c>
      <c r="I34" s="3" t="str">
        <f t="shared" si="4"/>
        <v>L</v>
      </c>
    </row>
    <row r="35" spans="1:9" x14ac:dyDescent="0.25">
      <c r="A35" t="s">
        <v>66</v>
      </c>
      <c r="B35" t="s">
        <v>319</v>
      </c>
      <c r="C35" t="s">
        <v>6</v>
      </c>
      <c r="E35" s="1" t="str">
        <f t="shared" si="1"/>
        <v>Away</v>
      </c>
      <c r="F35" s="3">
        <f t="shared" si="2"/>
        <v>2</v>
      </c>
      <c r="G35" s="3">
        <f t="shared" si="3"/>
        <v>6</v>
      </c>
      <c r="H35" s="3">
        <f t="shared" si="0"/>
        <v>8</v>
      </c>
      <c r="I35" s="3" t="str">
        <f t="shared" si="4"/>
        <v>L</v>
      </c>
    </row>
    <row r="36" spans="1:9" x14ac:dyDescent="0.25">
      <c r="A36" t="s">
        <v>67</v>
      </c>
      <c r="B36" t="s">
        <v>319</v>
      </c>
      <c r="C36" t="s">
        <v>128</v>
      </c>
      <c r="E36" s="1" t="str">
        <f t="shared" si="1"/>
        <v>Away</v>
      </c>
      <c r="F36" s="3">
        <f t="shared" si="2"/>
        <v>6</v>
      </c>
      <c r="G36" s="3">
        <f t="shared" si="3"/>
        <v>5</v>
      </c>
      <c r="H36" s="3">
        <f t="shared" si="0"/>
        <v>11</v>
      </c>
      <c r="I36" s="3" t="str">
        <f t="shared" si="4"/>
        <v>W</v>
      </c>
    </row>
    <row r="37" spans="1:9" x14ac:dyDescent="0.25">
      <c r="A37" t="s">
        <v>68</v>
      </c>
      <c r="B37" t="s">
        <v>314</v>
      </c>
      <c r="C37" t="s">
        <v>92</v>
      </c>
      <c r="E37" s="1" t="str">
        <f t="shared" si="1"/>
        <v>Home</v>
      </c>
      <c r="F37" s="3">
        <f t="shared" si="2"/>
        <v>5</v>
      </c>
      <c r="G37" s="3">
        <f t="shared" si="3"/>
        <v>10</v>
      </c>
      <c r="H37" s="3">
        <f t="shared" si="0"/>
        <v>15</v>
      </c>
      <c r="I37" s="3" t="str">
        <f t="shared" si="4"/>
        <v>L</v>
      </c>
    </row>
    <row r="38" spans="1:9" x14ac:dyDescent="0.25">
      <c r="A38" t="s">
        <v>73</v>
      </c>
      <c r="B38" t="s">
        <v>341</v>
      </c>
      <c r="C38" t="s">
        <v>439</v>
      </c>
      <c r="E38" s="1" t="str">
        <f t="shared" si="1"/>
        <v>Away</v>
      </c>
      <c r="F38" s="3">
        <f t="shared" si="2"/>
        <v>7</v>
      </c>
      <c r="G38" s="3">
        <f t="shared" si="3"/>
        <v>21</v>
      </c>
      <c r="H38" s="3">
        <f t="shared" si="0"/>
        <v>28</v>
      </c>
      <c r="I38" s="3" t="str">
        <f t="shared" si="4"/>
        <v>L</v>
      </c>
    </row>
    <row r="39" spans="1:9" x14ac:dyDescent="0.25">
      <c r="A39" t="s">
        <v>76</v>
      </c>
      <c r="B39" t="s">
        <v>10</v>
      </c>
      <c r="C39" t="s">
        <v>36</v>
      </c>
      <c r="E39" s="1" t="str">
        <f t="shared" si="1"/>
        <v>Away</v>
      </c>
      <c r="F39" s="3">
        <f t="shared" si="2"/>
        <v>1</v>
      </c>
      <c r="G39" s="3">
        <f t="shared" si="3"/>
        <v>5</v>
      </c>
      <c r="H39" s="3">
        <f t="shared" si="0"/>
        <v>6</v>
      </c>
      <c r="I39" s="3" t="str">
        <f t="shared" si="4"/>
        <v>L</v>
      </c>
    </row>
    <row r="40" spans="1:9" x14ac:dyDescent="0.25">
      <c r="A40" t="s">
        <v>78</v>
      </c>
      <c r="B40" t="s">
        <v>10</v>
      </c>
      <c r="C40" t="s">
        <v>290</v>
      </c>
      <c r="E40" s="1" t="str">
        <f t="shared" si="1"/>
        <v>Away</v>
      </c>
      <c r="F40" s="3">
        <f t="shared" si="2"/>
        <v>5</v>
      </c>
      <c r="G40" s="3">
        <f t="shared" si="3"/>
        <v>0</v>
      </c>
      <c r="H40" s="3">
        <f t="shared" si="0"/>
        <v>5</v>
      </c>
      <c r="I40" s="3" t="str">
        <f t="shared" si="4"/>
        <v>W</v>
      </c>
    </row>
    <row r="41" spans="1:9" x14ac:dyDescent="0.25">
      <c r="A41" t="s">
        <v>80</v>
      </c>
      <c r="B41" t="s">
        <v>58</v>
      </c>
      <c r="C41" t="s">
        <v>205</v>
      </c>
      <c r="E41" s="1" t="str">
        <f t="shared" si="1"/>
        <v>Away</v>
      </c>
      <c r="F41" s="3">
        <f t="shared" si="2"/>
        <v>5</v>
      </c>
      <c r="G41" s="3">
        <f t="shared" si="3"/>
        <v>6</v>
      </c>
      <c r="H41" s="3">
        <f t="shared" si="0"/>
        <v>11</v>
      </c>
      <c r="I41" s="3" t="str">
        <f t="shared" si="4"/>
        <v>L</v>
      </c>
    </row>
    <row r="42" spans="1:9" x14ac:dyDescent="0.25">
      <c r="A42" t="s">
        <v>81</v>
      </c>
      <c r="B42" t="s">
        <v>58</v>
      </c>
      <c r="C42" t="s">
        <v>316</v>
      </c>
      <c r="E42" s="1" t="str">
        <f t="shared" si="1"/>
        <v>Away</v>
      </c>
      <c r="F42" s="3">
        <f t="shared" si="2"/>
        <v>9</v>
      </c>
      <c r="G42" s="3">
        <f t="shared" si="3"/>
        <v>6</v>
      </c>
      <c r="H42" s="3">
        <f t="shared" si="0"/>
        <v>15</v>
      </c>
      <c r="I42" s="3" t="str">
        <f t="shared" si="4"/>
        <v>W</v>
      </c>
    </row>
    <row r="43" spans="1:9" x14ac:dyDescent="0.25">
      <c r="A43" t="s">
        <v>82</v>
      </c>
      <c r="B43" t="s">
        <v>314</v>
      </c>
      <c r="C43" t="s">
        <v>253</v>
      </c>
      <c r="E43" s="1" t="str">
        <f t="shared" si="1"/>
        <v>Home</v>
      </c>
      <c r="F43" s="3">
        <f t="shared" si="2"/>
        <v>4</v>
      </c>
      <c r="G43" s="3">
        <f t="shared" si="3"/>
        <v>0</v>
      </c>
      <c r="H43" s="3">
        <f t="shared" si="0"/>
        <v>4</v>
      </c>
      <c r="I43" s="3" t="str">
        <f t="shared" si="4"/>
        <v>W</v>
      </c>
    </row>
    <row r="44" spans="1:9" x14ac:dyDescent="0.25">
      <c r="A44" t="s">
        <v>82</v>
      </c>
      <c r="B44" t="s">
        <v>314</v>
      </c>
      <c r="C44" t="s">
        <v>226</v>
      </c>
      <c r="E44" s="1" t="str">
        <f t="shared" si="1"/>
        <v>Home</v>
      </c>
      <c r="F44" s="3">
        <f t="shared" si="2"/>
        <v>3</v>
      </c>
      <c r="G44" s="3">
        <f t="shared" si="3"/>
        <v>2</v>
      </c>
      <c r="H44" s="3">
        <f t="shared" si="0"/>
        <v>5</v>
      </c>
      <c r="I44" s="3" t="str">
        <f t="shared" si="4"/>
        <v>W</v>
      </c>
    </row>
    <row r="45" spans="1:9" x14ac:dyDescent="0.25">
      <c r="A45" t="s">
        <v>84</v>
      </c>
      <c r="B45" t="s">
        <v>314</v>
      </c>
      <c r="C45" t="s">
        <v>8</v>
      </c>
      <c r="E45" s="1" t="str">
        <f t="shared" si="1"/>
        <v>Home</v>
      </c>
      <c r="F45" s="3">
        <f t="shared" si="2"/>
        <v>1</v>
      </c>
      <c r="G45" s="3">
        <f t="shared" si="3"/>
        <v>13</v>
      </c>
      <c r="H45" s="3">
        <f t="shared" si="0"/>
        <v>14</v>
      </c>
      <c r="I45" s="3" t="str">
        <f t="shared" si="4"/>
        <v>L</v>
      </c>
    </row>
    <row r="46" spans="1:9" x14ac:dyDescent="0.25">
      <c r="A46" t="s">
        <v>86</v>
      </c>
      <c r="B46" t="s">
        <v>98</v>
      </c>
      <c r="C46" t="s">
        <v>270</v>
      </c>
      <c r="E46" s="1" t="str">
        <f t="shared" si="1"/>
        <v>Home</v>
      </c>
      <c r="F46" s="3">
        <f t="shared" si="2"/>
        <v>4</v>
      </c>
      <c r="G46" s="3">
        <f t="shared" si="3"/>
        <v>3</v>
      </c>
      <c r="H46" s="3">
        <f t="shared" si="0"/>
        <v>7</v>
      </c>
      <c r="I46" s="3" t="str">
        <f t="shared" si="4"/>
        <v>W</v>
      </c>
    </row>
    <row r="47" spans="1:9" x14ac:dyDescent="0.25">
      <c r="A47" t="s">
        <v>88</v>
      </c>
      <c r="B47" t="s">
        <v>332</v>
      </c>
      <c r="C47" t="s">
        <v>89</v>
      </c>
      <c r="E47" s="1" t="str">
        <f t="shared" si="1"/>
        <v>Away</v>
      </c>
      <c r="F47" s="3">
        <f t="shared" si="2"/>
        <v>1</v>
      </c>
      <c r="G47" s="3">
        <f t="shared" si="3"/>
        <v>6</v>
      </c>
      <c r="H47" s="3">
        <f t="shared" si="0"/>
        <v>7</v>
      </c>
      <c r="I47" s="3" t="str">
        <f t="shared" si="4"/>
        <v>L</v>
      </c>
    </row>
    <row r="48" spans="1:9" x14ac:dyDescent="0.25">
      <c r="A48" t="s">
        <v>91</v>
      </c>
      <c r="B48" t="s">
        <v>332</v>
      </c>
      <c r="C48" t="s">
        <v>280</v>
      </c>
      <c r="E48" s="1" t="str">
        <f t="shared" si="1"/>
        <v>Away</v>
      </c>
      <c r="F48" s="3">
        <f t="shared" si="2"/>
        <v>8</v>
      </c>
      <c r="G48" s="3">
        <f t="shared" si="3"/>
        <v>3</v>
      </c>
      <c r="H48" s="3">
        <f t="shared" si="0"/>
        <v>11</v>
      </c>
      <c r="I48" s="3" t="str">
        <f t="shared" si="4"/>
        <v>W</v>
      </c>
    </row>
    <row r="49" spans="1:9" x14ac:dyDescent="0.25">
      <c r="A49" t="s">
        <v>93</v>
      </c>
      <c r="B49" t="s">
        <v>103</v>
      </c>
      <c r="C49" t="s">
        <v>244</v>
      </c>
      <c r="E49" s="1" t="str">
        <f t="shared" si="1"/>
        <v>Home</v>
      </c>
      <c r="F49" s="3">
        <f t="shared" si="2"/>
        <v>6</v>
      </c>
      <c r="G49" s="3">
        <f t="shared" si="3"/>
        <v>3</v>
      </c>
      <c r="H49" s="3">
        <f t="shared" si="0"/>
        <v>9</v>
      </c>
      <c r="I49" s="3" t="str">
        <f t="shared" si="4"/>
        <v>W</v>
      </c>
    </row>
    <row r="50" spans="1:9" x14ac:dyDescent="0.25">
      <c r="A50" t="s">
        <v>96</v>
      </c>
      <c r="B50" t="s">
        <v>103</v>
      </c>
      <c r="C50" t="s">
        <v>254</v>
      </c>
      <c r="E50" s="1" t="str">
        <f t="shared" si="1"/>
        <v>Home</v>
      </c>
      <c r="F50" s="3">
        <f t="shared" si="2"/>
        <v>5</v>
      </c>
      <c r="G50" s="3">
        <f t="shared" si="3"/>
        <v>4</v>
      </c>
      <c r="H50" s="3">
        <f t="shared" si="0"/>
        <v>9</v>
      </c>
      <c r="I50" s="3" t="str">
        <f t="shared" si="4"/>
        <v>W</v>
      </c>
    </row>
    <row r="51" spans="1:9" x14ac:dyDescent="0.25">
      <c r="A51" t="s">
        <v>97</v>
      </c>
      <c r="B51" t="s">
        <v>314</v>
      </c>
      <c r="C51" t="s">
        <v>128</v>
      </c>
      <c r="E51" s="1" t="str">
        <f t="shared" si="1"/>
        <v>Home</v>
      </c>
      <c r="F51" s="3">
        <f t="shared" si="2"/>
        <v>6</v>
      </c>
      <c r="G51" s="3">
        <f t="shared" si="3"/>
        <v>5</v>
      </c>
      <c r="H51" s="3">
        <f t="shared" si="0"/>
        <v>11</v>
      </c>
      <c r="I51" s="3" t="str">
        <f t="shared" si="4"/>
        <v>W</v>
      </c>
    </row>
    <row r="52" spans="1:9" x14ac:dyDescent="0.25">
      <c r="A52" t="s">
        <v>100</v>
      </c>
      <c r="B52" t="s">
        <v>314</v>
      </c>
      <c r="C52" t="s">
        <v>334</v>
      </c>
      <c r="E52" s="1" t="str">
        <f t="shared" si="1"/>
        <v>Home</v>
      </c>
      <c r="F52" s="3">
        <f t="shared" si="2"/>
        <v>7</v>
      </c>
      <c r="G52" s="3">
        <f t="shared" si="3"/>
        <v>15</v>
      </c>
      <c r="H52" s="3">
        <f t="shared" si="0"/>
        <v>22</v>
      </c>
      <c r="I52" s="3" t="str">
        <f t="shared" si="4"/>
        <v>L</v>
      </c>
    </row>
    <row r="53" spans="1:9" x14ac:dyDescent="0.25">
      <c r="A53" t="s">
        <v>215</v>
      </c>
      <c r="B53" t="s">
        <v>319</v>
      </c>
      <c r="C53" t="s">
        <v>416</v>
      </c>
      <c r="E53" s="1" t="str">
        <f t="shared" si="1"/>
        <v>Away</v>
      </c>
      <c r="F53" s="3">
        <f t="shared" si="2"/>
        <v>12</v>
      </c>
      <c r="G53" s="3">
        <f t="shared" si="3"/>
        <v>10</v>
      </c>
      <c r="H53" s="3">
        <f t="shared" si="0"/>
        <v>22</v>
      </c>
      <c r="I53" s="3" t="str">
        <f t="shared" si="4"/>
        <v>W</v>
      </c>
    </row>
    <row r="54" spans="1:9" x14ac:dyDescent="0.25">
      <c r="A54" t="s">
        <v>102</v>
      </c>
      <c r="B54" t="s">
        <v>319</v>
      </c>
      <c r="C54" t="s">
        <v>48</v>
      </c>
      <c r="E54" s="1" t="str">
        <f t="shared" si="1"/>
        <v>Away</v>
      </c>
      <c r="F54" s="3">
        <f t="shared" si="2"/>
        <v>4</v>
      </c>
      <c r="G54" s="3">
        <f t="shared" si="3"/>
        <v>5</v>
      </c>
      <c r="H54" s="3">
        <f t="shared" si="0"/>
        <v>9</v>
      </c>
      <c r="I54" s="3" t="str">
        <f t="shared" si="4"/>
        <v>L</v>
      </c>
    </row>
    <row r="55" spans="1:9" x14ac:dyDescent="0.25">
      <c r="A55" t="s">
        <v>105</v>
      </c>
      <c r="B55" t="s">
        <v>115</v>
      </c>
      <c r="C55" t="s">
        <v>440</v>
      </c>
      <c r="E55" s="1" t="str">
        <f t="shared" si="1"/>
        <v>Away</v>
      </c>
      <c r="F55" s="3">
        <f t="shared" si="2"/>
        <v>19</v>
      </c>
      <c r="G55" s="3">
        <f t="shared" si="3"/>
        <v>5</v>
      </c>
      <c r="H55" s="3">
        <f t="shared" si="0"/>
        <v>24</v>
      </c>
      <c r="I55" s="3" t="str">
        <f t="shared" si="4"/>
        <v>W</v>
      </c>
    </row>
    <row r="56" spans="1:9" x14ac:dyDescent="0.25">
      <c r="A56" t="s">
        <v>107</v>
      </c>
      <c r="B56" t="s">
        <v>115</v>
      </c>
      <c r="C56" t="s">
        <v>264</v>
      </c>
      <c r="E56" s="1" t="str">
        <f t="shared" si="1"/>
        <v>Away</v>
      </c>
      <c r="F56" s="3">
        <f t="shared" si="2"/>
        <v>6</v>
      </c>
      <c r="G56" s="3">
        <f t="shared" si="3"/>
        <v>2</v>
      </c>
      <c r="H56" s="3">
        <f t="shared" si="0"/>
        <v>8</v>
      </c>
      <c r="I56" s="3" t="str">
        <f t="shared" si="4"/>
        <v>W</v>
      </c>
    </row>
    <row r="57" spans="1:9" x14ac:dyDescent="0.25">
      <c r="A57" t="s">
        <v>108</v>
      </c>
      <c r="B57" t="s">
        <v>98</v>
      </c>
      <c r="C57" t="s">
        <v>226</v>
      </c>
      <c r="E57" s="1" t="str">
        <f t="shared" si="1"/>
        <v>Home</v>
      </c>
      <c r="F57" s="3">
        <f t="shared" si="2"/>
        <v>3</v>
      </c>
      <c r="G57" s="3">
        <f t="shared" si="3"/>
        <v>2</v>
      </c>
      <c r="H57" s="3">
        <f t="shared" si="0"/>
        <v>5</v>
      </c>
      <c r="I57" s="3" t="str">
        <f t="shared" si="4"/>
        <v>W</v>
      </c>
    </row>
    <row r="58" spans="1:9" x14ac:dyDescent="0.25">
      <c r="A58" t="s">
        <v>108</v>
      </c>
      <c r="B58" t="s">
        <v>98</v>
      </c>
      <c r="C58" t="s">
        <v>128</v>
      </c>
      <c r="E58" s="1" t="str">
        <f t="shared" si="1"/>
        <v>Home</v>
      </c>
      <c r="F58" s="3">
        <f t="shared" si="2"/>
        <v>6</v>
      </c>
      <c r="G58" s="3">
        <f t="shared" si="3"/>
        <v>5</v>
      </c>
      <c r="H58" s="3">
        <f t="shared" si="0"/>
        <v>11</v>
      </c>
      <c r="I58" s="3" t="str">
        <f t="shared" si="4"/>
        <v>W</v>
      </c>
    </row>
    <row r="59" spans="1:9" x14ac:dyDescent="0.25">
      <c r="A59" t="s">
        <v>110</v>
      </c>
      <c r="B59" t="s">
        <v>115</v>
      </c>
      <c r="C59" t="s">
        <v>280</v>
      </c>
      <c r="E59" s="1" t="str">
        <f t="shared" si="1"/>
        <v>Away</v>
      </c>
      <c r="F59" s="3">
        <f t="shared" si="2"/>
        <v>8</v>
      </c>
      <c r="G59" s="3">
        <f t="shared" si="3"/>
        <v>3</v>
      </c>
      <c r="H59" s="3">
        <f t="shared" si="0"/>
        <v>11</v>
      </c>
      <c r="I59" s="3" t="str">
        <f t="shared" si="4"/>
        <v>W</v>
      </c>
    </row>
    <row r="60" spans="1:9" x14ac:dyDescent="0.25">
      <c r="A60" t="s">
        <v>111</v>
      </c>
      <c r="B60" t="s">
        <v>315</v>
      </c>
      <c r="C60" t="s">
        <v>425</v>
      </c>
      <c r="E60" s="1" t="str">
        <f t="shared" si="1"/>
        <v>Away</v>
      </c>
      <c r="F60" s="3">
        <f t="shared" si="2"/>
        <v>2</v>
      </c>
      <c r="G60" s="3">
        <f t="shared" si="3"/>
        <v>18</v>
      </c>
      <c r="H60" s="3">
        <f t="shared" si="0"/>
        <v>20</v>
      </c>
      <c r="I60" s="3" t="str">
        <f t="shared" si="4"/>
        <v>L</v>
      </c>
    </row>
    <row r="61" spans="1:9" x14ac:dyDescent="0.25">
      <c r="A61" t="s">
        <v>112</v>
      </c>
      <c r="B61" t="s">
        <v>315</v>
      </c>
      <c r="C61" t="s">
        <v>335</v>
      </c>
      <c r="E61" s="1" t="str">
        <f t="shared" si="1"/>
        <v>Away</v>
      </c>
      <c r="F61" s="3">
        <f t="shared" si="2"/>
        <v>6</v>
      </c>
      <c r="G61" s="3">
        <f t="shared" si="3"/>
        <v>4</v>
      </c>
      <c r="H61" s="3">
        <f t="shared" si="0"/>
        <v>10</v>
      </c>
      <c r="I61" s="3" t="str">
        <f t="shared" si="4"/>
        <v>W</v>
      </c>
    </row>
    <row r="62" spans="1:9" x14ac:dyDescent="0.25">
      <c r="A62" t="s">
        <v>114</v>
      </c>
      <c r="B62" t="s">
        <v>333</v>
      </c>
      <c r="C62" t="s">
        <v>234</v>
      </c>
      <c r="E62" s="1" t="str">
        <f t="shared" si="1"/>
        <v>Home</v>
      </c>
      <c r="F62" s="3">
        <f t="shared" si="2"/>
        <v>2</v>
      </c>
      <c r="G62" s="3">
        <f t="shared" si="3"/>
        <v>5</v>
      </c>
      <c r="H62" s="3">
        <f t="shared" si="0"/>
        <v>7</v>
      </c>
      <c r="I62" s="3" t="str">
        <f t="shared" si="4"/>
        <v>L</v>
      </c>
    </row>
    <row r="63" spans="1:9" x14ac:dyDescent="0.25">
      <c r="A63" t="s">
        <v>117</v>
      </c>
      <c r="B63" t="s">
        <v>333</v>
      </c>
      <c r="C63" t="s">
        <v>270</v>
      </c>
      <c r="E63" s="1" t="str">
        <f t="shared" si="1"/>
        <v>Home</v>
      </c>
      <c r="F63" s="3">
        <f t="shared" si="2"/>
        <v>4</v>
      </c>
      <c r="G63" s="3">
        <f t="shared" si="3"/>
        <v>3</v>
      </c>
      <c r="H63" s="3">
        <f t="shared" si="0"/>
        <v>7</v>
      </c>
      <c r="I63" s="3" t="str">
        <f t="shared" si="4"/>
        <v>W</v>
      </c>
    </row>
    <row r="64" spans="1:9" x14ac:dyDescent="0.25">
      <c r="A64" t="s">
        <v>119</v>
      </c>
      <c r="B64" t="s">
        <v>343</v>
      </c>
      <c r="C64" t="s">
        <v>118</v>
      </c>
      <c r="E64" s="1" t="str">
        <f t="shared" si="1"/>
        <v>Home</v>
      </c>
      <c r="F64" s="3">
        <f t="shared" si="2"/>
        <v>9</v>
      </c>
      <c r="G64" s="3">
        <f t="shared" si="3"/>
        <v>8</v>
      </c>
      <c r="H64" s="3">
        <f t="shared" si="0"/>
        <v>17</v>
      </c>
      <c r="I64" s="3" t="str">
        <f t="shared" si="4"/>
        <v>W</v>
      </c>
    </row>
    <row r="65" spans="1:10" x14ac:dyDescent="0.25">
      <c r="A65" t="s">
        <v>119</v>
      </c>
      <c r="B65" t="s">
        <v>341</v>
      </c>
      <c r="C65" t="s">
        <v>287</v>
      </c>
      <c r="E65" s="1" t="str">
        <f t="shared" si="1"/>
        <v>Away</v>
      </c>
      <c r="F65" s="3">
        <f t="shared" si="2"/>
        <v>11</v>
      </c>
      <c r="G65" s="3">
        <f t="shared" si="3"/>
        <v>2</v>
      </c>
      <c r="H65" s="3">
        <f t="shared" si="0"/>
        <v>13</v>
      </c>
      <c r="I65" s="3" t="str">
        <f t="shared" si="4"/>
        <v>W</v>
      </c>
    </row>
    <row r="66" spans="1:10" x14ac:dyDescent="0.25">
      <c r="A66" t="s">
        <v>122</v>
      </c>
      <c r="B66" t="s">
        <v>343</v>
      </c>
      <c r="C66" t="s">
        <v>35</v>
      </c>
      <c r="E66" s="1" t="str">
        <f t="shared" si="1"/>
        <v>Home</v>
      </c>
      <c r="F66" s="3">
        <f t="shared" si="2"/>
        <v>4</v>
      </c>
      <c r="G66" s="3">
        <f t="shared" si="3"/>
        <v>1</v>
      </c>
      <c r="H66" s="3">
        <f t="shared" si="0"/>
        <v>5</v>
      </c>
      <c r="I66" s="3" t="str">
        <f t="shared" si="4"/>
        <v>W</v>
      </c>
    </row>
    <row r="67" spans="1:10" x14ac:dyDescent="0.25">
      <c r="A67" t="s">
        <v>218</v>
      </c>
      <c r="B67" t="s">
        <v>319</v>
      </c>
      <c r="C67" t="s">
        <v>50</v>
      </c>
      <c r="E67" s="1" t="str">
        <f t="shared" si="1"/>
        <v>Away</v>
      </c>
      <c r="F67" s="3">
        <f t="shared" si="2"/>
        <v>3</v>
      </c>
      <c r="G67" s="3">
        <f t="shared" si="3"/>
        <v>4</v>
      </c>
      <c r="H67" s="3">
        <f t="shared" ref="H67:H74" si="6">F67+G67</f>
        <v>7</v>
      </c>
      <c r="I67" s="3" t="str">
        <f t="shared" si="4"/>
        <v>L</v>
      </c>
    </row>
    <row r="68" spans="1:10" x14ac:dyDescent="0.25">
      <c r="A68" t="s">
        <v>123</v>
      </c>
      <c r="B68" t="s">
        <v>319</v>
      </c>
      <c r="C68" t="s">
        <v>264</v>
      </c>
      <c r="E68" s="1" t="str">
        <f t="shared" ref="E68:E74" si="7">IF(LEFT(B68,1)="@","Away","Home")</f>
        <v>Away</v>
      </c>
      <c r="F68" s="3">
        <f t="shared" ref="F68:F74" si="8">_xlfn.NUMBERVALUE(MID(LEFT(C68,FIND("-",C68)-1),FIND(" ",C68)+1,LEN(C68)))</f>
        <v>6</v>
      </c>
      <c r="G68" s="3">
        <f t="shared" ref="G68:G74" si="9">_xlfn.NUMBERVALUE(RIGHT(C68,LEN(C68)-FIND("-",C68)))</f>
        <v>2</v>
      </c>
      <c r="H68" s="3">
        <f t="shared" si="6"/>
        <v>8</v>
      </c>
      <c r="I68" s="3" t="str">
        <f t="shared" ref="I68:I74" si="10">LEFT(C68,1)</f>
        <v>W</v>
      </c>
    </row>
    <row r="69" spans="1:10" x14ac:dyDescent="0.25">
      <c r="A69" t="s">
        <v>126</v>
      </c>
      <c r="B69" t="s">
        <v>103</v>
      </c>
      <c r="C69" t="s">
        <v>281</v>
      </c>
      <c r="E69" s="1" t="str">
        <f t="shared" si="7"/>
        <v>Home</v>
      </c>
      <c r="F69" s="3">
        <f t="shared" si="8"/>
        <v>1</v>
      </c>
      <c r="G69" s="3">
        <f t="shared" si="9"/>
        <v>8</v>
      </c>
      <c r="H69" s="3">
        <f t="shared" si="6"/>
        <v>9</v>
      </c>
      <c r="I69" s="3" t="str">
        <f t="shared" si="10"/>
        <v>L</v>
      </c>
    </row>
    <row r="70" spans="1:10" x14ac:dyDescent="0.25">
      <c r="A70" t="s">
        <v>127</v>
      </c>
      <c r="B70" t="s">
        <v>103</v>
      </c>
      <c r="C70" t="s">
        <v>238</v>
      </c>
      <c r="E70" s="1" t="str">
        <f t="shared" si="7"/>
        <v>Home</v>
      </c>
      <c r="F70" s="3">
        <f t="shared" si="8"/>
        <v>10</v>
      </c>
      <c r="G70" s="3">
        <f t="shared" si="9"/>
        <v>2</v>
      </c>
      <c r="H70" s="3">
        <f t="shared" si="6"/>
        <v>12</v>
      </c>
      <c r="I70" s="3" t="str">
        <f t="shared" si="10"/>
        <v>W</v>
      </c>
    </row>
    <row r="71" spans="1:10" x14ac:dyDescent="0.25">
      <c r="A71" t="s">
        <v>129</v>
      </c>
      <c r="B71" t="s">
        <v>332</v>
      </c>
      <c r="C71" t="s">
        <v>36</v>
      </c>
      <c r="E71" s="1" t="str">
        <f t="shared" si="7"/>
        <v>Away</v>
      </c>
      <c r="F71" s="3">
        <f t="shared" si="8"/>
        <v>1</v>
      </c>
      <c r="G71" s="3">
        <f t="shared" si="9"/>
        <v>5</v>
      </c>
      <c r="H71" s="3">
        <f t="shared" si="6"/>
        <v>6</v>
      </c>
      <c r="I71" s="3" t="str">
        <f t="shared" si="10"/>
        <v>L</v>
      </c>
    </row>
    <row r="72" spans="1:10" x14ac:dyDescent="0.25">
      <c r="A72" t="s">
        <v>131</v>
      </c>
      <c r="B72" t="s">
        <v>332</v>
      </c>
      <c r="C72" t="s">
        <v>292</v>
      </c>
      <c r="E72" s="1" t="str">
        <f t="shared" si="7"/>
        <v>Away</v>
      </c>
      <c r="F72" s="3">
        <f t="shared" si="8"/>
        <v>7</v>
      </c>
      <c r="G72" s="3">
        <f t="shared" si="9"/>
        <v>8</v>
      </c>
      <c r="H72" s="3">
        <f t="shared" si="6"/>
        <v>15</v>
      </c>
      <c r="I72" s="3" t="str">
        <f t="shared" si="10"/>
        <v>L</v>
      </c>
    </row>
    <row r="73" spans="1:10" x14ac:dyDescent="0.25">
      <c r="A73" t="s">
        <v>133</v>
      </c>
      <c r="B73" t="s">
        <v>103</v>
      </c>
      <c r="C73" t="s">
        <v>296</v>
      </c>
      <c r="E73" s="1" t="str">
        <f t="shared" si="7"/>
        <v>Home</v>
      </c>
      <c r="F73" s="3">
        <f t="shared" si="8"/>
        <v>3</v>
      </c>
      <c r="G73" s="3">
        <f t="shared" si="9"/>
        <v>10</v>
      </c>
      <c r="H73" s="3">
        <f t="shared" si="6"/>
        <v>13</v>
      </c>
      <c r="I73" s="3" t="str">
        <f t="shared" si="10"/>
        <v>L</v>
      </c>
    </row>
    <row r="74" spans="1:10" x14ac:dyDescent="0.25">
      <c r="A74" t="s">
        <v>134</v>
      </c>
      <c r="B74" t="s">
        <v>124</v>
      </c>
      <c r="C74" t="s">
        <v>28</v>
      </c>
      <c r="E74" s="1" t="str">
        <f t="shared" si="7"/>
        <v>Away</v>
      </c>
      <c r="F74" s="3">
        <f t="shared" si="8"/>
        <v>4</v>
      </c>
      <c r="G74" s="3">
        <f t="shared" si="9"/>
        <v>2</v>
      </c>
      <c r="H74" s="3">
        <f t="shared" si="6"/>
        <v>6</v>
      </c>
      <c r="I74" s="3" t="str">
        <f t="shared" si="10"/>
        <v>W</v>
      </c>
    </row>
    <row r="76" spans="1:10" x14ac:dyDescent="0.25">
      <c r="A76" t="s">
        <v>1</v>
      </c>
      <c r="B76" t="s">
        <v>2</v>
      </c>
      <c r="C76" t="s">
        <v>469</v>
      </c>
      <c r="D76" t="s">
        <v>135</v>
      </c>
      <c r="E76" t="s">
        <v>136</v>
      </c>
      <c r="F76" t="s">
        <v>137</v>
      </c>
      <c r="G76" t="s">
        <v>138</v>
      </c>
      <c r="H76" t="s">
        <v>3</v>
      </c>
      <c r="I76" t="s">
        <v>494</v>
      </c>
      <c r="J76" t="s">
        <v>495</v>
      </c>
    </row>
    <row r="77" spans="1:10" x14ac:dyDescent="0.25">
      <c r="A77" t="s">
        <v>448</v>
      </c>
      <c r="B77" t="s">
        <v>332</v>
      </c>
      <c r="C77" t="s">
        <v>121</v>
      </c>
      <c r="D77" t="str">
        <f>IF(LEFT(Table21[[#This Row],[Opponent]],1)="@","Away","Home")</f>
        <v>Away</v>
      </c>
      <c r="E77">
        <f>_xlfn.NUMBERVALUE(MID(LEFT(Table21[[#This Row],[Score]],FIND("-",Table21[[#This Row],[Score]])-1),FIND(" ",Table21[[#This Row],[Score]])+1,LEN(Table21[[#This Row],[Score]])))</f>
        <v>2</v>
      </c>
      <c r="F77">
        <f>_xlfn.NUMBERVALUE(RIGHT(Table21[[#This Row],[Score]],LEN(Table21[[#This Row],[Score]])-FIND("-",Table21[[#This Row],[Score]])))</f>
        <v>11</v>
      </c>
      <c r="G77">
        <f t="shared" ref="G77" si="11">E77+F77</f>
        <v>13</v>
      </c>
      <c r="H77" t="str">
        <f>LEFT(Table21[[#This Row],[Score]],1)</f>
        <v>L</v>
      </c>
      <c r="I77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77" s="33">
        <f>VLOOKUP(Table21[[#This Row],[OPP]],Raw!$L$2:$S$23,7,FALSE)-Raw!$U$2</f>
        <v>0.7572433271608402</v>
      </c>
    </row>
    <row r="78" spans="1:10" x14ac:dyDescent="0.25">
      <c r="A78" t="s">
        <v>449</v>
      </c>
      <c r="B78" t="s">
        <v>333</v>
      </c>
      <c r="C78" t="s">
        <v>297</v>
      </c>
      <c r="D78" t="str">
        <f>IF(LEFT(Table21[[#This Row],[Opponent]],1)="@","Away","Home")</f>
        <v>Home</v>
      </c>
      <c r="E78">
        <f>_xlfn.NUMBERVALUE(MID(LEFT(Table21[[#This Row],[Score]],FIND("-",Table21[[#This Row],[Score]])-1),FIND(" ",Table21[[#This Row],[Score]])+1,LEN(Table21[[#This Row],[Score]])))</f>
        <v>2</v>
      </c>
      <c r="F78">
        <f>_xlfn.NUMBERVALUE(RIGHT(Table21[[#This Row],[Score]],LEN(Table21[[#This Row],[Score]])-FIND("-",Table21[[#This Row],[Score]])))</f>
        <v>10</v>
      </c>
      <c r="G78">
        <f t="shared" ref="G78:G99" si="12">E78+F78</f>
        <v>12</v>
      </c>
      <c r="H78" t="str">
        <f>LEFT(Table21[[#This Row],[Score]],1)</f>
        <v>L</v>
      </c>
      <c r="I78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78" s="33">
        <f>VLOOKUP(Table21[[#This Row],[OPP]],Raw!$L$2:$S$23,7,FALSE)-Raw!$U$2</f>
        <v>0.7572433271608402</v>
      </c>
    </row>
    <row r="79" spans="1:10" x14ac:dyDescent="0.25">
      <c r="A79" t="s">
        <v>450</v>
      </c>
      <c r="B79" t="s">
        <v>314</v>
      </c>
      <c r="C79" t="s">
        <v>38</v>
      </c>
      <c r="D79" t="str">
        <f>IF(LEFT(Table21[[#This Row],[Opponent]],1)="@","Away","Home")</f>
        <v>Home</v>
      </c>
      <c r="E79">
        <f>_xlfn.NUMBERVALUE(MID(LEFT(Table21[[#This Row],[Score]],FIND("-",Table21[[#This Row],[Score]])-1),FIND(" ",Table21[[#This Row],[Score]])+1,LEN(Table21[[#This Row],[Score]])))</f>
        <v>3</v>
      </c>
      <c r="F79">
        <f>_xlfn.NUMBERVALUE(RIGHT(Table21[[#This Row],[Score]],LEN(Table21[[#This Row],[Score]])-FIND("-",Table21[[#This Row],[Score]])))</f>
        <v>5</v>
      </c>
      <c r="G79">
        <f t="shared" si="12"/>
        <v>8</v>
      </c>
      <c r="H79" t="str">
        <f>LEFT(Table21[[#This Row],[Score]],1)</f>
        <v>L</v>
      </c>
      <c r="I79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79" s="33">
        <f>VLOOKUP(Table21[[#This Row],[OPP]],Raw!$L$2:$S$23,7,FALSE)-Raw!$U$2</f>
        <v>0.13556883576803896</v>
      </c>
    </row>
    <row r="80" spans="1:10" x14ac:dyDescent="0.25">
      <c r="A80" t="s">
        <v>451</v>
      </c>
      <c r="B80" t="s">
        <v>314</v>
      </c>
      <c r="C80" t="s">
        <v>290</v>
      </c>
      <c r="D80" t="str">
        <f>IF(LEFT(Table21[[#This Row],[Opponent]],1)="@","Away","Home")</f>
        <v>Home</v>
      </c>
      <c r="E80">
        <f>_xlfn.NUMBERVALUE(MID(LEFT(Table21[[#This Row],[Score]],FIND("-",Table21[[#This Row],[Score]])-1),FIND(" ",Table21[[#This Row],[Score]])+1,LEN(Table21[[#This Row],[Score]])))</f>
        <v>5</v>
      </c>
      <c r="F80">
        <f>_xlfn.NUMBERVALUE(RIGHT(Table21[[#This Row],[Score]],LEN(Table21[[#This Row],[Score]])-FIND("-",Table21[[#This Row],[Score]])))</f>
        <v>0</v>
      </c>
      <c r="G80">
        <f t="shared" si="12"/>
        <v>5</v>
      </c>
      <c r="H80" t="str">
        <f>LEFT(Table21[[#This Row],[Score]],1)</f>
        <v>W</v>
      </c>
      <c r="I80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80" s="33">
        <f>VLOOKUP(Table21[[#This Row],[OPP]],Raw!$L$2:$S$23,7,FALSE)-Raw!$U$2</f>
        <v>0.13556883576803896</v>
      </c>
    </row>
    <row r="81" spans="1:10" x14ac:dyDescent="0.25">
      <c r="A81" t="s">
        <v>453</v>
      </c>
      <c r="B81" t="s">
        <v>98</v>
      </c>
      <c r="C81" t="s">
        <v>116</v>
      </c>
      <c r="D81" t="str">
        <f>IF(LEFT(Table21[[#This Row],[Opponent]],1)="@","Away","Home")</f>
        <v>Home</v>
      </c>
      <c r="E81">
        <f>_xlfn.NUMBERVALUE(MID(LEFT(Table21[[#This Row],[Score]],FIND("-",Table21[[#This Row],[Score]])-1),FIND(" ",Table21[[#This Row],[Score]])+1,LEN(Table21[[#This Row],[Score]])))</f>
        <v>9</v>
      </c>
      <c r="F81">
        <f>_xlfn.NUMBERVALUE(RIGHT(Table21[[#This Row],[Score]],LEN(Table21[[#This Row],[Score]])-FIND("-",Table21[[#This Row],[Score]])))</f>
        <v>3</v>
      </c>
      <c r="G81">
        <f t="shared" si="12"/>
        <v>12</v>
      </c>
      <c r="H81" t="str">
        <f>LEFT(Table21[[#This Row],[Score]],1)</f>
        <v>W</v>
      </c>
      <c r="I81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81" s="33">
        <f>VLOOKUP(Table21[[#This Row],[OPP]],Raw!$L$2:$S$23,7,FALSE)-Raw!$U$2</f>
        <v>-1.4060978308986276</v>
      </c>
    </row>
    <row r="82" spans="1:10" x14ac:dyDescent="0.25">
      <c r="A82" t="s">
        <v>454</v>
      </c>
      <c r="B82" t="s">
        <v>115</v>
      </c>
      <c r="C82" t="s">
        <v>295</v>
      </c>
      <c r="D82" t="str">
        <f>IF(LEFT(Table21[[#This Row],[Opponent]],1)="@","Away","Home")</f>
        <v>Away</v>
      </c>
      <c r="E82">
        <f>_xlfn.NUMBERVALUE(MID(LEFT(Table21[[#This Row],[Score]],FIND("-",Table21[[#This Row],[Score]])-1),FIND(" ",Table21[[#This Row],[Score]])+1,LEN(Table21[[#This Row],[Score]])))</f>
        <v>1</v>
      </c>
      <c r="F82">
        <f>_xlfn.NUMBERVALUE(RIGHT(Table21[[#This Row],[Score]],LEN(Table21[[#This Row],[Score]])-FIND("-",Table21[[#This Row],[Score]])))</f>
        <v>0</v>
      </c>
      <c r="G82">
        <f t="shared" si="12"/>
        <v>1</v>
      </c>
      <c r="H82" t="str">
        <f>LEFT(Table21[[#This Row],[Score]],1)</f>
        <v>W</v>
      </c>
      <c r="I82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82" s="33">
        <f>VLOOKUP(Table21[[#This Row],[OPP]],Raw!$L$2:$S$23,7,FALSE)-Raw!$U$2</f>
        <v>-1.4060978308986276</v>
      </c>
    </row>
    <row r="83" spans="1:10" x14ac:dyDescent="0.25">
      <c r="A83" t="s">
        <v>455</v>
      </c>
      <c r="B83" t="s">
        <v>124</v>
      </c>
      <c r="C83" t="s">
        <v>284</v>
      </c>
      <c r="D83" t="str">
        <f>IF(LEFT(Table21[[#This Row],[Opponent]],1)="@","Away","Home")</f>
        <v>Away</v>
      </c>
      <c r="E83">
        <f>_xlfn.NUMBERVALUE(MID(LEFT(Table21[[#This Row],[Score]],FIND("-",Table21[[#This Row],[Score]])-1),FIND(" ",Table21[[#This Row],[Score]])+1,LEN(Table21[[#This Row],[Score]])))</f>
        <v>2</v>
      </c>
      <c r="F83">
        <f>_xlfn.NUMBERVALUE(RIGHT(Table21[[#This Row],[Score]],LEN(Table21[[#This Row],[Score]])-FIND("-",Table21[[#This Row],[Score]])))</f>
        <v>13</v>
      </c>
      <c r="G83">
        <f t="shared" si="12"/>
        <v>15</v>
      </c>
      <c r="H83" t="str">
        <f>LEFT(Table21[[#This Row],[Score]],1)</f>
        <v>L</v>
      </c>
      <c r="I83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83" s="33">
        <f>VLOOKUP(Table21[[#This Row],[OPP]],Raw!$L$2:$S$23,7,FALSE)-Raw!$U$2</f>
        <v>2.7744577246569277</v>
      </c>
    </row>
    <row r="84" spans="1:10" x14ac:dyDescent="0.25">
      <c r="A84" t="s">
        <v>456</v>
      </c>
      <c r="B84" t="s">
        <v>103</v>
      </c>
      <c r="C84" t="s">
        <v>240</v>
      </c>
      <c r="D84" t="str">
        <f>IF(LEFT(Table21[[#This Row],[Opponent]],1)="@","Away","Home")</f>
        <v>Home</v>
      </c>
      <c r="E84">
        <f>_xlfn.NUMBERVALUE(MID(LEFT(Table21[[#This Row],[Score]],FIND("-",Table21[[#This Row],[Score]])-1),FIND(" ",Table21[[#This Row],[Score]])+1,LEN(Table21[[#This Row],[Score]])))</f>
        <v>1</v>
      </c>
      <c r="F84">
        <f>_xlfn.NUMBERVALUE(RIGHT(Table21[[#This Row],[Score]],LEN(Table21[[#This Row],[Score]])-FIND("-",Table21[[#This Row],[Score]])))</f>
        <v>3</v>
      </c>
      <c r="G84">
        <f t="shared" si="12"/>
        <v>4</v>
      </c>
      <c r="H84" t="str">
        <f>LEFT(Table21[[#This Row],[Score]],1)</f>
        <v>L</v>
      </c>
      <c r="I84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84" s="33">
        <f>VLOOKUP(Table21[[#This Row],[OPP]],Raw!$L$2:$S$23,7,FALSE)-Raw!$U$2</f>
        <v>2.7744577246569277</v>
      </c>
    </row>
    <row r="85" spans="1:10" x14ac:dyDescent="0.25">
      <c r="A85" t="s">
        <v>470</v>
      </c>
      <c r="B85" t="s">
        <v>124</v>
      </c>
      <c r="C85" t="s">
        <v>50</v>
      </c>
      <c r="D85" t="str">
        <f>IF(LEFT(Table21[[#This Row],[Opponent]],1)="@","Away","Home")</f>
        <v>Away</v>
      </c>
      <c r="E85">
        <f>_xlfn.NUMBERVALUE(MID(LEFT(Table21[[#This Row],[Score]],FIND("-",Table21[[#This Row],[Score]])-1),FIND(" ",Table21[[#This Row],[Score]])+1,LEN(Table21[[#This Row],[Score]])))</f>
        <v>3</v>
      </c>
      <c r="F85">
        <f>_xlfn.NUMBERVALUE(RIGHT(Table21[[#This Row],[Score]],LEN(Table21[[#This Row],[Score]])-FIND("-",Table21[[#This Row],[Score]])))</f>
        <v>4</v>
      </c>
      <c r="G85">
        <f t="shared" si="12"/>
        <v>7</v>
      </c>
      <c r="H85" t="str">
        <f>LEFT(Table21[[#This Row],[Score]],1)</f>
        <v>L</v>
      </c>
      <c r="I85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85" s="33">
        <f>VLOOKUP(Table21[[#This Row],[OPP]],Raw!$L$2:$S$23,7,FALSE)-Raw!$U$2</f>
        <v>2.7744577246569277</v>
      </c>
    </row>
    <row r="86" spans="1:10" x14ac:dyDescent="0.25">
      <c r="A86" t="s">
        <v>457</v>
      </c>
      <c r="B86" t="s">
        <v>103</v>
      </c>
      <c r="C86" t="s">
        <v>113</v>
      </c>
      <c r="D86" t="str">
        <f>IF(LEFT(Table21[[#This Row],[Opponent]],1)="@","Away","Home")</f>
        <v>Home</v>
      </c>
      <c r="E86">
        <f>_xlfn.NUMBERVALUE(MID(LEFT(Table21[[#This Row],[Score]],FIND("-",Table21[[#This Row],[Score]])-1),FIND(" ",Table21[[#This Row],[Score]])+1,LEN(Table21[[#This Row],[Score]])))</f>
        <v>7</v>
      </c>
      <c r="F86">
        <f>_xlfn.NUMBERVALUE(RIGHT(Table21[[#This Row],[Score]],LEN(Table21[[#This Row],[Score]])-FIND("-",Table21[[#This Row],[Score]])))</f>
        <v>9</v>
      </c>
      <c r="G86">
        <f t="shared" si="12"/>
        <v>16</v>
      </c>
      <c r="H86" t="str">
        <f>LEFT(Table21[[#This Row],[Score]],1)</f>
        <v>L</v>
      </c>
      <c r="I86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86" s="33">
        <f>VLOOKUP(Table21[[#This Row],[OPP]],Raw!$L$2:$S$23,7,FALSE)-Raw!$U$2</f>
        <v>2.7744577246569277</v>
      </c>
    </row>
    <row r="87" spans="1:10" x14ac:dyDescent="0.25">
      <c r="A87" t="s">
        <v>458</v>
      </c>
      <c r="B87" t="s">
        <v>319</v>
      </c>
      <c r="C87" t="s">
        <v>21</v>
      </c>
      <c r="D87" t="str">
        <f>IF(LEFT(Table21[[#This Row],[Opponent]],1)="@","Away","Home")</f>
        <v>Away</v>
      </c>
      <c r="E87">
        <f>_xlfn.NUMBERVALUE(MID(LEFT(Table21[[#This Row],[Score]],FIND("-",Table21[[#This Row],[Score]])-1),FIND(" ",Table21[[#This Row],[Score]])+1,LEN(Table21[[#This Row],[Score]])))</f>
        <v>6</v>
      </c>
      <c r="F87">
        <f>_xlfn.NUMBERVALUE(RIGHT(Table21[[#This Row],[Score]],LEN(Table21[[#This Row],[Score]])-FIND("-",Table21[[#This Row],[Score]])))</f>
        <v>1</v>
      </c>
      <c r="G87">
        <f t="shared" si="12"/>
        <v>7</v>
      </c>
      <c r="H87" t="str">
        <f>LEFT(Table21[[#This Row],[Score]],1)</f>
        <v>W</v>
      </c>
      <c r="I87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87" s="33">
        <f>VLOOKUP(Table21[[#This Row],[OPP]],Raw!$L$2:$S$23,7,FALSE)-Raw!$U$2</f>
        <v>-1.5172089420097388</v>
      </c>
    </row>
    <row r="88" spans="1:10" x14ac:dyDescent="0.25">
      <c r="A88" t="s">
        <v>459</v>
      </c>
      <c r="B88" t="s">
        <v>319</v>
      </c>
      <c r="C88" t="s">
        <v>50</v>
      </c>
      <c r="D88" t="str">
        <f>IF(LEFT(Table21[[#This Row],[Opponent]],1)="@","Away","Home")</f>
        <v>Away</v>
      </c>
      <c r="E88">
        <f>_xlfn.NUMBERVALUE(MID(LEFT(Table21[[#This Row],[Score]],FIND("-",Table21[[#This Row],[Score]])-1),FIND(" ",Table21[[#This Row],[Score]])+1,LEN(Table21[[#This Row],[Score]])))</f>
        <v>3</v>
      </c>
      <c r="F88">
        <f>_xlfn.NUMBERVALUE(RIGHT(Table21[[#This Row],[Score]],LEN(Table21[[#This Row],[Score]])-FIND("-",Table21[[#This Row],[Score]])))</f>
        <v>4</v>
      </c>
      <c r="G88">
        <f t="shared" si="12"/>
        <v>7</v>
      </c>
      <c r="H88" t="str">
        <f>LEFT(Table21[[#This Row],[Score]],1)</f>
        <v>L</v>
      </c>
      <c r="I88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88" s="33">
        <f>VLOOKUP(Table21[[#This Row],[OPP]],Raw!$L$2:$S$23,7,FALSE)-Raw!$U$2</f>
        <v>-1.5172089420097388</v>
      </c>
    </row>
    <row r="89" spans="1:10" x14ac:dyDescent="0.25">
      <c r="A89" t="s">
        <v>460</v>
      </c>
      <c r="B89" t="s">
        <v>333</v>
      </c>
      <c r="C89" t="s">
        <v>61</v>
      </c>
      <c r="D89" t="str">
        <f>IF(LEFT(Table21[[#This Row],[Opponent]],1)="@","Away","Home")</f>
        <v>Home</v>
      </c>
      <c r="E89">
        <f>_xlfn.NUMBERVALUE(MID(LEFT(Table21[[#This Row],[Score]],FIND("-",Table21[[#This Row],[Score]])-1),FIND(" ",Table21[[#This Row],[Score]])+1,LEN(Table21[[#This Row],[Score]])))</f>
        <v>7</v>
      </c>
      <c r="F89">
        <f>_xlfn.NUMBERVALUE(RIGHT(Table21[[#This Row],[Score]],LEN(Table21[[#This Row],[Score]])-FIND("-",Table21[[#This Row],[Score]])))</f>
        <v>3</v>
      </c>
      <c r="G89">
        <f t="shared" si="12"/>
        <v>10</v>
      </c>
      <c r="H89" t="str">
        <f>LEFT(Table21[[#This Row],[Score]],1)</f>
        <v>W</v>
      </c>
      <c r="I89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89" s="33">
        <f>VLOOKUP(Table21[[#This Row],[OPP]],Raw!$L$2:$S$23,7,FALSE)-Raw!$U$2</f>
        <v>0.7572433271608402</v>
      </c>
    </row>
    <row r="90" spans="1:10" x14ac:dyDescent="0.25">
      <c r="A90" t="s">
        <v>471</v>
      </c>
      <c r="B90" t="s">
        <v>332</v>
      </c>
      <c r="C90" t="s">
        <v>316</v>
      </c>
      <c r="D90" t="str">
        <f>IF(LEFT(Table21[[#This Row],[Opponent]],1)="@","Away","Home")</f>
        <v>Away</v>
      </c>
      <c r="E90">
        <f>_xlfn.NUMBERVALUE(MID(LEFT(Table21[[#This Row],[Score]],FIND("-",Table21[[#This Row],[Score]])-1),FIND(" ",Table21[[#This Row],[Score]])+1,LEN(Table21[[#This Row],[Score]])))</f>
        <v>9</v>
      </c>
      <c r="F90">
        <f>_xlfn.NUMBERVALUE(RIGHT(Table21[[#This Row],[Score]],LEN(Table21[[#This Row],[Score]])-FIND("-",Table21[[#This Row],[Score]])))</f>
        <v>6</v>
      </c>
      <c r="G90">
        <f t="shared" si="12"/>
        <v>15</v>
      </c>
      <c r="H90" t="str">
        <f>LEFT(Table21[[#This Row],[Score]],1)</f>
        <v>W</v>
      </c>
      <c r="I90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90" s="33">
        <f>VLOOKUP(Table21[[#This Row],[OPP]],Raw!$L$2:$S$23,7,FALSE)-Raw!$U$2</f>
        <v>0.7572433271608402</v>
      </c>
    </row>
    <row r="91" spans="1:10" x14ac:dyDescent="0.25">
      <c r="A91" t="s">
        <v>461</v>
      </c>
      <c r="B91" t="s">
        <v>98</v>
      </c>
      <c r="C91" t="s">
        <v>351</v>
      </c>
      <c r="D91" t="str">
        <f>IF(LEFT(Table21[[#This Row],[Opponent]],1)="@","Away","Home")</f>
        <v>Home</v>
      </c>
      <c r="E91">
        <f>_xlfn.NUMBERVALUE(MID(LEFT(Table21[[#This Row],[Score]],FIND("-",Table21[[#This Row],[Score]])-1),FIND(" ",Table21[[#This Row],[Score]])+1,LEN(Table21[[#This Row],[Score]])))</f>
        <v>2</v>
      </c>
      <c r="F91">
        <f>_xlfn.NUMBERVALUE(RIGHT(Table21[[#This Row],[Score]],LEN(Table21[[#This Row],[Score]])-FIND("-",Table21[[#This Row],[Score]])))</f>
        <v>1</v>
      </c>
      <c r="G91">
        <f t="shared" si="12"/>
        <v>3</v>
      </c>
      <c r="H91" t="str">
        <f>LEFT(Table21[[#This Row],[Score]],1)</f>
        <v>W</v>
      </c>
      <c r="I91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91" s="33">
        <f>VLOOKUP(Table21[[#This Row],[OPP]],Raw!$L$2:$S$23,7,FALSE)-Raw!$U$2</f>
        <v>-1.4060978308986276</v>
      </c>
    </row>
    <row r="92" spans="1:10" x14ac:dyDescent="0.25">
      <c r="A92" t="s">
        <v>462</v>
      </c>
      <c r="B92" t="s">
        <v>98</v>
      </c>
      <c r="C92" t="s">
        <v>197</v>
      </c>
      <c r="D92" t="str">
        <f>IF(LEFT(Table21[[#This Row],[Opponent]],1)="@","Away","Home")</f>
        <v>Home</v>
      </c>
      <c r="E92">
        <f>_xlfn.NUMBERVALUE(MID(LEFT(Table21[[#This Row],[Score]],FIND("-",Table21[[#This Row],[Score]])-1),FIND(" ",Table21[[#This Row],[Score]])+1,LEN(Table21[[#This Row],[Score]])))</f>
        <v>0</v>
      </c>
      <c r="F92">
        <f>_xlfn.NUMBERVALUE(RIGHT(Table21[[#This Row],[Score]],LEN(Table21[[#This Row],[Score]])-FIND("-",Table21[[#This Row],[Score]])))</f>
        <v>1</v>
      </c>
      <c r="G92">
        <f t="shared" si="12"/>
        <v>1</v>
      </c>
      <c r="H92" t="str">
        <f>LEFT(Table21[[#This Row],[Score]],1)</f>
        <v>L</v>
      </c>
      <c r="I92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92" s="33">
        <f>VLOOKUP(Table21[[#This Row],[OPP]],Raw!$L$2:$S$23,7,FALSE)-Raw!$U$2</f>
        <v>-1.4060978308986276</v>
      </c>
    </row>
    <row r="93" spans="1:10" x14ac:dyDescent="0.25">
      <c r="A93" t="s">
        <v>463</v>
      </c>
      <c r="B93" t="s">
        <v>124</v>
      </c>
      <c r="C93" t="s">
        <v>128</v>
      </c>
      <c r="D93" t="str">
        <f>IF(LEFT(Table21[[#This Row],[Opponent]],1)="@","Away","Home")</f>
        <v>Away</v>
      </c>
      <c r="E93">
        <f>_xlfn.NUMBERVALUE(MID(LEFT(Table21[[#This Row],[Score]],FIND("-",Table21[[#This Row],[Score]])-1),FIND(" ",Table21[[#This Row],[Score]])+1,LEN(Table21[[#This Row],[Score]])))</f>
        <v>6</v>
      </c>
      <c r="F93">
        <f>_xlfn.NUMBERVALUE(RIGHT(Table21[[#This Row],[Score]],LEN(Table21[[#This Row],[Score]])-FIND("-",Table21[[#This Row],[Score]])))</f>
        <v>5</v>
      </c>
      <c r="G93">
        <f t="shared" si="12"/>
        <v>11</v>
      </c>
      <c r="H93" t="str">
        <f>LEFT(Table21[[#This Row],[Score]],1)</f>
        <v>W</v>
      </c>
      <c r="I93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93" s="33">
        <f>VLOOKUP(Table21[[#This Row],[OPP]],Raw!$L$2:$S$23,7,FALSE)-Raw!$U$2</f>
        <v>2.7744577246569277</v>
      </c>
    </row>
    <row r="94" spans="1:10" x14ac:dyDescent="0.25">
      <c r="A94" t="s">
        <v>463</v>
      </c>
      <c r="B94" t="s">
        <v>124</v>
      </c>
      <c r="C94" t="s">
        <v>89</v>
      </c>
      <c r="D94" t="str">
        <f>IF(LEFT(Table21[[#This Row],[Opponent]],1)="@","Away","Home")</f>
        <v>Away</v>
      </c>
      <c r="E94">
        <f>_xlfn.NUMBERVALUE(MID(LEFT(Table21[[#This Row],[Score]],FIND("-",Table21[[#This Row],[Score]])-1),FIND(" ",Table21[[#This Row],[Score]])+1,LEN(Table21[[#This Row],[Score]])))</f>
        <v>1</v>
      </c>
      <c r="F94">
        <f>_xlfn.NUMBERVALUE(RIGHT(Table21[[#This Row],[Score]],LEN(Table21[[#This Row],[Score]])-FIND("-",Table21[[#This Row],[Score]])))</f>
        <v>6</v>
      </c>
      <c r="G94">
        <f t="shared" si="12"/>
        <v>7</v>
      </c>
      <c r="H94" t="str">
        <f>LEFT(Table21[[#This Row],[Score]],1)</f>
        <v>L</v>
      </c>
      <c r="I94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94" s="33">
        <f>VLOOKUP(Table21[[#This Row],[OPP]],Raw!$L$2:$S$23,7,FALSE)-Raw!$U$2</f>
        <v>2.7744577246569277</v>
      </c>
    </row>
    <row r="95" spans="1:10" x14ac:dyDescent="0.25">
      <c r="A95" t="s">
        <v>464</v>
      </c>
      <c r="B95" t="s">
        <v>23</v>
      </c>
      <c r="C95" t="s">
        <v>270</v>
      </c>
      <c r="D95" t="str">
        <f>IF(LEFT(Table21[[#This Row],[Opponent]],1)="@","Away","Home")</f>
        <v>Home</v>
      </c>
      <c r="E95">
        <f>_xlfn.NUMBERVALUE(MID(LEFT(Table21[[#This Row],[Score]],FIND("-",Table21[[#This Row],[Score]])-1),FIND(" ",Table21[[#This Row],[Score]])+1,LEN(Table21[[#This Row],[Score]])))</f>
        <v>4</v>
      </c>
      <c r="F95">
        <f>_xlfn.NUMBERVALUE(RIGHT(Table21[[#This Row],[Score]],LEN(Table21[[#This Row],[Score]])-FIND("-",Table21[[#This Row],[Score]])))</f>
        <v>3</v>
      </c>
      <c r="G95">
        <f t="shared" si="12"/>
        <v>7</v>
      </c>
      <c r="H95" t="str">
        <f>LEFT(Table21[[#This Row],[Score]],1)</f>
        <v>W</v>
      </c>
      <c r="I95" s="17" t="str">
        <f>VLOOKUP(IF(Table21[[#This Row],[At]]="Home",Table21[[#This Row],[Opponent]],RIGHT(Table21[[#This Row],[Opponent]],LEN(Table21[[#This Row],[Opponent]])-1)),CHOOSE({1,2},[1]StandingsRAW!$J$1:$J$22,[1]StandingsRAW!$L$1:$L$22),2,FALSE)</f>
        <v>TVC</v>
      </c>
      <c r="J95" s="33">
        <f>VLOOKUP(Table21[[#This Row],[OPP]],Raw!$L$2:$S$23,7,FALSE)-Raw!$U$2</f>
        <v>1.4411243913235945</v>
      </c>
    </row>
    <row r="96" spans="1:10" x14ac:dyDescent="0.25">
      <c r="A96" t="s">
        <v>465</v>
      </c>
      <c r="B96" t="s">
        <v>23</v>
      </c>
      <c r="C96" t="s">
        <v>35</v>
      </c>
      <c r="D96" t="str">
        <f>IF(LEFT(Table21[[#This Row],[Opponent]],1)="@","Away","Home")</f>
        <v>Home</v>
      </c>
      <c r="E96">
        <f>_xlfn.NUMBERVALUE(MID(LEFT(Table21[[#This Row],[Score]],FIND("-",Table21[[#This Row],[Score]])-1),FIND(" ",Table21[[#This Row],[Score]])+1,LEN(Table21[[#This Row],[Score]])))</f>
        <v>4</v>
      </c>
      <c r="F96">
        <f>_xlfn.NUMBERVALUE(RIGHT(Table21[[#This Row],[Score]],LEN(Table21[[#This Row],[Score]])-FIND("-",Table21[[#This Row],[Score]])))</f>
        <v>1</v>
      </c>
      <c r="G96">
        <f t="shared" si="12"/>
        <v>5</v>
      </c>
      <c r="H96" t="str">
        <f>LEFT(Table21[[#This Row],[Score]],1)</f>
        <v>W</v>
      </c>
      <c r="I96" s="17" t="str">
        <f>VLOOKUP(IF(Table21[[#This Row],[At]]="Home",Table21[[#This Row],[Opponent]],RIGHT(Table21[[#This Row],[Opponent]],LEN(Table21[[#This Row],[Opponent]])-1)),CHOOSE({1,2},[1]StandingsRAW!$J$1:$J$22,[1]StandingsRAW!$L$1:$L$22),2,FALSE)</f>
        <v>TVC</v>
      </c>
      <c r="J96" s="33">
        <f>VLOOKUP(Table21[[#This Row],[OPP]],Raw!$L$2:$S$23,7,FALSE)-Raw!$U$2</f>
        <v>1.4411243913235945</v>
      </c>
    </row>
    <row r="97" spans="1:10" x14ac:dyDescent="0.25">
      <c r="A97" t="s">
        <v>466</v>
      </c>
      <c r="B97" t="s">
        <v>315</v>
      </c>
      <c r="C97" t="s">
        <v>89</v>
      </c>
      <c r="D97" t="str">
        <f>IF(LEFT(Table21[[#This Row],[Opponent]],1)="@","Away","Home")</f>
        <v>Away</v>
      </c>
      <c r="E97">
        <f>_xlfn.NUMBERVALUE(MID(LEFT(Table21[[#This Row],[Score]],FIND("-",Table21[[#This Row],[Score]])-1),FIND(" ",Table21[[#This Row],[Score]])+1,LEN(Table21[[#This Row],[Score]])))</f>
        <v>1</v>
      </c>
      <c r="F97">
        <f>_xlfn.NUMBERVALUE(RIGHT(Table21[[#This Row],[Score]],LEN(Table21[[#This Row],[Score]])-FIND("-",Table21[[#This Row],[Score]])))</f>
        <v>6</v>
      </c>
      <c r="G97">
        <f t="shared" si="12"/>
        <v>7</v>
      </c>
      <c r="H97" t="str">
        <f>LEFT(Table21[[#This Row],[Score]],1)</f>
        <v>L</v>
      </c>
      <c r="I97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97" s="33">
        <f>VLOOKUP(Table21[[#This Row],[OPP]],Raw!$L$2:$S$23,7,FALSE)-Raw!$U$2</f>
        <v>0.13556883576803896</v>
      </c>
    </row>
    <row r="98" spans="1:10" x14ac:dyDescent="0.25">
      <c r="A98" t="s">
        <v>467</v>
      </c>
      <c r="B98" t="s">
        <v>315</v>
      </c>
      <c r="C98" t="s">
        <v>205</v>
      </c>
      <c r="D98" t="str">
        <f>IF(LEFT(Table21[[#This Row],[Opponent]],1)="@","Away","Home")</f>
        <v>Away</v>
      </c>
      <c r="E98">
        <f>_xlfn.NUMBERVALUE(MID(LEFT(Table21[[#This Row],[Score]],FIND("-",Table21[[#This Row],[Score]])-1),FIND(" ",Table21[[#This Row],[Score]])+1,LEN(Table21[[#This Row],[Score]])))</f>
        <v>5</v>
      </c>
      <c r="F98">
        <f>_xlfn.NUMBERVALUE(RIGHT(Table21[[#This Row],[Score]],LEN(Table21[[#This Row],[Score]])-FIND("-",Table21[[#This Row],[Score]])))</f>
        <v>6</v>
      </c>
      <c r="G98">
        <f t="shared" si="12"/>
        <v>11</v>
      </c>
      <c r="H98" t="str">
        <f>LEFT(Table21[[#This Row],[Score]],1)</f>
        <v>L</v>
      </c>
      <c r="I98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98" s="33">
        <f>VLOOKUP(Table21[[#This Row],[OPP]],Raw!$L$2:$S$23,7,FALSE)-Raw!$U$2</f>
        <v>0.13556883576803896</v>
      </c>
    </row>
    <row r="99" spans="1:10" x14ac:dyDescent="0.25">
      <c r="A99" t="s">
        <v>468</v>
      </c>
      <c r="B99" t="s">
        <v>319</v>
      </c>
      <c r="C99" t="s">
        <v>36</v>
      </c>
      <c r="D99" t="str">
        <f>IF(LEFT(Table21[[#This Row],[Opponent]],1)="@","Away","Home")</f>
        <v>Away</v>
      </c>
      <c r="E99">
        <f>_xlfn.NUMBERVALUE(MID(LEFT(Table21[[#This Row],[Score]],FIND("-",Table21[[#This Row],[Score]])-1),FIND(" ",Table21[[#This Row],[Score]])+1,LEN(Table21[[#This Row],[Score]])))</f>
        <v>1</v>
      </c>
      <c r="F99">
        <f>_xlfn.NUMBERVALUE(RIGHT(Table21[[#This Row],[Score]],LEN(Table21[[#This Row],[Score]])-FIND("-",Table21[[#This Row],[Score]])))</f>
        <v>5</v>
      </c>
      <c r="G99">
        <f t="shared" si="12"/>
        <v>6</v>
      </c>
      <c r="H99" t="str">
        <f>LEFT(Table21[[#This Row],[Score]],1)</f>
        <v>L</v>
      </c>
      <c r="I99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99" s="33">
        <f>VLOOKUP(Table21[[#This Row],[OPP]],Raw!$L$2:$S$23,7,FALSE)-Raw!$U$2</f>
        <v>-1.5172089420097388</v>
      </c>
    </row>
    <row r="100" spans="1:10" x14ac:dyDescent="0.25">
      <c r="A100" t="s">
        <v>498</v>
      </c>
      <c r="B100" t="s">
        <v>321</v>
      </c>
      <c r="C100" t="s">
        <v>402</v>
      </c>
      <c r="D100" t="str">
        <f>IF(LEFT(Table21[[#This Row],[Opponent]],1)="@","Away","Home")</f>
        <v>Home</v>
      </c>
      <c r="E100">
        <f>_xlfn.NUMBERVALUE(MID(LEFT(Table21[[#This Row],[Score]],FIND("-",Table21[[#This Row],[Score]])-1),FIND(" ",Table21[[#This Row],[Score]])+1,LEN(Table21[[#This Row],[Score]])))</f>
        <v>13</v>
      </c>
      <c r="F100">
        <f>_xlfn.NUMBERVALUE(RIGHT(Table21[[#This Row],[Score]],LEN(Table21[[#This Row],[Score]])-FIND("-",Table21[[#This Row],[Score]])))</f>
        <v>2</v>
      </c>
      <c r="G100">
        <f t="shared" ref="G100:G102" si="13">E100+F100</f>
        <v>15</v>
      </c>
      <c r="H100" t="str">
        <f>LEFT(Table21[[#This Row],[Score]],1)</f>
        <v>W</v>
      </c>
      <c r="I100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100" s="33">
        <f>VLOOKUP(Table21[[#This Row],[OPP]],Raw!$L$2:$S$23,7,FALSE)-Raw!$U$2</f>
        <v>-1.5172089420097388</v>
      </c>
    </row>
    <row r="101" spans="1:10" x14ac:dyDescent="0.25">
      <c r="A101" t="s">
        <v>499</v>
      </c>
      <c r="B101" t="s">
        <v>115</v>
      </c>
      <c r="C101" t="s">
        <v>335</v>
      </c>
      <c r="D101" t="str">
        <f>IF(LEFT(Table21[[#This Row],[Opponent]],1)="@","Away","Home")</f>
        <v>Away</v>
      </c>
      <c r="E101">
        <f>_xlfn.NUMBERVALUE(MID(LEFT(Table21[[#This Row],[Score]],FIND("-",Table21[[#This Row],[Score]])-1),FIND(" ",Table21[[#This Row],[Score]])+1,LEN(Table21[[#This Row],[Score]])))</f>
        <v>6</v>
      </c>
      <c r="F101">
        <f>_xlfn.NUMBERVALUE(RIGHT(Table21[[#This Row],[Score]],LEN(Table21[[#This Row],[Score]])-FIND("-",Table21[[#This Row],[Score]])))</f>
        <v>4</v>
      </c>
      <c r="G101">
        <f t="shared" si="13"/>
        <v>10</v>
      </c>
      <c r="H101" t="str">
        <f>LEFT(Table21[[#This Row],[Score]],1)</f>
        <v>W</v>
      </c>
      <c r="I101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101" s="33">
        <f>VLOOKUP(Table21[[#This Row],[OPP]],Raw!$L$2:$S$23,7,FALSE)-Raw!$U$2</f>
        <v>-1.4060978308986276</v>
      </c>
    </row>
    <row r="102" spans="1:10" x14ac:dyDescent="0.25">
      <c r="A102" t="s">
        <v>500</v>
      </c>
      <c r="B102" t="s">
        <v>98</v>
      </c>
      <c r="C102" t="s">
        <v>15</v>
      </c>
      <c r="D102" t="str">
        <f>IF(LEFT(Table21[[#This Row],[Opponent]],1)="@","Away","Home")</f>
        <v>Home</v>
      </c>
      <c r="E102">
        <f>_xlfn.NUMBERVALUE(MID(LEFT(Table21[[#This Row],[Score]],FIND("-",Table21[[#This Row],[Score]])-1),FIND(" ",Table21[[#This Row],[Score]])+1,LEN(Table21[[#This Row],[Score]])))</f>
        <v>3</v>
      </c>
      <c r="F102">
        <f>_xlfn.NUMBERVALUE(RIGHT(Table21[[#This Row],[Score]],LEN(Table21[[#This Row],[Score]])-FIND("-",Table21[[#This Row],[Score]])))</f>
        <v>1</v>
      </c>
      <c r="G102">
        <f t="shared" si="13"/>
        <v>4</v>
      </c>
      <c r="H102" t="str">
        <f>LEFT(Table21[[#This Row],[Score]],1)</f>
        <v>W</v>
      </c>
      <c r="I102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102" s="33">
        <f>VLOOKUP(Table21[[#This Row],[OPP]],Raw!$L$2:$S$23,7,FALSE)-Raw!$U$2</f>
        <v>-1.4060978308986276</v>
      </c>
    </row>
    <row r="103" spans="1:10" x14ac:dyDescent="0.25">
      <c r="A103" t="s">
        <v>501</v>
      </c>
      <c r="B103" t="s">
        <v>333</v>
      </c>
      <c r="C103" t="s">
        <v>269</v>
      </c>
      <c r="D103" t="str">
        <f>IF(LEFT(Table21[[#This Row],[Opponent]],1)="@","Away","Home")</f>
        <v>Home</v>
      </c>
      <c r="E103">
        <f>_xlfn.NUMBERVALUE(MID(LEFT(Table21[[#This Row],[Score]],FIND("-",Table21[[#This Row],[Score]])-1),FIND(" ",Table21[[#This Row],[Score]])+1,LEN(Table21[[#This Row],[Score]])))</f>
        <v>2</v>
      </c>
      <c r="F103">
        <f>_xlfn.NUMBERVALUE(RIGHT(Table21[[#This Row],[Score]],LEN(Table21[[#This Row],[Score]])-FIND("-",Table21[[#This Row],[Score]])))</f>
        <v>3</v>
      </c>
      <c r="G103">
        <f t="shared" ref="G103:G104" si="14">E103+F103</f>
        <v>5</v>
      </c>
      <c r="H103" t="str">
        <f>LEFT(Table21[[#This Row],[Score]],1)</f>
        <v>L</v>
      </c>
      <c r="I103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103" s="33">
        <f>VLOOKUP(Table21[[#This Row],[OPP]],Raw!$L$2:$S$23,7,FALSE)-Raw!$U$2</f>
        <v>0.7572433271608402</v>
      </c>
    </row>
    <row r="104" spans="1:10" x14ac:dyDescent="0.25">
      <c r="A104" t="s">
        <v>502</v>
      </c>
      <c r="B104" t="s">
        <v>332</v>
      </c>
      <c r="C104" t="s">
        <v>419</v>
      </c>
      <c r="D104" t="str">
        <f>IF(LEFT(Table21[[#This Row],[Opponent]],1)="@","Away","Home")</f>
        <v>Away</v>
      </c>
      <c r="E104">
        <f>_xlfn.NUMBERVALUE(MID(LEFT(Table21[[#This Row],[Score]],FIND("-",Table21[[#This Row],[Score]])-1),FIND(" ",Table21[[#This Row],[Score]])+1,LEN(Table21[[#This Row],[Score]])))</f>
        <v>4</v>
      </c>
      <c r="F104">
        <f>_xlfn.NUMBERVALUE(RIGHT(Table21[[#This Row],[Score]],LEN(Table21[[#This Row],[Score]])-FIND("-",Table21[[#This Row],[Score]])))</f>
        <v>14</v>
      </c>
      <c r="G104">
        <f t="shared" si="14"/>
        <v>18</v>
      </c>
      <c r="H104" t="str">
        <f>LEFT(Table21[[#This Row],[Score]],1)</f>
        <v>L</v>
      </c>
      <c r="I104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104" s="33">
        <f>VLOOKUP(Table21[[#This Row],[OPP]],Raw!$L$2:$S$23,7,FALSE)-Raw!$U$2</f>
        <v>0.7572433271608402</v>
      </c>
    </row>
    <row r="105" spans="1:10" x14ac:dyDescent="0.25">
      <c r="A105" t="s">
        <v>505</v>
      </c>
      <c r="B105" t="s">
        <v>314</v>
      </c>
      <c r="C105" t="s">
        <v>323</v>
      </c>
      <c r="D105" t="str">
        <f>IF(LEFT(Table21[[#This Row],[Opponent]],1)="@","Away","Home")</f>
        <v>Home</v>
      </c>
      <c r="E105">
        <f>_xlfn.NUMBERVALUE(MID(LEFT(Table21[[#This Row],[Score]],FIND("-",Table21[[#This Row],[Score]])-1),FIND(" ",Table21[[#This Row],[Score]])+1,LEN(Table21[[#This Row],[Score]])))</f>
        <v>7</v>
      </c>
      <c r="F105">
        <f>_xlfn.NUMBERVALUE(RIGHT(Table21[[#This Row],[Score]],LEN(Table21[[#This Row],[Score]])-FIND("-",Table21[[#This Row],[Score]])))</f>
        <v>6</v>
      </c>
      <c r="G105">
        <f>E105+F105</f>
        <v>13</v>
      </c>
      <c r="H105" t="str">
        <f>LEFT(Table21[[#This Row],[Score]],1)</f>
        <v>W</v>
      </c>
      <c r="I105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105" s="33">
        <f>VLOOKUP(Table21[[#This Row],[OPP]],Raw!$L$2:$S$23,7,FALSE)-Raw!$U$2</f>
        <v>0.13556883576803896</v>
      </c>
    </row>
    <row r="106" spans="1:10" x14ac:dyDescent="0.25">
      <c r="A106" t="s">
        <v>508</v>
      </c>
      <c r="B106" t="s">
        <v>314</v>
      </c>
      <c r="C106" t="s">
        <v>205</v>
      </c>
      <c r="D106" t="str">
        <f>IF(LEFT(Table21[[#This Row],[Opponent]],1)="@","Away","Home")</f>
        <v>Home</v>
      </c>
      <c r="E106">
        <f>_xlfn.NUMBERVALUE(MID(LEFT(Table21[[#This Row],[Score]],FIND("-",Table21[[#This Row],[Score]])-1),FIND(" ",Table21[[#This Row],[Score]])+1,LEN(Table21[[#This Row],[Score]])))</f>
        <v>5</v>
      </c>
      <c r="F106">
        <f>_xlfn.NUMBERVALUE(RIGHT(Table21[[#This Row],[Score]],LEN(Table21[[#This Row],[Score]])-FIND("-",Table21[[#This Row],[Score]])))</f>
        <v>6</v>
      </c>
      <c r="G106">
        <f t="shared" ref="G106:G108" si="15">E106+F106</f>
        <v>11</v>
      </c>
      <c r="H106" t="str">
        <f>LEFT(Table21[[#This Row],[Score]],1)</f>
        <v>L</v>
      </c>
      <c r="I106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106" s="33">
        <f>VLOOKUP(Table21[[#This Row],[OPP]],Raw!$L$2:$S$23,7,FALSE)-Raw!$U$2</f>
        <v>0.13556883576803896</v>
      </c>
    </row>
    <row r="107" spans="1:10" x14ac:dyDescent="0.25">
      <c r="A107" t="s">
        <v>509</v>
      </c>
      <c r="B107" t="s">
        <v>98</v>
      </c>
      <c r="C107" t="s">
        <v>280</v>
      </c>
      <c r="D107" t="str">
        <f>IF(LEFT(Table21[[#This Row],[Opponent]],1)="@","Away","Home")</f>
        <v>Home</v>
      </c>
      <c r="E107">
        <f>_xlfn.NUMBERVALUE(MID(LEFT(Table21[[#This Row],[Score]],FIND("-",Table21[[#This Row],[Score]])-1),FIND(" ",Table21[[#This Row],[Score]])+1,LEN(Table21[[#This Row],[Score]])))</f>
        <v>8</v>
      </c>
      <c r="F107">
        <f>_xlfn.NUMBERVALUE(RIGHT(Table21[[#This Row],[Score]],LEN(Table21[[#This Row],[Score]])-FIND("-",Table21[[#This Row],[Score]])))</f>
        <v>3</v>
      </c>
      <c r="G107">
        <f t="shared" si="15"/>
        <v>11</v>
      </c>
      <c r="H107" t="str">
        <f>LEFT(Table21[[#This Row],[Score]],1)</f>
        <v>W</v>
      </c>
      <c r="I107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107" s="33">
        <f>VLOOKUP(Table21[[#This Row],[OPP]],Raw!$L$2:$S$23,7,FALSE)-Raw!$U$2</f>
        <v>-1.4060978308986276</v>
      </c>
    </row>
    <row r="108" spans="1:10" x14ac:dyDescent="0.25">
      <c r="A108" t="s">
        <v>510</v>
      </c>
      <c r="B108" t="s">
        <v>115</v>
      </c>
      <c r="C108" t="s">
        <v>256</v>
      </c>
      <c r="D108" t="str">
        <f>IF(LEFT(Table21[[#This Row],[Opponent]],1)="@","Away","Home")</f>
        <v>Away</v>
      </c>
      <c r="E108">
        <f>_xlfn.NUMBERVALUE(MID(LEFT(Table21[[#This Row],[Score]],FIND("-",Table21[[#This Row],[Score]])-1),FIND(" ",Table21[[#This Row],[Score]])+1,LEN(Table21[[#This Row],[Score]])))</f>
        <v>11</v>
      </c>
      <c r="F108">
        <f>_xlfn.NUMBERVALUE(RIGHT(Table21[[#This Row],[Score]],LEN(Table21[[#This Row],[Score]])-FIND("-",Table21[[#This Row],[Score]])))</f>
        <v>6</v>
      </c>
      <c r="G108">
        <f t="shared" si="15"/>
        <v>17</v>
      </c>
      <c r="H108" t="str">
        <f>LEFT(Table21[[#This Row],[Score]],1)</f>
        <v>W</v>
      </c>
      <c r="I108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108" s="33">
        <f>VLOOKUP(Table21[[#This Row],[OPP]],Raw!$L$2:$S$23,7,FALSE)-Raw!$U$2</f>
        <v>-1.4060978308986276</v>
      </c>
    </row>
    <row r="109" spans="1:10" x14ac:dyDescent="0.25">
      <c r="A109" t="s">
        <v>515</v>
      </c>
      <c r="B109" t="s">
        <v>40</v>
      </c>
      <c r="C109" t="s">
        <v>252</v>
      </c>
      <c r="D109" t="str">
        <f>IF(LEFT(Table21[[#This Row],[Opponent]],1)="@","Away","Home")</f>
        <v>Away</v>
      </c>
      <c r="E109">
        <f>_xlfn.NUMBERVALUE(MID(LEFT(Table21[[#This Row],[Score]],FIND("-",Table21[[#This Row],[Score]])-1),FIND(" ",Table21[[#This Row],[Score]])+1,LEN(Table21[[#This Row],[Score]])))</f>
        <v>2</v>
      </c>
      <c r="F109">
        <f>_xlfn.NUMBERVALUE(RIGHT(Table21[[#This Row],[Score]],LEN(Table21[[#This Row],[Score]])-FIND("-",Table21[[#This Row],[Score]])))</f>
        <v>8</v>
      </c>
      <c r="G109">
        <f>E109+F109</f>
        <v>10</v>
      </c>
      <c r="H109" t="str">
        <f>LEFT(Table21[[#This Row],[Score]],1)</f>
        <v>L</v>
      </c>
      <c r="I109" s="17" t="str">
        <f>VLOOKUP(IF(Table21[[#This Row],[At]]="Home",Table21[[#This Row],[Opponent]],RIGHT(Table21[[#This Row],[Opponent]],LEN(Table21[[#This Row],[Opponent]])-1)),CHOOSE({1,2},[1]StandingsRAW!$J$1:$J$22,[1]StandingsRAW!$L$1:$L$22),2,FALSE)</f>
        <v>TVC</v>
      </c>
      <c r="J109" s="33">
        <f>VLOOKUP(Table21[[#This Row],[OPP]],Raw!$L$2:$S$23,7,FALSE)-Raw!$U$2</f>
        <v>1.4411243913235945</v>
      </c>
    </row>
    <row r="110" spans="1:10" x14ac:dyDescent="0.25">
      <c r="A110" t="s">
        <v>518</v>
      </c>
      <c r="B110" t="s">
        <v>40</v>
      </c>
      <c r="C110" t="s">
        <v>230</v>
      </c>
      <c r="D110" t="str">
        <f>IF(LEFT(Table21[[#This Row],[Opponent]],1)="@","Away","Home")</f>
        <v>Away</v>
      </c>
      <c r="E110">
        <f>_xlfn.NUMBERVALUE(MID(LEFT(Table21[[#This Row],[Score]],FIND("-",Table21[[#This Row],[Score]])-1),FIND(" ",Table21[[#This Row],[Score]])+1,LEN(Table21[[#This Row],[Score]])))</f>
        <v>4</v>
      </c>
      <c r="F110">
        <f>_xlfn.NUMBERVALUE(RIGHT(Table21[[#This Row],[Score]],LEN(Table21[[#This Row],[Score]])-FIND("-",Table21[[#This Row],[Score]])))</f>
        <v>9</v>
      </c>
      <c r="G110">
        <f t="shared" ref="G110:G113" si="16">E110+F110</f>
        <v>13</v>
      </c>
      <c r="H110" t="str">
        <f>LEFT(Table21[[#This Row],[Score]],1)</f>
        <v>L</v>
      </c>
      <c r="I110" s="17" t="str">
        <f>VLOOKUP(IF(Table21[[#This Row],[At]]="Home",Table21[[#This Row],[Opponent]],RIGHT(Table21[[#This Row],[Opponent]],LEN(Table21[[#This Row],[Opponent]])-1)),CHOOSE({1,2},[1]StandingsRAW!$J$1:$J$22,[1]StandingsRAW!$L$1:$L$22),2,FALSE)</f>
        <v>TVC</v>
      </c>
      <c r="J110" s="33">
        <f>VLOOKUP(Table21[[#This Row],[OPP]],Raw!$L$2:$S$23,7,FALSE)-Raw!$U$2</f>
        <v>1.4411243913235945</v>
      </c>
    </row>
    <row r="111" spans="1:10" x14ac:dyDescent="0.25">
      <c r="A111" t="s">
        <v>519</v>
      </c>
      <c r="B111" t="s">
        <v>17</v>
      </c>
      <c r="C111" t="s">
        <v>523</v>
      </c>
      <c r="D111" t="str">
        <f>IF(LEFT(Table21[[#This Row],[Opponent]],1)="@","Away","Home")</f>
        <v>Away</v>
      </c>
      <c r="E111">
        <f>_xlfn.NUMBERVALUE(MID(LEFT(Table21[[#This Row],[Score]],FIND("-",Table21[[#This Row],[Score]])-1),FIND(" ",Table21[[#This Row],[Score]])+1,LEN(Table21[[#This Row],[Score]])))</f>
        <v>12</v>
      </c>
      <c r="F111">
        <f>_xlfn.NUMBERVALUE(RIGHT(Table21[[#This Row],[Score]],LEN(Table21[[#This Row],[Score]])-FIND("-",Table21[[#This Row],[Score]])))</f>
        <v>15</v>
      </c>
      <c r="G111">
        <f t="shared" si="16"/>
        <v>27</v>
      </c>
      <c r="H111" t="str">
        <f>LEFT(Table21[[#This Row],[Score]],1)</f>
        <v>L</v>
      </c>
      <c r="I111" s="17" t="str">
        <f>VLOOKUP(IF(Table21[[#This Row],[At]]="Home",Table21[[#This Row],[Opponent]],RIGHT(Table21[[#This Row],[Opponent]],LEN(Table21[[#This Row],[Opponent]])-1)),CHOOSE({1,2},[1]StandingsRAW!$J$1:$J$22,[1]StandingsRAW!$L$1:$L$22),2,FALSE)</f>
        <v>KZO</v>
      </c>
      <c r="J111" s="33">
        <f>VLOOKUP(Table21[[#This Row],[OPP]],Raw!$L$2:$S$23,7,FALSE)-Raw!$U$2</f>
        <v>0.53189121448478383</v>
      </c>
    </row>
    <row r="112" spans="1:10" x14ac:dyDescent="0.25">
      <c r="A112" t="s">
        <v>520</v>
      </c>
      <c r="B112" t="s">
        <v>17</v>
      </c>
      <c r="C112" t="s">
        <v>279</v>
      </c>
      <c r="D112" t="str">
        <f>IF(LEFT(Table21[[#This Row],[Opponent]],1)="@","Away","Home")</f>
        <v>Away</v>
      </c>
      <c r="E112">
        <f>_xlfn.NUMBERVALUE(MID(LEFT(Table21[[#This Row],[Score]],FIND("-",Table21[[#This Row],[Score]])-1),FIND(" ",Table21[[#This Row],[Score]])+1,LEN(Table21[[#This Row],[Score]])))</f>
        <v>7</v>
      </c>
      <c r="F112">
        <f>_xlfn.NUMBERVALUE(RIGHT(Table21[[#This Row],[Score]],LEN(Table21[[#This Row],[Score]])-FIND("-",Table21[[#This Row],[Score]])))</f>
        <v>2</v>
      </c>
      <c r="G112">
        <f t="shared" si="16"/>
        <v>9</v>
      </c>
      <c r="H112" t="str">
        <f>LEFT(Table21[[#This Row],[Score]],1)</f>
        <v>W</v>
      </c>
      <c r="I112" s="17" t="str">
        <f>VLOOKUP(IF(Table21[[#This Row],[At]]="Home",Table21[[#This Row],[Opponent]],RIGHT(Table21[[#This Row],[Opponent]],LEN(Table21[[#This Row],[Opponent]])-1)),CHOOSE({1,2},[1]StandingsRAW!$J$1:$J$22,[1]StandingsRAW!$L$1:$L$22),2,FALSE)</f>
        <v>KZO</v>
      </c>
      <c r="J112" s="33">
        <f>VLOOKUP(Table21[[#This Row],[OPP]],Raw!$L$2:$S$23,7,FALSE)-Raw!$U$2</f>
        <v>0.53189121448478383</v>
      </c>
    </row>
    <row r="113" spans="1:10" x14ac:dyDescent="0.25">
      <c r="A113" t="s">
        <v>521</v>
      </c>
      <c r="B113" t="s">
        <v>124</v>
      </c>
      <c r="C113" t="s">
        <v>298</v>
      </c>
      <c r="D113" t="str">
        <f>IF(LEFT(Table21[[#This Row],[Opponent]],1)="@","Away","Home")</f>
        <v>Away</v>
      </c>
      <c r="E113">
        <f>_xlfn.NUMBERVALUE(MID(LEFT(Table21[[#This Row],[Score]],FIND("-",Table21[[#This Row],[Score]])-1),FIND(" ",Table21[[#This Row],[Score]])+1,LEN(Table21[[#This Row],[Score]])))</f>
        <v>1</v>
      </c>
      <c r="F113">
        <f>_xlfn.NUMBERVALUE(RIGHT(Table21[[#This Row],[Score]],LEN(Table21[[#This Row],[Score]])-FIND("-",Table21[[#This Row],[Score]])))</f>
        <v>2</v>
      </c>
      <c r="G113">
        <f t="shared" si="16"/>
        <v>3</v>
      </c>
      <c r="H113" t="str">
        <f>LEFT(Table21[[#This Row],[Score]],1)</f>
        <v>L</v>
      </c>
      <c r="I113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113" s="33">
        <f>VLOOKUP(Table21[[#This Row],[OPP]],Raw!$L$2:$S$23,7,FALSE)-Raw!$U$2</f>
        <v>2.7744577246569277</v>
      </c>
    </row>
    <row r="114" spans="1:10" x14ac:dyDescent="0.25">
      <c r="A114" t="s">
        <v>524</v>
      </c>
      <c r="B114" t="s">
        <v>103</v>
      </c>
      <c r="C114" t="s">
        <v>271</v>
      </c>
      <c r="D114" t="str">
        <f>IF(LEFT(Table21[[#This Row],[Opponent]],1)="@","Away","Home")</f>
        <v>Home</v>
      </c>
      <c r="E114">
        <f>_xlfn.NUMBERVALUE(MID(LEFT(Table21[[#This Row],[Score]],FIND("-",Table21[[#This Row],[Score]])-1),FIND(" ",Table21[[#This Row],[Score]])+1,LEN(Table21[[#This Row],[Score]])))</f>
        <v>5</v>
      </c>
      <c r="F114">
        <f>_xlfn.NUMBERVALUE(RIGHT(Table21[[#This Row],[Score]],LEN(Table21[[#This Row],[Score]])-FIND("-",Table21[[#This Row],[Score]])))</f>
        <v>11</v>
      </c>
      <c r="G114">
        <f t="shared" ref="G114:G120" si="17">E114+F114</f>
        <v>16</v>
      </c>
      <c r="H114" t="str">
        <f>LEFT(Table21[[#This Row],[Score]],1)</f>
        <v>L</v>
      </c>
      <c r="I114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114" s="33">
        <f>VLOOKUP(Table21[[#This Row],[OPP]],Raw!$L$2:$S$23,7,FALSE)-Raw!$U$2</f>
        <v>2.7744577246569277</v>
      </c>
    </row>
    <row r="115" spans="1:10" x14ac:dyDescent="0.25">
      <c r="A115" t="s">
        <v>525</v>
      </c>
      <c r="B115" t="s">
        <v>321</v>
      </c>
      <c r="C115" t="s">
        <v>232</v>
      </c>
      <c r="D115" t="str">
        <f>IF(LEFT(Table21[[#This Row],[Opponent]],1)="@","Away","Home")</f>
        <v>Home</v>
      </c>
      <c r="E115">
        <f>_xlfn.NUMBERVALUE(MID(LEFT(Table21[[#This Row],[Score]],FIND("-",Table21[[#This Row],[Score]])-1),FIND(" ",Table21[[#This Row],[Score]])+1,LEN(Table21[[#This Row],[Score]])))</f>
        <v>8</v>
      </c>
      <c r="F115">
        <f>_xlfn.NUMBERVALUE(RIGHT(Table21[[#This Row],[Score]],LEN(Table21[[#This Row],[Score]])-FIND("-",Table21[[#This Row],[Score]])))</f>
        <v>6</v>
      </c>
      <c r="G115">
        <f t="shared" si="17"/>
        <v>14</v>
      </c>
      <c r="H115" t="str">
        <f>LEFT(Table21[[#This Row],[Score]],1)</f>
        <v>W</v>
      </c>
      <c r="I115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115" s="33">
        <f>VLOOKUP(Table21[[#This Row],[OPP]],Raw!$L$2:$S$23,7,FALSE)-Raw!$U$2</f>
        <v>-1.5172089420097388</v>
      </c>
    </row>
    <row r="116" spans="1:10" x14ac:dyDescent="0.25">
      <c r="A116" t="s">
        <v>526</v>
      </c>
      <c r="B116" t="s">
        <v>321</v>
      </c>
      <c r="C116" t="s">
        <v>415</v>
      </c>
      <c r="D116" t="str">
        <f>IF(LEFT(Table21[[#This Row],[Opponent]],1)="@","Away","Home")</f>
        <v>Home</v>
      </c>
      <c r="E116">
        <f>_xlfn.NUMBERVALUE(MID(LEFT(Table21[[#This Row],[Score]],FIND("-",Table21[[#This Row],[Score]])-1),FIND(" ",Table21[[#This Row],[Score]])+1,LEN(Table21[[#This Row],[Score]])))</f>
        <v>17</v>
      </c>
      <c r="F116">
        <f>_xlfn.NUMBERVALUE(RIGHT(Table21[[#This Row],[Score]],LEN(Table21[[#This Row],[Score]])-FIND("-",Table21[[#This Row],[Score]])))</f>
        <v>8</v>
      </c>
      <c r="G116">
        <f t="shared" si="17"/>
        <v>25</v>
      </c>
      <c r="H116" t="str">
        <f>LEFT(Table21[[#This Row],[Score]],1)</f>
        <v>W</v>
      </c>
      <c r="I116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116" s="33">
        <f>VLOOKUP(Table21[[#This Row],[OPP]],Raw!$L$2:$S$23,7,FALSE)-Raw!$U$2</f>
        <v>-1.5172089420097388</v>
      </c>
    </row>
    <row r="117" spans="1:10" x14ac:dyDescent="0.25">
      <c r="A117" t="s">
        <v>527</v>
      </c>
      <c r="B117" t="s">
        <v>5</v>
      </c>
      <c r="C117" t="s">
        <v>538</v>
      </c>
      <c r="D117" t="str">
        <f>IF(LEFT(Table21[[#This Row],[Opponent]],1)="@","Away","Home")</f>
        <v>Home</v>
      </c>
      <c r="E117">
        <f>_xlfn.NUMBERVALUE(MID(LEFT(Table21[[#This Row],[Score]],FIND("-",Table21[[#This Row],[Score]])-1),FIND(" ",Table21[[#This Row],[Score]])+1,LEN(Table21[[#This Row],[Score]])))</f>
        <v>23</v>
      </c>
      <c r="F117">
        <f>_xlfn.NUMBERVALUE(RIGHT(Table21[[#This Row],[Score]],LEN(Table21[[#This Row],[Score]])-FIND("-",Table21[[#This Row],[Score]])))</f>
        <v>5</v>
      </c>
      <c r="G117">
        <f t="shared" si="17"/>
        <v>28</v>
      </c>
      <c r="H117" t="str">
        <f>LEFT(Table21[[#This Row],[Score]],1)</f>
        <v>W</v>
      </c>
      <c r="I117" s="17" t="str">
        <f>VLOOKUP(IF(Table21[[#This Row],[At]]="Home",Table21[[#This Row],[Opponent]],RIGHT(Table21[[#This Row],[Opponent]],LEN(Table21[[#This Row],[Opponent]])-1)),CHOOSE({1,2},[1]StandingsRAW!$J$1:$J$22,[1]StandingsRAW!$L$1:$L$22),2,FALSE)</f>
        <v>KZO</v>
      </c>
      <c r="J117" s="33">
        <f>VLOOKUP(Table21[[#This Row],[OPP]],Raw!$L$2:$S$23,7,FALSE)-Raw!$U$2</f>
        <v>0.53189121448478383</v>
      </c>
    </row>
    <row r="118" spans="1:10" x14ac:dyDescent="0.25">
      <c r="A118" t="s">
        <v>528</v>
      </c>
      <c r="B118" t="s">
        <v>5</v>
      </c>
      <c r="C118" t="s">
        <v>384</v>
      </c>
      <c r="D118" t="str">
        <f>IF(LEFT(Table21[[#This Row],[Opponent]],1)="@","Away","Home")</f>
        <v>Home</v>
      </c>
      <c r="E118">
        <f>_xlfn.NUMBERVALUE(MID(LEFT(Table21[[#This Row],[Score]],FIND("-",Table21[[#This Row],[Score]])-1),FIND(" ",Table21[[#This Row],[Score]])+1,LEN(Table21[[#This Row],[Score]])))</f>
        <v>7</v>
      </c>
      <c r="F118">
        <f>_xlfn.NUMBERVALUE(RIGHT(Table21[[#This Row],[Score]],LEN(Table21[[#This Row],[Score]])-FIND("-",Table21[[#This Row],[Score]])))</f>
        <v>5</v>
      </c>
      <c r="G118">
        <f t="shared" si="17"/>
        <v>12</v>
      </c>
      <c r="H118" t="str">
        <f>LEFT(Table21[[#This Row],[Score]],1)</f>
        <v>W</v>
      </c>
      <c r="I118" s="17" t="str">
        <f>VLOOKUP(IF(Table21[[#This Row],[At]]="Home",Table21[[#This Row],[Opponent]],RIGHT(Table21[[#This Row],[Opponent]],LEN(Table21[[#This Row],[Opponent]])-1)),CHOOSE({1,2},[1]StandingsRAW!$J$1:$J$22,[1]StandingsRAW!$L$1:$L$22),2,FALSE)</f>
        <v>KZO</v>
      </c>
      <c r="J118" s="33">
        <f>VLOOKUP(Table21[[#This Row],[OPP]],Raw!$L$2:$S$23,7,FALSE)-Raw!$U$2</f>
        <v>0.53189121448478383</v>
      </c>
    </row>
    <row r="119" spans="1:10" x14ac:dyDescent="0.25">
      <c r="A119" t="s">
        <v>529</v>
      </c>
      <c r="B119" t="s">
        <v>115</v>
      </c>
      <c r="C119" t="s">
        <v>282</v>
      </c>
      <c r="D119" t="str">
        <f>IF(LEFT(Table21[[#This Row],[Opponent]],1)="@","Away","Home")</f>
        <v>Away</v>
      </c>
      <c r="E119">
        <f>_xlfn.NUMBERVALUE(MID(LEFT(Table21[[#This Row],[Score]],FIND("-",Table21[[#This Row],[Score]])-1),FIND(" ",Table21[[#This Row],[Score]])+1,LEN(Table21[[#This Row],[Score]])))</f>
        <v>6</v>
      </c>
      <c r="F119">
        <f>_xlfn.NUMBERVALUE(RIGHT(Table21[[#This Row],[Score]],LEN(Table21[[#This Row],[Score]])-FIND("-",Table21[[#This Row],[Score]])))</f>
        <v>0</v>
      </c>
      <c r="G119">
        <f t="shared" si="17"/>
        <v>6</v>
      </c>
      <c r="H119" t="str">
        <f>LEFT(Table21[[#This Row],[Score]],1)</f>
        <v>W</v>
      </c>
      <c r="I119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119" s="33">
        <f>VLOOKUP(Table21[[#This Row],[OPP]],Raw!$L$2:$S$23,7,FALSE)-Raw!$U$2</f>
        <v>-1.4060978308986276</v>
      </c>
    </row>
    <row r="120" spans="1:10" x14ac:dyDescent="0.25">
      <c r="A120" t="s">
        <v>530</v>
      </c>
      <c r="B120" t="s">
        <v>98</v>
      </c>
      <c r="C120" t="s">
        <v>228</v>
      </c>
      <c r="D120" t="str">
        <f>IF(LEFT(Table21[[#This Row],[Opponent]],1)="@","Away","Home")</f>
        <v>Home</v>
      </c>
      <c r="E120">
        <f>_xlfn.NUMBERVALUE(MID(LEFT(Table21[[#This Row],[Score]],FIND("-",Table21[[#This Row],[Score]])-1),FIND(" ",Table21[[#This Row],[Score]])+1,LEN(Table21[[#This Row],[Score]])))</f>
        <v>10</v>
      </c>
      <c r="F120">
        <f>_xlfn.NUMBERVALUE(RIGHT(Table21[[#This Row],[Score]],LEN(Table21[[#This Row],[Score]])-FIND("-",Table21[[#This Row],[Score]])))</f>
        <v>3</v>
      </c>
      <c r="G120">
        <f t="shared" si="17"/>
        <v>13</v>
      </c>
      <c r="H120" t="str">
        <f>LEFT(Table21[[#This Row],[Score]],1)</f>
        <v>W</v>
      </c>
      <c r="I120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120" s="33">
        <f>VLOOKUP(Table21[[#This Row],[OPP]],Raw!$L$2:$S$23,7,FALSE)-Raw!$U$2</f>
        <v>-1.4060978308986276</v>
      </c>
    </row>
    <row r="121" spans="1:10" x14ac:dyDescent="0.25">
      <c r="A121" t="s">
        <v>541</v>
      </c>
      <c r="B121" t="s">
        <v>124</v>
      </c>
      <c r="C121" t="s">
        <v>269</v>
      </c>
      <c r="D121" t="str">
        <f>IF(LEFT(Table21[[#This Row],[Opponent]],1)="@","Away","Home")</f>
        <v>Away</v>
      </c>
      <c r="E121">
        <f>_xlfn.NUMBERVALUE(MID(LEFT(Table21[[#This Row],[Score]],FIND("-",Table21[[#This Row],[Score]])-1),FIND(" ",Table21[[#This Row],[Score]])+1,LEN(Table21[[#This Row],[Score]])))</f>
        <v>2</v>
      </c>
      <c r="F121">
        <f>_xlfn.NUMBERVALUE(RIGHT(Table21[[#This Row],[Score]],LEN(Table21[[#This Row],[Score]])-FIND("-",Table21[[#This Row],[Score]])))</f>
        <v>3</v>
      </c>
      <c r="G121">
        <f>E121+F121</f>
        <v>5</v>
      </c>
      <c r="H121" t="str">
        <f>LEFT(Table21[[#This Row],[Score]],1)</f>
        <v>L</v>
      </c>
      <c r="I121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121" s="33">
        <f>VLOOKUP(Table21[[#This Row],[OPP]],Raw!$L$2:$S$23,7,FALSE)-Raw!$U$2</f>
        <v>2.7744577246569277</v>
      </c>
    </row>
    <row r="122" spans="1:10" x14ac:dyDescent="0.25">
      <c r="A122" t="s">
        <v>542</v>
      </c>
      <c r="B122" t="s">
        <v>103</v>
      </c>
      <c r="C122" t="s">
        <v>72</v>
      </c>
      <c r="D122" t="str">
        <f>IF(LEFT(Table21[[#This Row],[Opponent]],1)="@","Away","Home")</f>
        <v>Home</v>
      </c>
      <c r="E122">
        <f>_xlfn.NUMBERVALUE(MID(LEFT(Table21[[#This Row],[Score]],FIND("-",Table21[[#This Row],[Score]])-1),FIND(" ",Table21[[#This Row],[Score]])+1,LEN(Table21[[#This Row],[Score]])))</f>
        <v>12</v>
      </c>
      <c r="F122">
        <f>_xlfn.NUMBERVALUE(RIGHT(Table21[[#This Row],[Score]],LEN(Table21[[#This Row],[Score]])-FIND("-",Table21[[#This Row],[Score]])))</f>
        <v>3</v>
      </c>
      <c r="G122">
        <f>E122+F122</f>
        <v>15</v>
      </c>
      <c r="H122" t="str">
        <f>LEFT(Table21[[#This Row],[Score]],1)</f>
        <v>W</v>
      </c>
      <c r="I122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122" s="33">
        <f>VLOOKUP(Table21[[#This Row],[OPP]],Raw!$L$2:$S$23,7,FALSE)-Raw!$U$2</f>
        <v>2.7744577246569277</v>
      </c>
    </row>
    <row r="123" spans="1:10" x14ac:dyDescent="0.25">
      <c r="A123" t="s">
        <v>543</v>
      </c>
      <c r="B123" t="s">
        <v>315</v>
      </c>
      <c r="C123" t="s">
        <v>336</v>
      </c>
      <c r="D123" t="str">
        <f>IF(LEFT(Table21[[#This Row],[Opponent]],1)="@","Away","Home")</f>
        <v>Away</v>
      </c>
      <c r="E123">
        <f>_xlfn.NUMBERVALUE(MID(LEFT(Table21[[#This Row],[Score]],FIND("-",Table21[[#This Row],[Score]])-1),FIND(" ",Table21[[#This Row],[Score]])+1,LEN(Table21[[#This Row],[Score]])))</f>
        <v>8</v>
      </c>
      <c r="F123">
        <f>_xlfn.NUMBERVALUE(RIGHT(Table21[[#This Row],[Score]],LEN(Table21[[#This Row],[Score]])-FIND("-",Table21[[#This Row],[Score]])))</f>
        <v>4</v>
      </c>
      <c r="G123">
        <f>E123+F123</f>
        <v>12</v>
      </c>
      <c r="H123" t="str">
        <f>LEFT(Table21[[#This Row],[Score]],1)</f>
        <v>W</v>
      </c>
      <c r="I123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123" s="33">
        <f>VLOOKUP(Table21[[#This Row],[OPP]],Raw!$L$2:$S$23,7,FALSE)-Raw!$U$2</f>
        <v>0.13556883576803896</v>
      </c>
    </row>
    <row r="124" spans="1:10" x14ac:dyDescent="0.25">
      <c r="A124" t="s">
        <v>546</v>
      </c>
      <c r="B124" t="s">
        <v>315</v>
      </c>
      <c r="C124" t="s">
        <v>48</v>
      </c>
      <c r="D124" t="str">
        <f>IF(LEFT(Table21[[#This Row],[Opponent]],1)="@","Away","Home")</f>
        <v>Away</v>
      </c>
      <c r="E124">
        <f>_xlfn.NUMBERVALUE(MID(LEFT(Table21[[#This Row],[Score]],FIND("-",Table21[[#This Row],[Score]])-1),FIND(" ",Table21[[#This Row],[Score]])+1,LEN(Table21[[#This Row],[Score]])))</f>
        <v>4</v>
      </c>
      <c r="F124">
        <f>_xlfn.NUMBERVALUE(RIGHT(Table21[[#This Row],[Score]],LEN(Table21[[#This Row],[Score]])-FIND("-",Table21[[#This Row],[Score]])))</f>
        <v>5</v>
      </c>
      <c r="G124">
        <f>E124+F124</f>
        <v>9</v>
      </c>
      <c r="H124" t="str">
        <f>LEFT(Table21[[#This Row],[Score]],1)</f>
        <v>L</v>
      </c>
      <c r="I124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124" s="33">
        <f>VLOOKUP(Table21[[#This Row],[OPP]],Raw!$L$2:$S$23,7,FALSE)-Raw!$U$2</f>
        <v>0.13556883576803896</v>
      </c>
    </row>
    <row r="125" spans="1:10" x14ac:dyDescent="0.25">
      <c r="A125" t="s">
        <v>549</v>
      </c>
      <c r="B125" t="s">
        <v>30</v>
      </c>
      <c r="C125" t="s">
        <v>301</v>
      </c>
      <c r="D125" t="str">
        <f>IF(LEFT(Table21[[#This Row],[Opponent]],1)="@","Away","Home")</f>
        <v>Away</v>
      </c>
      <c r="E125">
        <f>_xlfn.NUMBERVALUE(MID(LEFT(Table21[[#This Row],[Score]],FIND("-",Table21[[#This Row],[Score]])-1),FIND(" ",Table21[[#This Row],[Score]])+1,LEN(Table21[[#This Row],[Score]])))</f>
        <v>3</v>
      </c>
      <c r="F125">
        <f>_xlfn.NUMBERVALUE(RIGHT(Table21[[#This Row],[Score]],LEN(Table21[[#This Row],[Score]])-FIND("-",Table21[[#This Row],[Score]])))</f>
        <v>9</v>
      </c>
      <c r="G125">
        <f t="shared" ref="G125:G128" si="18">E125+F125</f>
        <v>12</v>
      </c>
      <c r="H125" t="str">
        <f>LEFT(Table21[[#This Row],[Score]],1)</f>
        <v>L</v>
      </c>
      <c r="I125" s="17" t="str">
        <f>VLOOKUP(IF(Table21[[#This Row],[At]]="Home",Table21[[#This Row],[Opponent]],RIGHT(Table21[[#This Row],[Opponent]],LEN(Table21[[#This Row],[Opponent]])-1)),CHOOSE({1,2},[1]StandingsRAW!$J$1:$J$22,[1]StandingsRAW!$L$1:$L$22),2,FALSE)</f>
        <v>KEN</v>
      </c>
      <c r="J125" s="33">
        <f>VLOOKUP(Table21[[#This Row],[OPP]],Raw!$L$2:$S$23,7,FALSE)-Raw!$U$2</f>
        <v>-3.3200531208499337E-3</v>
      </c>
    </row>
    <row r="126" spans="1:10" x14ac:dyDescent="0.25">
      <c r="A126" t="s">
        <v>550</v>
      </c>
      <c r="B126" t="s">
        <v>30</v>
      </c>
      <c r="C126" t="s">
        <v>303</v>
      </c>
      <c r="D126" t="str">
        <f>IF(LEFT(Table21[[#This Row],[Opponent]],1)="@","Away","Home")</f>
        <v>Away</v>
      </c>
      <c r="E126">
        <f>_xlfn.NUMBERVALUE(MID(LEFT(Table21[[#This Row],[Score]],FIND("-",Table21[[#This Row],[Score]])-1),FIND(" ",Table21[[#This Row],[Score]])+1,LEN(Table21[[#This Row],[Score]])))</f>
        <v>8</v>
      </c>
      <c r="F126">
        <f>_xlfn.NUMBERVALUE(RIGHT(Table21[[#This Row],[Score]],LEN(Table21[[#This Row],[Score]])-FIND("-",Table21[[#This Row],[Score]])))</f>
        <v>2</v>
      </c>
      <c r="G126">
        <f t="shared" si="18"/>
        <v>10</v>
      </c>
      <c r="H126" t="str">
        <f>LEFT(Table21[[#This Row],[Score]],1)</f>
        <v>W</v>
      </c>
      <c r="I126" s="17" t="str">
        <f>VLOOKUP(IF(Table21[[#This Row],[At]]="Home",Table21[[#This Row],[Opponent]],RIGHT(Table21[[#This Row],[Opponent]],LEN(Table21[[#This Row],[Opponent]])-1)),CHOOSE({1,2},[1]StandingsRAW!$J$1:$J$22,[1]StandingsRAW!$L$1:$L$22),2,FALSE)</f>
        <v>KEN</v>
      </c>
      <c r="J126" s="33">
        <f>VLOOKUP(Table21[[#This Row],[OPP]],Raw!$L$2:$S$23,7,FALSE)-Raw!$U$2</f>
        <v>-3.3200531208499337E-3</v>
      </c>
    </row>
    <row r="127" spans="1:10" x14ac:dyDescent="0.25">
      <c r="A127" t="s">
        <v>552</v>
      </c>
      <c r="B127" t="s">
        <v>332</v>
      </c>
      <c r="C127" t="s">
        <v>99</v>
      </c>
      <c r="D127" t="str">
        <f>IF(LEFT(Table21[[#This Row],[Opponent]],1)="@","Away","Home")</f>
        <v>Away</v>
      </c>
      <c r="E127">
        <f>_xlfn.NUMBERVALUE(MID(LEFT(Table21[[#This Row],[Score]],FIND("-",Table21[[#This Row],[Score]])-1),FIND(" ",Table21[[#This Row],[Score]])+1,LEN(Table21[[#This Row],[Score]])))</f>
        <v>4</v>
      </c>
      <c r="F127">
        <f>_xlfn.NUMBERVALUE(RIGHT(Table21[[#This Row],[Score]],LEN(Table21[[#This Row],[Score]])-FIND("-",Table21[[#This Row],[Score]])))</f>
        <v>12</v>
      </c>
      <c r="G127">
        <f t="shared" si="18"/>
        <v>16</v>
      </c>
      <c r="H127" t="str">
        <f>LEFT(Table21[[#This Row],[Score]],1)</f>
        <v>L</v>
      </c>
      <c r="I127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127" s="33">
        <f>VLOOKUP(Table21[[#This Row],[OPP]],Raw!$L$2:$S$23,7,FALSE)-Raw!$U$2</f>
        <v>0.7572433271608402</v>
      </c>
    </row>
    <row r="128" spans="1:10" x14ac:dyDescent="0.25">
      <c r="A128" t="s">
        <v>552</v>
      </c>
      <c r="B128" t="s">
        <v>332</v>
      </c>
      <c r="C128" t="s">
        <v>554</v>
      </c>
      <c r="D128" t="str">
        <f>IF(LEFT(Table21[[#This Row],[Opponent]],1)="@","Away","Home")</f>
        <v>Away</v>
      </c>
      <c r="E128">
        <f>_xlfn.NUMBERVALUE(MID(LEFT(Table21[[#This Row],[Score]],FIND("-",Table21[[#This Row],[Score]])-1),FIND(" ",Table21[[#This Row],[Score]])+1,LEN(Table21[[#This Row],[Score]])))</f>
        <v>19</v>
      </c>
      <c r="F128">
        <f>_xlfn.NUMBERVALUE(RIGHT(Table21[[#This Row],[Score]],LEN(Table21[[#This Row],[Score]])-FIND("-",Table21[[#This Row],[Score]])))</f>
        <v>6</v>
      </c>
      <c r="G128">
        <f t="shared" si="18"/>
        <v>25</v>
      </c>
      <c r="H128" t="str">
        <f>LEFT(Table21[[#This Row],[Score]],1)</f>
        <v>W</v>
      </c>
      <c r="I128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128" s="33">
        <f>VLOOKUP(Table21[[#This Row],[OPP]],Raw!$L$2:$S$23,7,FALSE)-Raw!$U$2</f>
        <v>0.7572433271608402</v>
      </c>
    </row>
    <row r="129" spans="1:10" x14ac:dyDescent="0.25">
      <c r="A129" t="s">
        <v>555</v>
      </c>
      <c r="B129" t="s">
        <v>321</v>
      </c>
      <c r="C129" t="s">
        <v>113</v>
      </c>
      <c r="D129" t="str">
        <f>IF(LEFT(Table21[[#This Row],[Opponent]],1)="@","Away","Home")</f>
        <v>Home</v>
      </c>
      <c r="E129">
        <f>_xlfn.NUMBERVALUE(MID(LEFT(Table21[[#This Row],[Score]],FIND("-",Table21[[#This Row],[Score]])-1),FIND(" ",Table21[[#This Row],[Score]])+1,LEN(Table21[[#This Row],[Score]])))</f>
        <v>7</v>
      </c>
      <c r="F129">
        <f>_xlfn.NUMBERVALUE(RIGHT(Table21[[#This Row],[Score]],LEN(Table21[[#This Row],[Score]])-FIND("-",Table21[[#This Row],[Score]])))</f>
        <v>9</v>
      </c>
      <c r="G129">
        <f>E129+F129</f>
        <v>16</v>
      </c>
      <c r="H129" t="str">
        <f>LEFT(Table21[[#This Row],[Score]],1)</f>
        <v>L</v>
      </c>
      <c r="I129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129" s="33">
        <f>VLOOKUP(Table21[[#This Row],[OPP]],Raw!$L$2:$S$23,7,FALSE)-Raw!$U$2</f>
        <v>-1.5172089420097388</v>
      </c>
    </row>
    <row r="130" spans="1:10" x14ac:dyDescent="0.25">
      <c r="A130" t="s">
        <v>557</v>
      </c>
      <c r="B130" t="s">
        <v>319</v>
      </c>
      <c r="C130" t="s">
        <v>216</v>
      </c>
      <c r="D130" t="str">
        <f>IF(LEFT(Table21[[#This Row],[Opponent]],1)="@","Away","Home")</f>
        <v>Away</v>
      </c>
      <c r="E130">
        <f>_xlfn.NUMBERVALUE(MID(LEFT(Table21[[#This Row],[Score]],FIND("-",Table21[[#This Row],[Score]])-1),FIND(" ",Table21[[#This Row],[Score]])+1,LEN(Table21[[#This Row],[Score]])))</f>
        <v>13</v>
      </c>
      <c r="F130">
        <f>_xlfn.NUMBERVALUE(RIGHT(Table21[[#This Row],[Score]],LEN(Table21[[#This Row],[Score]])-FIND("-",Table21[[#This Row],[Score]])))</f>
        <v>9</v>
      </c>
      <c r="G130">
        <f>E130+F130</f>
        <v>22</v>
      </c>
      <c r="H130" t="str">
        <f>LEFT(Table21[[#This Row],[Score]],1)</f>
        <v>W</v>
      </c>
      <c r="I130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130" s="33">
        <f>VLOOKUP(Table21[[#This Row],[OPP]],Raw!$L$2:$S$23,7,FALSE)-Raw!$U$2</f>
        <v>-1.5172089420097388</v>
      </c>
    </row>
    <row r="131" spans="1:10" x14ac:dyDescent="0.25">
      <c r="A131" t="s">
        <v>558</v>
      </c>
      <c r="B131" t="s">
        <v>103</v>
      </c>
      <c r="C131" t="s">
        <v>255</v>
      </c>
      <c r="D131" t="str">
        <f>IF(LEFT(Table21[[#This Row],[Opponent]],1)="@","Away","Home")</f>
        <v>Home</v>
      </c>
      <c r="E131">
        <f>_xlfn.NUMBERVALUE(MID(LEFT(Table21[[#This Row],[Score]],FIND("-",Table21[[#This Row],[Score]])-1),FIND(" ",Table21[[#This Row],[Score]])+1,LEN(Table21[[#This Row],[Score]])))</f>
        <v>4</v>
      </c>
      <c r="F131">
        <f>_xlfn.NUMBERVALUE(RIGHT(Table21[[#This Row],[Score]],LEN(Table21[[#This Row],[Score]])-FIND("-",Table21[[#This Row],[Score]])))</f>
        <v>10</v>
      </c>
      <c r="G131">
        <f t="shared" ref="G131:G132" si="19">E131+F131</f>
        <v>14</v>
      </c>
      <c r="H131" t="str">
        <f>LEFT(Table21[[#This Row],[Score]],1)</f>
        <v>L</v>
      </c>
      <c r="I131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131" s="33">
        <f>VLOOKUP(Table21[[#This Row],[OPP]],Raw!$L$2:$S$23,7,FALSE)-Raw!$U$2</f>
        <v>2.7744577246569277</v>
      </c>
    </row>
    <row r="132" spans="1:10" x14ac:dyDescent="0.25">
      <c r="A132" t="s">
        <v>558</v>
      </c>
      <c r="B132" t="s">
        <v>103</v>
      </c>
      <c r="C132" t="s">
        <v>337</v>
      </c>
      <c r="D132" t="str">
        <f>IF(LEFT(Table21[[#This Row],[Opponent]],1)="@","Away","Home")</f>
        <v>Home</v>
      </c>
      <c r="E132">
        <f>_xlfn.NUMBERVALUE(MID(LEFT(Table21[[#This Row],[Score]],FIND("-",Table21[[#This Row],[Score]])-1),FIND(" ",Table21[[#This Row],[Score]])+1,LEN(Table21[[#This Row],[Score]])))</f>
        <v>6</v>
      </c>
      <c r="F132">
        <f>_xlfn.NUMBERVALUE(RIGHT(Table21[[#This Row],[Score]],LEN(Table21[[#This Row],[Score]])-FIND("-",Table21[[#This Row],[Score]])))</f>
        <v>12</v>
      </c>
      <c r="G132">
        <f t="shared" si="19"/>
        <v>18</v>
      </c>
      <c r="H132" t="str">
        <f>LEFT(Table21[[#This Row],[Score]],1)</f>
        <v>L</v>
      </c>
      <c r="I132" s="17" t="str">
        <f>VLOOKUP(IF(Table21[[#This Row],[At]]="Home",Table21[[#This Row],[Opponent]],RIGHT(Table21[[#This Row],[Opponent]],LEN(Table21[[#This Row],[Opponent]])-1)),CHOOSE({1,2},[1]StandingsRAW!$J$1:$J$22,[1]StandingsRAW!$L$1:$L$22),2,FALSE)</f>
        <v>WIR</v>
      </c>
      <c r="J132" s="33">
        <f>VLOOKUP(Table21[[#This Row],[OPP]],Raw!$L$2:$S$23,7,FALSE)-Raw!$U$2</f>
        <v>2.7744577246569277</v>
      </c>
    </row>
    <row r="133" spans="1:10" x14ac:dyDescent="0.25">
      <c r="A133" t="s">
        <v>563</v>
      </c>
      <c r="B133" t="s">
        <v>321</v>
      </c>
      <c r="C133" t="s">
        <v>239</v>
      </c>
      <c r="D133" t="str">
        <f>IF(LEFT(Table21[[#This Row],[Opponent]],1)="@","Away","Home")</f>
        <v>Home</v>
      </c>
      <c r="E133">
        <f>_xlfn.NUMBERVALUE(MID(LEFT(Table21[[#This Row],[Score]],FIND("-",Table21[[#This Row],[Score]])-1),FIND(" ",Table21[[#This Row],[Score]])+1,LEN(Table21[[#This Row],[Score]])))</f>
        <v>8</v>
      </c>
      <c r="F133">
        <f>_xlfn.NUMBERVALUE(RIGHT(Table21[[#This Row],[Score]],LEN(Table21[[#This Row],[Score]])-FIND("-",Table21[[#This Row],[Score]])))</f>
        <v>5</v>
      </c>
      <c r="G133">
        <f>E133+F133</f>
        <v>13</v>
      </c>
      <c r="H133" t="str">
        <f>LEFT(Table21[[#This Row],[Score]],1)</f>
        <v>W</v>
      </c>
      <c r="I133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133" s="33">
        <f>VLOOKUP(Table21[[#This Row],[OPP]],Raw!$L$2:$S$23,7,FALSE)-Raw!$U$2</f>
        <v>-1.5172089420097388</v>
      </c>
    </row>
    <row r="134" spans="1:10" x14ac:dyDescent="0.25">
      <c r="A134" t="s">
        <v>564</v>
      </c>
      <c r="B134" t="s">
        <v>319</v>
      </c>
      <c r="C134" t="s">
        <v>246</v>
      </c>
      <c r="D134" t="str">
        <f>IF(LEFT(Table21[[#This Row],[Opponent]],1)="@","Away","Home")</f>
        <v>Away</v>
      </c>
      <c r="E134">
        <f>_xlfn.NUMBERVALUE(MID(LEFT(Table21[[#This Row],[Score]],FIND("-",Table21[[#This Row],[Score]])-1),FIND(" ",Table21[[#This Row],[Score]])+1,LEN(Table21[[#This Row],[Score]])))</f>
        <v>4</v>
      </c>
      <c r="F134">
        <f>_xlfn.NUMBERVALUE(RIGHT(Table21[[#This Row],[Score]],LEN(Table21[[#This Row],[Score]])-FIND("-",Table21[[#This Row],[Score]])))</f>
        <v>6</v>
      </c>
      <c r="G134">
        <f t="shared" ref="G134:G137" si="20">E134+F134</f>
        <v>10</v>
      </c>
      <c r="H134" t="str">
        <f>LEFT(Table21[[#This Row],[Score]],1)</f>
        <v>L</v>
      </c>
      <c r="I134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134" s="33">
        <f>VLOOKUP(Table21[[#This Row],[OPP]],Raw!$L$2:$S$23,7,FALSE)-Raw!$U$2</f>
        <v>-1.5172089420097388</v>
      </c>
    </row>
    <row r="135" spans="1:10" x14ac:dyDescent="0.25">
      <c r="A135" t="s">
        <v>565</v>
      </c>
      <c r="B135" t="s">
        <v>332</v>
      </c>
      <c r="C135" t="s">
        <v>393</v>
      </c>
      <c r="D135" t="str">
        <f>IF(LEFT(Table21[[#This Row],[Opponent]],1)="@","Away","Home")</f>
        <v>Away</v>
      </c>
      <c r="E135">
        <f>_xlfn.NUMBERVALUE(MID(LEFT(Table21[[#This Row],[Score]],FIND("-",Table21[[#This Row],[Score]])-1),FIND(" ",Table21[[#This Row],[Score]])+1,LEN(Table21[[#This Row],[Score]])))</f>
        <v>3</v>
      </c>
      <c r="F135">
        <f>_xlfn.NUMBERVALUE(RIGHT(Table21[[#This Row],[Score]],LEN(Table21[[#This Row],[Score]])-FIND("-",Table21[[#This Row],[Score]])))</f>
        <v>11</v>
      </c>
      <c r="G135">
        <f t="shared" si="20"/>
        <v>14</v>
      </c>
      <c r="H135" t="str">
        <f>LEFT(Table21[[#This Row],[Score]],1)</f>
        <v>L</v>
      </c>
      <c r="I135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135" s="33">
        <f>VLOOKUP(Table21[[#This Row],[OPP]],Raw!$L$2:$S$23,7,FALSE)-Raw!$U$2</f>
        <v>0.7572433271608402</v>
      </c>
    </row>
    <row r="136" spans="1:10" x14ac:dyDescent="0.25">
      <c r="A136" t="s">
        <v>566</v>
      </c>
      <c r="B136" t="s">
        <v>333</v>
      </c>
      <c r="C136" t="s">
        <v>576</v>
      </c>
      <c r="D136" t="str">
        <f>IF(LEFT(Table21[[#This Row],[Opponent]],1)="@","Away","Home")</f>
        <v>Home</v>
      </c>
      <c r="E136">
        <f>_xlfn.NUMBERVALUE(MID(LEFT(Table21[[#This Row],[Score]],FIND("-",Table21[[#This Row],[Score]])-1),FIND(" ",Table21[[#This Row],[Score]])+1,LEN(Table21[[#This Row],[Score]])))</f>
        <v>2</v>
      </c>
      <c r="F136">
        <f>_xlfn.NUMBERVALUE(RIGHT(Table21[[#This Row],[Score]],LEN(Table21[[#This Row],[Score]])-FIND("-",Table21[[#This Row],[Score]])))</f>
        <v>21</v>
      </c>
      <c r="G136">
        <f t="shared" si="20"/>
        <v>23</v>
      </c>
      <c r="H136" t="str">
        <f>LEFT(Table21[[#This Row],[Score]],1)</f>
        <v>L</v>
      </c>
      <c r="I136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136" s="33">
        <f>VLOOKUP(Table21[[#This Row],[OPP]],Raw!$L$2:$S$23,7,FALSE)-Raw!$U$2</f>
        <v>0.7572433271608402</v>
      </c>
    </row>
    <row r="137" spans="1:10" x14ac:dyDescent="0.25">
      <c r="A137" t="s">
        <v>568</v>
      </c>
      <c r="B137" t="s">
        <v>52</v>
      </c>
      <c r="C137" t="s">
        <v>369</v>
      </c>
      <c r="D137" t="str">
        <f>IF(LEFT(Table21[[#This Row],[Opponent]],1)="@","Away","Home")</f>
        <v>Home</v>
      </c>
      <c r="E137">
        <f>_xlfn.NUMBERVALUE(MID(LEFT(Table21[[#This Row],[Score]],FIND("-",Table21[[#This Row],[Score]])-1),FIND(" ",Table21[[#This Row],[Score]])+1,LEN(Table21[[#This Row],[Score]])))</f>
        <v>11</v>
      </c>
      <c r="F137">
        <f>_xlfn.NUMBERVALUE(RIGHT(Table21[[#This Row],[Score]],LEN(Table21[[#This Row],[Score]])-FIND("-",Table21[[#This Row],[Score]])))</f>
        <v>13</v>
      </c>
      <c r="G137">
        <f t="shared" si="20"/>
        <v>24</v>
      </c>
      <c r="H137" t="str">
        <f>LEFT(Table21[[#This Row],[Score]],1)</f>
        <v>L</v>
      </c>
      <c r="I137" s="17" t="str">
        <f>VLOOKUP(IF(Table21[[#This Row],[At]]="Home",Table21[[#This Row],[Opponent]],RIGHT(Table21[[#This Row],[Opponent]],LEN(Table21[[#This Row],[Opponent]])-1)),CHOOSE({1,2},[1]StandingsRAW!$J$1:$J$22,[1]StandingsRAW!$L$1:$L$22),2,FALSE)</f>
        <v>KEN</v>
      </c>
      <c r="J137" s="33">
        <f>VLOOKUP(Table21[[#This Row],[OPP]],Raw!$L$2:$S$23,7,FALSE)-Raw!$U$2</f>
        <v>-3.3200531208499337E-3</v>
      </c>
    </row>
    <row r="138" spans="1:10" x14ac:dyDescent="0.25">
      <c r="A138" t="s">
        <v>589</v>
      </c>
      <c r="B138" t="s">
        <v>52</v>
      </c>
      <c r="C138" t="s">
        <v>232</v>
      </c>
      <c r="D138" t="str">
        <f>IF(LEFT(Table21[[#This Row],[Opponent]],1)="@","Away","Home")</f>
        <v>Home</v>
      </c>
      <c r="E138">
        <f>_xlfn.NUMBERVALUE(MID(LEFT(Table21[[#This Row],[Score]],FIND("-",Table21[[#This Row],[Score]])-1),FIND(" ",Table21[[#This Row],[Score]])+1,LEN(Table21[[#This Row],[Score]])))</f>
        <v>8</v>
      </c>
      <c r="F138">
        <f>_xlfn.NUMBERVALUE(RIGHT(Table21[[#This Row],[Score]],LEN(Table21[[#This Row],[Score]])-FIND("-",Table21[[#This Row],[Score]])))</f>
        <v>6</v>
      </c>
      <c r="G138">
        <f>E138+F138</f>
        <v>14</v>
      </c>
      <c r="H138" t="str">
        <f>LEFT(Table21[[#This Row],[Score]],1)</f>
        <v>W</v>
      </c>
      <c r="I138" s="17" t="str">
        <f>VLOOKUP(IF(Table21[[#This Row],[At]]="Home",Table21[[#This Row],[Opponent]],RIGHT(Table21[[#This Row],[Opponent]],LEN(Table21[[#This Row],[Opponent]])-1)),CHOOSE({1,2},[1]StandingsRAW!$J$1:$J$22,[1]StandingsRAW!$L$1:$L$22),2,FALSE)</f>
        <v>KEN</v>
      </c>
      <c r="J138" s="33">
        <f>VLOOKUP(Table21[[#This Row],[OPP]],Raw!$L$2:$S$23,7,FALSE)-Raw!$U$2</f>
        <v>-3.3200531208499337E-3</v>
      </c>
    </row>
    <row r="139" spans="1:10" x14ac:dyDescent="0.25">
      <c r="A139" t="s">
        <v>592</v>
      </c>
      <c r="B139" t="s">
        <v>315</v>
      </c>
      <c r="C139" t="s">
        <v>239</v>
      </c>
      <c r="D139" t="str">
        <f>IF(LEFT(Table21[[#This Row],[Opponent]],1)="@","Away","Home")</f>
        <v>Away</v>
      </c>
      <c r="E139">
        <f>_xlfn.NUMBERVALUE(MID(LEFT(Table21[[#This Row],[Score]],FIND("-",Table21[[#This Row],[Score]])-1),FIND(" ",Table21[[#This Row],[Score]])+1,LEN(Table21[[#This Row],[Score]])))</f>
        <v>8</v>
      </c>
      <c r="F139">
        <f>_xlfn.NUMBERVALUE(RIGHT(Table21[[#This Row],[Score]],LEN(Table21[[#This Row],[Score]])-FIND("-",Table21[[#This Row],[Score]])))</f>
        <v>5</v>
      </c>
      <c r="G139">
        <f>E139+F139</f>
        <v>13</v>
      </c>
      <c r="H139" t="str">
        <f>LEFT(Table21[[#This Row],[Score]],1)</f>
        <v>W</v>
      </c>
      <c r="I139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139" s="33">
        <f>VLOOKUP(Table21[[#This Row],[OPP]],Raw!$L$2:$S$23,7,FALSE)-Raw!$U$2</f>
        <v>0.13556883576803896</v>
      </c>
    </row>
    <row r="140" spans="1:10" x14ac:dyDescent="0.25">
      <c r="A140" t="s">
        <v>598</v>
      </c>
      <c r="B140" t="s">
        <v>333</v>
      </c>
      <c r="C140" t="s">
        <v>256</v>
      </c>
      <c r="D140" t="str">
        <f>IF(LEFT(Table21[[#This Row],[Opponent]],1)="@","Away","Home")</f>
        <v>Home</v>
      </c>
      <c r="E140">
        <f>_xlfn.NUMBERVALUE(MID(LEFT(Table21[[#This Row],[Score]],FIND("-",Table21[[#This Row],[Score]])-1),FIND(" ",Table21[[#This Row],[Score]])+1,LEN(Table21[[#This Row],[Score]])))</f>
        <v>11</v>
      </c>
      <c r="F140">
        <f>_xlfn.NUMBERVALUE(RIGHT(Table21[[#This Row],[Score]],LEN(Table21[[#This Row],[Score]])-FIND("-",Table21[[#This Row],[Score]])))</f>
        <v>6</v>
      </c>
      <c r="G140">
        <f>E140+F140</f>
        <v>17</v>
      </c>
      <c r="H140" t="str">
        <f>LEFT(Table21[[#This Row],[Score]],1)</f>
        <v>W</v>
      </c>
      <c r="I140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140" s="33">
        <f>VLOOKUP(Table21[[#This Row],[OPP]],Raw!$L$2:$S$23,7,FALSE)-Raw!$U$2</f>
        <v>0.7572433271608402</v>
      </c>
    </row>
    <row r="141" spans="1:10" x14ac:dyDescent="0.25">
      <c r="A141" t="s">
        <v>599</v>
      </c>
      <c r="B141" t="s">
        <v>333</v>
      </c>
      <c r="C141" t="s">
        <v>106</v>
      </c>
      <c r="D141" t="str">
        <f>IF(LEFT(Table21[[#This Row],[Opponent]],1)="@","Away","Home")</f>
        <v>Home</v>
      </c>
      <c r="E141">
        <f>_xlfn.NUMBERVALUE(MID(LEFT(Table21[[#This Row],[Score]],FIND("-",Table21[[#This Row],[Score]])-1),FIND(" ",Table21[[#This Row],[Score]])+1,LEN(Table21[[#This Row],[Score]])))</f>
        <v>12</v>
      </c>
      <c r="F141">
        <f>_xlfn.NUMBERVALUE(RIGHT(Table21[[#This Row],[Score]],LEN(Table21[[#This Row],[Score]])-FIND("-",Table21[[#This Row],[Score]])))</f>
        <v>5</v>
      </c>
      <c r="G141">
        <f>E141+F141</f>
        <v>17</v>
      </c>
      <c r="H141" t="str">
        <f>LEFT(Table21[[#This Row],[Score]],1)</f>
        <v>W</v>
      </c>
      <c r="I141" s="17" t="str">
        <f>VLOOKUP(IF(Table21[[#This Row],[At]]="Home",Table21[[#This Row],[Opponent]],RIGHT(Table21[[#This Row],[Opponent]],LEN(Table21[[#This Row],[Opponent]])-1)),CHOOSE({1,2},[1]StandingsRAW!$J$1:$J$22,[1]StandingsRAW!$L$1:$L$22),2,FALSE)</f>
        <v>FDL</v>
      </c>
      <c r="J141" s="33">
        <f>VLOOKUP(Table21[[#This Row],[OPP]],Raw!$L$2:$S$23,7,FALSE)-Raw!$U$2</f>
        <v>0.7572433271608402</v>
      </c>
    </row>
    <row r="142" spans="1:10" x14ac:dyDescent="0.25">
      <c r="A142" t="s">
        <v>600</v>
      </c>
      <c r="B142" t="s">
        <v>315</v>
      </c>
      <c r="C142" t="s">
        <v>270</v>
      </c>
      <c r="D142" t="str">
        <f>IF(LEFT(Table21[[#This Row],[Opponent]],1)="@","Away","Home")</f>
        <v>Away</v>
      </c>
      <c r="E142">
        <f>_xlfn.NUMBERVALUE(MID(LEFT(Table21[[#This Row],[Score]],FIND("-",Table21[[#This Row],[Score]])-1),FIND(" ",Table21[[#This Row],[Score]])+1,LEN(Table21[[#This Row],[Score]])))</f>
        <v>4</v>
      </c>
      <c r="F142">
        <f>_xlfn.NUMBERVALUE(RIGHT(Table21[[#This Row],[Score]],LEN(Table21[[#This Row],[Score]])-FIND("-",Table21[[#This Row],[Score]])))</f>
        <v>3</v>
      </c>
      <c r="G142">
        <f t="shared" ref="G142:G146" si="21">E142+F142</f>
        <v>7</v>
      </c>
      <c r="H142" t="str">
        <f>LEFT(Table21[[#This Row],[Score]],1)</f>
        <v>W</v>
      </c>
      <c r="I142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142" s="33">
        <f>VLOOKUP(Table21[[#This Row],[OPP]],Raw!$L$2:$S$23,7,FALSE)-Raw!$U$2</f>
        <v>0.13556883576803896</v>
      </c>
    </row>
    <row r="143" spans="1:10" x14ac:dyDescent="0.25">
      <c r="A143" t="s">
        <v>600</v>
      </c>
      <c r="B143" t="s">
        <v>314</v>
      </c>
      <c r="C143" t="s">
        <v>15</v>
      </c>
      <c r="D143" t="str">
        <f>IF(LEFT(Table21[[#This Row],[Opponent]],1)="@","Away","Home")</f>
        <v>Home</v>
      </c>
      <c r="E143">
        <f>_xlfn.NUMBERVALUE(MID(LEFT(Table21[[#This Row],[Score]],FIND("-",Table21[[#This Row],[Score]])-1),FIND(" ",Table21[[#This Row],[Score]])+1,LEN(Table21[[#This Row],[Score]])))</f>
        <v>3</v>
      </c>
      <c r="F143">
        <f>_xlfn.NUMBERVALUE(RIGHT(Table21[[#This Row],[Score]],LEN(Table21[[#This Row],[Score]])-FIND("-",Table21[[#This Row],[Score]])))</f>
        <v>1</v>
      </c>
      <c r="G143">
        <f t="shared" si="21"/>
        <v>4</v>
      </c>
      <c r="H143" t="str">
        <f>LEFT(Table21[[#This Row],[Score]],1)</f>
        <v>W</v>
      </c>
      <c r="I143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143" s="33">
        <f>VLOOKUP(Table21[[#This Row],[OPP]],Raw!$L$2:$S$23,7,FALSE)-Raw!$U$2</f>
        <v>0.13556883576803896</v>
      </c>
    </row>
    <row r="144" spans="1:10" x14ac:dyDescent="0.25">
      <c r="A144" t="s">
        <v>601</v>
      </c>
      <c r="B144" t="s">
        <v>314</v>
      </c>
      <c r="C144" t="s">
        <v>329</v>
      </c>
      <c r="D144" t="str">
        <f>IF(LEFT(Table21[[#This Row],[Opponent]],1)="@","Away","Home")</f>
        <v>Home</v>
      </c>
      <c r="E144">
        <f>_xlfn.NUMBERVALUE(MID(LEFT(Table21[[#This Row],[Score]],FIND("-",Table21[[#This Row],[Score]])-1),FIND(" ",Table21[[#This Row],[Score]])+1,LEN(Table21[[#This Row],[Score]])))</f>
        <v>5</v>
      </c>
      <c r="F144">
        <f>_xlfn.NUMBERVALUE(RIGHT(Table21[[#This Row],[Score]],LEN(Table21[[#This Row],[Score]])-FIND("-",Table21[[#This Row],[Score]])))</f>
        <v>2</v>
      </c>
      <c r="G144">
        <f t="shared" si="21"/>
        <v>7</v>
      </c>
      <c r="H144" t="str">
        <f>LEFT(Table21[[#This Row],[Score]],1)</f>
        <v>W</v>
      </c>
      <c r="I144" s="17" t="str">
        <f>VLOOKUP(IF(Table21[[#This Row],[At]]="Home",Table21[[#This Row],[Opponent]],RIGHT(Table21[[#This Row],[Opponent]],LEN(Table21[[#This Row],[Opponent]])-1)),CHOOSE({1,2},[1]StandingsRAW!$J$1:$J$22,[1]StandingsRAW!$L$1:$L$22),2,FALSE)</f>
        <v>LAK</v>
      </c>
      <c r="J144" s="33">
        <f>VLOOKUP(Table21[[#This Row],[OPP]],Raw!$L$2:$S$23,7,FALSE)-Raw!$U$2</f>
        <v>0.13556883576803896</v>
      </c>
    </row>
    <row r="145" spans="1:10" x14ac:dyDescent="0.25">
      <c r="A145" t="s">
        <v>602</v>
      </c>
      <c r="B145" t="s">
        <v>115</v>
      </c>
      <c r="C145" t="s">
        <v>89</v>
      </c>
      <c r="D145" t="str">
        <f>IF(LEFT(Table21[[#This Row],[Opponent]],1)="@","Away","Home")</f>
        <v>Away</v>
      </c>
      <c r="E145">
        <f>_xlfn.NUMBERVALUE(MID(LEFT(Table21[[#This Row],[Score]],FIND("-",Table21[[#This Row],[Score]])-1),FIND(" ",Table21[[#This Row],[Score]])+1,LEN(Table21[[#This Row],[Score]])))</f>
        <v>1</v>
      </c>
      <c r="F145">
        <f>_xlfn.NUMBERVALUE(RIGHT(Table21[[#This Row],[Score]],LEN(Table21[[#This Row],[Score]])-FIND("-",Table21[[#This Row],[Score]])))</f>
        <v>6</v>
      </c>
      <c r="G145">
        <f t="shared" si="21"/>
        <v>7</v>
      </c>
      <c r="H145" t="str">
        <f>LEFT(Table21[[#This Row],[Score]],1)</f>
        <v>L</v>
      </c>
      <c r="I145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145" s="33">
        <f>VLOOKUP(Table21[[#This Row],[OPP]],Raw!$L$2:$S$23,7,FALSE)-Raw!$U$2</f>
        <v>-1.4060978308986276</v>
      </c>
    </row>
    <row r="146" spans="1:10" x14ac:dyDescent="0.25">
      <c r="A146" t="s">
        <v>603</v>
      </c>
      <c r="B146" t="s">
        <v>115</v>
      </c>
      <c r="C146" t="s">
        <v>15</v>
      </c>
      <c r="D146" t="str">
        <f>IF(LEFT(Table21[[#This Row],[Opponent]],1)="@","Away","Home")</f>
        <v>Away</v>
      </c>
      <c r="E146">
        <f>_xlfn.NUMBERVALUE(MID(LEFT(Table21[[#This Row],[Score]],FIND("-",Table21[[#This Row],[Score]])-1),FIND(" ",Table21[[#This Row],[Score]])+1,LEN(Table21[[#This Row],[Score]])))</f>
        <v>3</v>
      </c>
      <c r="F146">
        <f>_xlfn.NUMBERVALUE(RIGHT(Table21[[#This Row],[Score]],LEN(Table21[[#This Row],[Score]])-FIND("-",Table21[[#This Row],[Score]])))</f>
        <v>1</v>
      </c>
      <c r="G146">
        <f t="shared" si="21"/>
        <v>4</v>
      </c>
      <c r="H146" t="str">
        <f>LEFT(Table21[[#This Row],[Score]],1)</f>
        <v>W</v>
      </c>
      <c r="I146" s="17" t="str">
        <f>VLOOKUP(IF(Table21[[#This Row],[At]]="Home",Table21[[#This Row],[Opponent]],RIGHT(Table21[[#This Row],[Opponent]],LEN(Table21[[#This Row],[Opponent]])-1)),CHOOSE({1,2},[1]StandingsRAW!$J$1:$J$22,[1]StandingsRAW!$L$1:$L$22),2,FALSE)</f>
        <v>GB</v>
      </c>
      <c r="J146" s="33">
        <f>VLOOKUP(Table21[[#This Row],[OPP]],Raw!$L$2:$S$23,7,FALSE)-Raw!$U$2</f>
        <v>-1.4060978308986276</v>
      </c>
    </row>
    <row r="147" spans="1:10" x14ac:dyDescent="0.25">
      <c r="A147" t="s">
        <v>608</v>
      </c>
      <c r="B147" t="s">
        <v>321</v>
      </c>
      <c r="C147" t="s">
        <v>351</v>
      </c>
      <c r="D147" t="str">
        <f>IF(LEFT(Table21[[#This Row],[Opponent]],1)="@","Away","Home")</f>
        <v>Home</v>
      </c>
      <c r="E147">
        <f>_xlfn.NUMBERVALUE(MID(LEFT(Table21[[#This Row],[Score]],FIND("-",Table21[[#This Row],[Score]])-1),FIND(" ",Table21[[#This Row],[Score]])+1,LEN(Table21[[#This Row],[Score]])))</f>
        <v>2</v>
      </c>
      <c r="F147">
        <f>_xlfn.NUMBERVALUE(RIGHT(Table21[[#This Row],[Score]],LEN(Table21[[#This Row],[Score]])-FIND("-",Table21[[#This Row],[Score]])))</f>
        <v>1</v>
      </c>
      <c r="G147">
        <f t="shared" ref="G147:G148" si="22">E147+F147</f>
        <v>3</v>
      </c>
      <c r="H147" t="str">
        <f>LEFT(Table21[[#This Row],[Score]],1)</f>
        <v>W</v>
      </c>
      <c r="I147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147" s="33">
        <f>VLOOKUP(Table21[[#This Row],[OPP]],Raw!$L$2:$S$23,7,FALSE)-Raw!$U$2</f>
        <v>-1.5172089420097388</v>
      </c>
    </row>
    <row r="148" spans="1:10" x14ac:dyDescent="0.25">
      <c r="A148" t="s">
        <v>609</v>
      </c>
      <c r="B148" t="s">
        <v>319</v>
      </c>
      <c r="C148" t="s">
        <v>301</v>
      </c>
      <c r="D148" t="str">
        <f>IF(LEFT(Table21[[#This Row],[Opponent]],1)="@","Away","Home")</f>
        <v>Away</v>
      </c>
      <c r="E148">
        <f>_xlfn.NUMBERVALUE(MID(LEFT(Table21[[#This Row],[Score]],FIND("-",Table21[[#This Row],[Score]])-1),FIND(" ",Table21[[#This Row],[Score]])+1,LEN(Table21[[#This Row],[Score]])))</f>
        <v>3</v>
      </c>
      <c r="F148">
        <f>_xlfn.NUMBERVALUE(RIGHT(Table21[[#This Row],[Score]],LEN(Table21[[#This Row],[Score]])-FIND("-",Table21[[#This Row],[Score]])))</f>
        <v>9</v>
      </c>
      <c r="G148">
        <f t="shared" si="22"/>
        <v>12</v>
      </c>
      <c r="H148" t="str">
        <f>LEFT(Table21[[#This Row],[Score]],1)</f>
        <v>L</v>
      </c>
      <c r="I148" s="17" t="str">
        <f>VLOOKUP(IF(Table21[[#This Row],[At]]="Home",Table21[[#This Row],[Opponent]],RIGHT(Table21[[#This Row],[Opponent]],LEN(Table21[[#This Row],[Opponent]])-1)),CHOOSE({1,2},[1]StandingsRAW!$J$1:$J$22,[1]StandingsRAW!$L$1:$L$22),2,FALSE)</f>
        <v>MAD</v>
      </c>
      <c r="J148" s="33">
        <f>VLOOKUP(Table21[[#This Row],[OPP]],Raw!$L$2:$S$23,7,FALSE)-Raw!$U$2</f>
        <v>-1.5172089420097388</v>
      </c>
    </row>
  </sheetData>
  <conditionalFormatting sqref="L17">
    <cfRule type="cellIs" dxfId="14" priority="4" operator="greaterThan">
      <formula>100</formula>
    </cfRule>
    <cfRule type="cellIs" dxfId="13" priority="5" operator="lessThan">
      <formula>100</formula>
    </cfRule>
  </conditionalFormatting>
  <conditionalFormatting sqref="L18">
    <cfRule type="cellIs" dxfId="12" priority="2" operator="greaterThan">
      <formula>100</formula>
    </cfRule>
    <cfRule type="cellIs" dxfId="11" priority="3" operator="lessThan">
      <formula>100</formula>
    </cfRule>
  </conditionalFormatting>
  <conditionalFormatting sqref="L17:L18">
    <cfRule type="cellIs" dxfId="10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ACDB-9A45-42A5-907E-047AA1E60957}">
  <sheetPr codeName="Sheet23"/>
  <dimension ref="A1:P142"/>
  <sheetViews>
    <sheetView topLeftCell="A69" workbookViewId="0">
      <selection activeCell="A73" sqref="A73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441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203</v>
      </c>
      <c r="C3" t="s">
        <v>255</v>
      </c>
      <c r="E3" s="1" t="str">
        <f>IF(LEFT(B3,1)="@","Away","Home")</f>
        <v>Away</v>
      </c>
      <c r="F3" s="3">
        <f>_xlfn.NUMBERVALUE(MID(LEFT(C3,FIND("-",C3)-1),FIND(" ",C3)+1,LEN(C3)))</f>
        <v>4</v>
      </c>
      <c r="G3" s="3">
        <f>_xlfn.NUMBERVALUE(RIGHT(C3,LEN(C3)-FIND("-",C3)))</f>
        <v>10</v>
      </c>
      <c r="H3" s="3">
        <f t="shared" ref="H3:H66" si="0">F3+G3</f>
        <v>14</v>
      </c>
      <c r="I3" s="3" t="str">
        <f>LEFT(C3,1)</f>
        <v>L</v>
      </c>
      <c r="K3" s="4" t="s">
        <v>139</v>
      </c>
      <c r="L3" s="5">
        <f>(SUMIF($E$3:$E$141,$K3,F$3:F$141) + SUMIF(WIL!$D$73:$D$140,$K3,WIL!$E$73:$E$140))/(COUNTIF($E$3:$E$141,$K3) + COUNTIF(WIL!$D$73:$D$140,$K3))</f>
        <v>6.9305555555555554</v>
      </c>
      <c r="M3" s="5">
        <f>(SUMIF($E$3:$E$141,$K3,G$3:G$141) + SUMIF(WIL!$D$73:$D$140,$K3,WIL!$F$73:$F$140))/(COUNTIF($E$3:$E$141,$K3) + COUNTIF(WIL!$D$73:$D$140,$K3))</f>
        <v>4.625</v>
      </c>
      <c r="N3" s="5">
        <f>L3+M3</f>
        <v>11.555555555555555</v>
      </c>
      <c r="O3" s="5">
        <f>(COUNTIFS($E$3:$E$74,$K3,$I$3:$I$74,O$2) + COUNTIFS(WIL!$D$73:$D$140,$K3,WIL!$H$73:$H$140,O$2))/(COUNTIF($E$3:$E$74,$K3) + COUNTIF(WIL!$D$73:$D$140,$K3))</f>
        <v>0.66666666666666663</v>
      </c>
      <c r="P3" s="5">
        <f>(COUNTIFS($E$3:$E$74,$K3,$I$3:$I$74,P$2) + COUNTIFS(WIL!$D$73:$D$140,$K3,WIL!$H$73:$H$140,P$2))/(COUNTIF($E$3:$E$74,$K3) + COUNTIF(WIL!$D$73:$D$140,$K3))</f>
        <v>0.33333333333333331</v>
      </c>
    </row>
    <row r="4" spans="1:16" x14ac:dyDescent="0.25">
      <c r="A4" t="s">
        <v>7</v>
      </c>
      <c r="B4" t="s">
        <v>203</v>
      </c>
      <c r="C4" t="s">
        <v>282</v>
      </c>
      <c r="E4" s="1" t="str">
        <f t="shared" ref="E4:E67" si="1">IF(LEFT(B4,1)="@","Away","Home")</f>
        <v>Away</v>
      </c>
      <c r="F4" s="3">
        <f t="shared" ref="F4:F67" si="2">_xlfn.NUMBERVALUE(MID(LEFT(C4,FIND("-",C4)-1),FIND(" ",C4)+1,LEN(C4)))</f>
        <v>6</v>
      </c>
      <c r="G4" s="3">
        <f t="shared" ref="G4:G67" si="3">_xlfn.NUMBERVALUE(RIGHT(C4,LEN(C4)-FIND("-",C4)))</f>
        <v>0</v>
      </c>
      <c r="H4" s="3">
        <f t="shared" si="0"/>
        <v>6</v>
      </c>
      <c r="I4" s="3" t="str">
        <f t="shared" ref="I4:I67" si="4">LEFT(C4,1)</f>
        <v>W</v>
      </c>
      <c r="K4" s="4" t="s">
        <v>140</v>
      </c>
      <c r="L4" s="5">
        <f>(SUMIF($E$3:$E$141,$K4,F$3:F$141) + SUMIF(WIL!$D$73:$D$140,$K4,WIL!$E$73:$E$140))/(COUNTIF($E$3:$E$141,$K4) + COUNTIF(WIL!$D$73:$D$140,$K4))</f>
        <v>6.125</v>
      </c>
      <c r="M4" s="5">
        <f>(SUMIF($E$3:$E$141,$K4,G$3:G$141) + SUMIF(WIL!$D$73:$D$140,$K4,WIL!$F$73:$F$140))/(COUNTIF($E$3:$E$141,$K4) + COUNTIF(WIL!$D$73:$D$140,$K4))</f>
        <v>5.578125</v>
      </c>
      <c r="N4" s="5">
        <f>L4+M4</f>
        <v>11.703125</v>
      </c>
      <c r="O4" s="5">
        <f>(COUNTIFS($E$3:$E$74,$K4,$I$3:$I$74,O$2) + COUNTIFS(WIL!$D$73:$D$140,$K4,WIL!$H$73:$H$140,O$2))/(COUNTIF($E$3:$E$74,$K4) + COUNTIF(WIL!$D$73:$D$140,$K4))</f>
        <v>0.5</v>
      </c>
      <c r="P4" s="5">
        <f>(COUNTIFS($E$3:$E$74,$K4,$I$3:$I$74,P$2) + COUNTIFS(WIL!$D$73:$D$140,$K4,WIL!$H$73:$H$140,P$2))/(COUNTIF($E$3:$E$74,$K4) + COUNTIF(WIL!$D$73:$D$140,$K4))</f>
        <v>0.5</v>
      </c>
    </row>
    <row r="5" spans="1:16" x14ac:dyDescent="0.25">
      <c r="A5" t="s">
        <v>9</v>
      </c>
      <c r="B5" t="s">
        <v>235</v>
      </c>
      <c r="C5" t="s">
        <v>372</v>
      </c>
      <c r="E5" s="1" t="str">
        <f t="shared" si="1"/>
        <v>Home</v>
      </c>
      <c r="F5" s="3">
        <f t="shared" si="2"/>
        <v>9</v>
      </c>
      <c r="G5" s="3">
        <f t="shared" si="3"/>
        <v>1</v>
      </c>
      <c r="H5" s="3">
        <f t="shared" si="0"/>
        <v>10</v>
      </c>
      <c r="I5" s="3" t="str">
        <f t="shared" si="4"/>
        <v>W</v>
      </c>
    </row>
    <row r="6" spans="1:16" x14ac:dyDescent="0.25">
      <c r="A6" t="s">
        <v>12</v>
      </c>
      <c r="B6" t="s">
        <v>235</v>
      </c>
      <c r="C6" t="s">
        <v>409</v>
      </c>
      <c r="E6" s="1" t="str">
        <f t="shared" si="1"/>
        <v>Home</v>
      </c>
      <c r="F6" s="3">
        <f t="shared" si="2"/>
        <v>9</v>
      </c>
      <c r="G6" s="3">
        <f t="shared" si="3"/>
        <v>0</v>
      </c>
      <c r="H6" s="3">
        <f t="shared" si="0"/>
        <v>9</v>
      </c>
      <c r="I6" s="3" t="str">
        <f t="shared" si="4"/>
        <v>W</v>
      </c>
      <c r="K6" s="4" t="s">
        <v>144</v>
      </c>
      <c r="L6" s="5">
        <f>N3/N4</f>
        <v>0.98739059486723035</v>
      </c>
      <c r="O6" s="4" t="s">
        <v>178</v>
      </c>
      <c r="P6" s="1" t="s">
        <v>180</v>
      </c>
    </row>
    <row r="7" spans="1:16" x14ac:dyDescent="0.25">
      <c r="A7" t="s">
        <v>14</v>
      </c>
      <c r="B7" t="s">
        <v>210</v>
      </c>
      <c r="C7" t="s">
        <v>345</v>
      </c>
      <c r="E7" s="1" t="str">
        <f t="shared" si="1"/>
        <v>Away</v>
      </c>
      <c r="F7" s="3">
        <f t="shared" si="2"/>
        <v>16</v>
      </c>
      <c r="G7" s="3">
        <f t="shared" si="3"/>
        <v>3</v>
      </c>
      <c r="H7" s="3">
        <f t="shared" si="0"/>
        <v>19</v>
      </c>
      <c r="I7" s="3" t="str">
        <f t="shared" si="4"/>
        <v>W</v>
      </c>
      <c r="K7" s="7" t="s">
        <v>143</v>
      </c>
      <c r="L7" s="5">
        <f>(18.5 - O3)/(18.5-P4)</f>
        <v>0.9907407407407407</v>
      </c>
      <c r="O7" s="4" t="s">
        <v>147</v>
      </c>
      <c r="P7" s="1">
        <f>VLOOKUP($P$6,'Full League'!$L$4:$N$5,2,FALSE)</f>
        <v>10</v>
      </c>
    </row>
    <row r="8" spans="1:16" x14ac:dyDescent="0.25">
      <c r="A8" t="s">
        <v>16</v>
      </c>
      <c r="B8" t="s">
        <v>210</v>
      </c>
      <c r="C8" t="s">
        <v>442</v>
      </c>
      <c r="E8" s="1" t="str">
        <f t="shared" si="1"/>
        <v>Away</v>
      </c>
      <c r="F8" s="3">
        <f t="shared" si="2"/>
        <v>8</v>
      </c>
      <c r="G8" s="3">
        <f t="shared" si="3"/>
        <v>17</v>
      </c>
      <c r="H8" s="3">
        <f t="shared" si="0"/>
        <v>25</v>
      </c>
      <c r="I8" s="3" t="str">
        <f t="shared" si="4"/>
        <v>L</v>
      </c>
      <c r="K8" s="7" t="s">
        <v>146</v>
      </c>
      <c r="L8" s="5">
        <f>L6/L7</f>
        <v>0.99661854435197084</v>
      </c>
      <c r="O8" s="4" t="s">
        <v>151</v>
      </c>
      <c r="P8" s="2">
        <f>VLOOKUP($P$6,'Full League'!$L$4:$N$5,3,FALSE)</f>
        <v>11.586233565351895</v>
      </c>
    </row>
    <row r="9" spans="1:16" x14ac:dyDescent="0.25">
      <c r="A9" t="s">
        <v>19</v>
      </c>
      <c r="B9" t="s">
        <v>201</v>
      </c>
      <c r="C9" t="s">
        <v>35</v>
      </c>
      <c r="E9" s="1" t="str">
        <f t="shared" si="1"/>
        <v>Away</v>
      </c>
      <c r="F9" s="3">
        <f t="shared" si="2"/>
        <v>4</v>
      </c>
      <c r="G9" s="3">
        <f t="shared" si="3"/>
        <v>1</v>
      </c>
      <c r="H9" s="3">
        <f t="shared" si="0"/>
        <v>5</v>
      </c>
      <c r="I9" s="3" t="str">
        <f t="shared" si="4"/>
        <v>W</v>
      </c>
      <c r="K9" s="7" t="s">
        <v>145</v>
      </c>
      <c r="L9" s="5">
        <f>(P7)/(P7-1+L8)</f>
        <v>1.0003382599459034</v>
      </c>
      <c r="O9" s="4"/>
      <c r="P9" s="1"/>
    </row>
    <row r="10" spans="1:16" x14ac:dyDescent="0.25">
      <c r="A10" t="s">
        <v>193</v>
      </c>
      <c r="B10" t="s">
        <v>245</v>
      </c>
      <c r="C10" t="s">
        <v>28</v>
      </c>
      <c r="E10" s="1" t="str">
        <f t="shared" si="1"/>
        <v>Home</v>
      </c>
      <c r="F10" s="3">
        <f t="shared" si="2"/>
        <v>4</v>
      </c>
      <c r="G10" s="3">
        <f t="shared" si="3"/>
        <v>2</v>
      </c>
      <c r="H10" s="3">
        <f t="shared" si="0"/>
        <v>6</v>
      </c>
      <c r="I10" s="3" t="str">
        <f t="shared" si="4"/>
        <v>W</v>
      </c>
      <c r="K10" s="4" t="s">
        <v>149</v>
      </c>
      <c r="L10" s="5">
        <f>L8*L9</f>
        <v>0.99695566048686968</v>
      </c>
      <c r="O10" s="4"/>
      <c r="P10" s="1"/>
    </row>
    <row r="11" spans="1:16" x14ac:dyDescent="0.25">
      <c r="A11" t="s">
        <v>22</v>
      </c>
      <c r="B11" t="s">
        <v>258</v>
      </c>
      <c r="C11" t="s">
        <v>323</v>
      </c>
      <c r="E11" s="1" t="str">
        <f t="shared" si="1"/>
        <v>Home</v>
      </c>
      <c r="F11" s="3">
        <f t="shared" si="2"/>
        <v>7</v>
      </c>
      <c r="G11" s="3">
        <f t="shared" si="3"/>
        <v>6</v>
      </c>
      <c r="H11" s="3">
        <f t="shared" si="0"/>
        <v>13</v>
      </c>
      <c r="I11" s="3" t="str">
        <f t="shared" si="4"/>
        <v>W</v>
      </c>
      <c r="K11" s="4" t="s">
        <v>148</v>
      </c>
      <c r="L11" s="5">
        <f>1 - ((L10-1)/(P7-1))</f>
        <v>1.0003382599459034</v>
      </c>
      <c r="O11" s="4"/>
      <c r="P11" s="1"/>
    </row>
    <row r="12" spans="1:16" x14ac:dyDescent="0.25">
      <c r="A12" t="s">
        <v>196</v>
      </c>
      <c r="B12" t="s">
        <v>258</v>
      </c>
      <c r="C12" t="s">
        <v>276</v>
      </c>
      <c r="E12" s="1" t="str">
        <f t="shared" si="1"/>
        <v>Home</v>
      </c>
      <c r="F12" s="3">
        <f t="shared" si="2"/>
        <v>2</v>
      </c>
      <c r="G12" s="3">
        <f t="shared" si="3"/>
        <v>4</v>
      </c>
      <c r="H12" s="3">
        <f t="shared" si="0"/>
        <v>6</v>
      </c>
      <c r="I12" s="3" t="str">
        <f t="shared" si="4"/>
        <v>L</v>
      </c>
      <c r="K12" s="4" t="s">
        <v>150</v>
      </c>
      <c r="L12" s="5">
        <f>(($L4/$L11)+($L3/$L10)) * (1 + (L13-1)/($P7-1)) / $P8</f>
        <v>1.1284640287028707</v>
      </c>
      <c r="M12" s="5">
        <f t="shared" ref="M12:O12" si="5">(($L4/$L11)+($L3/$L10)) * (1 + (M13-1)/($P7-1)) / $P8</f>
        <v>1.1152065710459993</v>
      </c>
      <c r="N12" s="5">
        <f t="shared" si="5"/>
        <v>1.1150437260471759</v>
      </c>
      <c r="O12" s="8">
        <f t="shared" si="5"/>
        <v>1.1150417257772656</v>
      </c>
      <c r="P12" s="5"/>
    </row>
    <row r="13" spans="1:16" x14ac:dyDescent="0.25">
      <c r="A13" t="s">
        <v>25</v>
      </c>
      <c r="B13" t="s">
        <v>250</v>
      </c>
      <c r="C13" t="s">
        <v>336</v>
      </c>
      <c r="E13" s="1" t="str">
        <f t="shared" si="1"/>
        <v>Home</v>
      </c>
      <c r="F13" s="3">
        <f t="shared" si="2"/>
        <v>8</v>
      </c>
      <c r="G13" s="3">
        <f t="shared" si="3"/>
        <v>4</v>
      </c>
      <c r="H13" s="3">
        <f t="shared" si="0"/>
        <v>12</v>
      </c>
      <c r="I13" s="3" t="str">
        <f t="shared" si="4"/>
        <v>W</v>
      </c>
      <c r="K13" s="4" t="s">
        <v>182</v>
      </c>
      <c r="L13" s="5">
        <v>1</v>
      </c>
      <c r="M13" s="5">
        <f>(($M4/$L11)+($M3/$L10)) * (1 + (L12-1)/($P7-1)) / $P8</f>
        <v>0.8942659084587824</v>
      </c>
      <c r="N13" s="5">
        <f>(($M4/$L11)+($M3/$L10)) * (1 + (M12-1)/($P7-1)) / $P8</f>
        <v>0.89296714753053652</v>
      </c>
      <c r="O13" s="5">
        <f>(($M4/$L11)+($M3/$L10)) * (1 + (N12-1)/($P7-1)) / $P8</f>
        <v>0.89295119449283444</v>
      </c>
      <c r="P13" s="8">
        <f>(($M4/$L11)+($M3/$L10)) * (1 + (O12-1)/($P7-1)) / $P8</f>
        <v>0.89295099853728477</v>
      </c>
    </row>
    <row r="14" spans="1:16" x14ac:dyDescent="0.25">
      <c r="A14" t="s">
        <v>27</v>
      </c>
      <c r="B14" t="s">
        <v>206</v>
      </c>
      <c r="C14" t="s">
        <v>298</v>
      </c>
      <c r="E14" s="1" t="str">
        <f t="shared" si="1"/>
        <v>Away</v>
      </c>
      <c r="F14" s="3">
        <f t="shared" si="2"/>
        <v>1</v>
      </c>
      <c r="G14" s="3">
        <f t="shared" si="3"/>
        <v>2</v>
      </c>
      <c r="H14" s="3">
        <f t="shared" si="0"/>
        <v>3</v>
      </c>
      <c r="I14" s="3" t="str">
        <f t="shared" si="4"/>
        <v>L</v>
      </c>
      <c r="K14" s="4" t="s">
        <v>183</v>
      </c>
      <c r="L14" s="5">
        <f xml:space="preserve"> (L10+L11) / (2 * (1 + ((P13-1)/(P7-1))))</f>
        <v>1.0106681846583658</v>
      </c>
      <c r="N14" s="5"/>
    </row>
    <row r="15" spans="1:16" x14ac:dyDescent="0.25">
      <c r="A15" t="s">
        <v>29</v>
      </c>
      <c r="B15" t="s">
        <v>206</v>
      </c>
      <c r="C15" t="s">
        <v>55</v>
      </c>
      <c r="E15" s="1" t="str">
        <f t="shared" si="1"/>
        <v>Away</v>
      </c>
      <c r="F15" s="3">
        <f t="shared" si="2"/>
        <v>5</v>
      </c>
      <c r="G15" s="3">
        <f t="shared" si="3"/>
        <v>7</v>
      </c>
      <c r="H15" s="3">
        <f t="shared" si="0"/>
        <v>12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0.98604295101908179</v>
      </c>
    </row>
    <row r="16" spans="1:16" ht="15.75" thickBot="1" x14ac:dyDescent="0.3">
      <c r="A16" t="s">
        <v>32</v>
      </c>
      <c r="B16" t="s">
        <v>206</v>
      </c>
      <c r="C16" t="s">
        <v>48</v>
      </c>
      <c r="E16" s="1" t="str">
        <f t="shared" si="1"/>
        <v>Away</v>
      </c>
      <c r="F16" s="3">
        <f t="shared" si="2"/>
        <v>4</v>
      </c>
      <c r="G16" s="3">
        <f t="shared" si="3"/>
        <v>5</v>
      </c>
      <c r="H16" s="3">
        <f t="shared" si="0"/>
        <v>9</v>
      </c>
      <c r="I16" s="3" t="str">
        <f t="shared" si="4"/>
        <v>L</v>
      </c>
    </row>
    <row r="17" spans="1:14" x14ac:dyDescent="0.25">
      <c r="A17" t="s">
        <v>34</v>
      </c>
      <c r="B17" t="s">
        <v>231</v>
      </c>
      <c r="C17" t="s">
        <v>31</v>
      </c>
      <c r="E17" s="1" t="str">
        <f t="shared" si="1"/>
        <v>Home</v>
      </c>
      <c r="F17" s="3">
        <f t="shared" si="2"/>
        <v>5</v>
      </c>
      <c r="G17" s="3">
        <f t="shared" si="3"/>
        <v>9</v>
      </c>
      <c r="H17" s="3">
        <f t="shared" si="0"/>
        <v>14</v>
      </c>
      <c r="I17" s="3" t="str">
        <f t="shared" si="4"/>
        <v>L</v>
      </c>
      <c r="K17" s="9" t="s">
        <v>185</v>
      </c>
      <c r="L17" s="10">
        <f>L14*100</f>
        <v>101.06681846583658</v>
      </c>
    </row>
    <row r="18" spans="1:14" ht="15.75" thickBot="1" x14ac:dyDescent="0.3">
      <c r="A18" t="s">
        <v>37</v>
      </c>
      <c r="B18" t="s">
        <v>231</v>
      </c>
      <c r="C18" t="s">
        <v>281</v>
      </c>
      <c r="E18" s="1" t="str">
        <f t="shared" si="1"/>
        <v>Home</v>
      </c>
      <c r="F18" s="3">
        <f t="shared" si="2"/>
        <v>1</v>
      </c>
      <c r="G18" s="3">
        <f t="shared" si="3"/>
        <v>8</v>
      </c>
      <c r="H18" s="3">
        <f t="shared" si="0"/>
        <v>9</v>
      </c>
      <c r="I18" s="3" t="str">
        <f t="shared" si="4"/>
        <v>L</v>
      </c>
      <c r="K18" s="11" t="s">
        <v>186</v>
      </c>
      <c r="L18" s="12">
        <f>L15*100</f>
        <v>98.604295101908178</v>
      </c>
    </row>
    <row r="19" spans="1:14" x14ac:dyDescent="0.25">
      <c r="A19" t="s">
        <v>39</v>
      </c>
      <c r="B19" t="s">
        <v>190</v>
      </c>
      <c r="C19" t="s">
        <v>56</v>
      </c>
      <c r="E19" s="1" t="str">
        <f t="shared" si="1"/>
        <v>Away</v>
      </c>
      <c r="F19" s="3">
        <f t="shared" si="2"/>
        <v>1</v>
      </c>
      <c r="G19" s="3">
        <f t="shared" si="3"/>
        <v>7</v>
      </c>
      <c r="H19" s="3">
        <f t="shared" si="0"/>
        <v>8</v>
      </c>
      <c r="I19" s="3" t="str">
        <f t="shared" si="4"/>
        <v>L</v>
      </c>
    </row>
    <row r="20" spans="1:14" x14ac:dyDescent="0.25">
      <c r="A20" t="s">
        <v>41</v>
      </c>
      <c r="B20" t="s">
        <v>190</v>
      </c>
      <c r="C20" t="s">
        <v>15</v>
      </c>
      <c r="E20" s="1" t="str">
        <f t="shared" si="1"/>
        <v>Away</v>
      </c>
      <c r="F20" s="3">
        <f t="shared" si="2"/>
        <v>3</v>
      </c>
      <c r="G20" s="3">
        <f t="shared" si="3"/>
        <v>1</v>
      </c>
      <c r="H20" s="3">
        <f t="shared" si="0"/>
        <v>4</v>
      </c>
      <c r="I20" s="3" t="str">
        <f t="shared" si="4"/>
        <v>W</v>
      </c>
    </row>
    <row r="21" spans="1:14" x14ac:dyDescent="0.25">
      <c r="A21" t="s">
        <v>43</v>
      </c>
      <c r="B21" t="s">
        <v>258</v>
      </c>
      <c r="C21" t="s">
        <v>28</v>
      </c>
      <c r="E21" s="1" t="str">
        <f t="shared" si="1"/>
        <v>Home</v>
      </c>
      <c r="F21" s="3">
        <f t="shared" si="2"/>
        <v>4</v>
      </c>
      <c r="G21" s="3">
        <f t="shared" si="3"/>
        <v>2</v>
      </c>
      <c r="H21" s="3">
        <f t="shared" si="0"/>
        <v>6</v>
      </c>
      <c r="I21" s="3" t="str">
        <f t="shared" si="4"/>
        <v>W</v>
      </c>
    </row>
    <row r="22" spans="1:14" x14ac:dyDescent="0.25">
      <c r="A22" t="s">
        <v>45</v>
      </c>
      <c r="B22" t="s">
        <v>258</v>
      </c>
      <c r="C22" t="s">
        <v>301</v>
      </c>
      <c r="E22" s="1" t="str">
        <f t="shared" si="1"/>
        <v>Home</v>
      </c>
      <c r="F22" s="3">
        <f t="shared" si="2"/>
        <v>3</v>
      </c>
      <c r="G22" s="3">
        <f t="shared" si="3"/>
        <v>9</v>
      </c>
      <c r="H22" s="3">
        <f t="shared" si="0"/>
        <v>12</v>
      </c>
      <c r="I22" s="3" t="str">
        <f t="shared" si="4"/>
        <v>L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250</v>
      </c>
      <c r="C23" t="s">
        <v>304</v>
      </c>
      <c r="E23" s="1" t="str">
        <f t="shared" si="1"/>
        <v>Home</v>
      </c>
      <c r="F23" s="3">
        <f t="shared" si="2"/>
        <v>2</v>
      </c>
      <c r="G23" s="3">
        <f t="shared" si="3"/>
        <v>0</v>
      </c>
      <c r="H23" s="3">
        <f t="shared" si="0"/>
        <v>2</v>
      </c>
      <c r="I23" s="3" t="str">
        <f t="shared" si="4"/>
        <v>W</v>
      </c>
      <c r="K23" s="1">
        <f>COUNTIFS(Table29[At], "Home",Table29[Result], "W")</f>
        <v>29</v>
      </c>
      <c r="L23" s="1">
        <f>COUNTIFS(Table29[At], "Home",Table29[Result], "L")</f>
        <v>7</v>
      </c>
      <c r="M23" s="1">
        <f>COUNTIFS(Table29[At], "Away",Table29[Result], "W")</f>
        <v>19</v>
      </c>
      <c r="N23" s="1">
        <f>COUNTIFS(Table29[At], "Away",Table29[Result], "L")</f>
        <v>13</v>
      </c>
    </row>
    <row r="24" spans="1:14" x14ac:dyDescent="0.25">
      <c r="A24" t="s">
        <v>49</v>
      </c>
      <c r="B24" t="s">
        <v>206</v>
      </c>
      <c r="C24" t="s">
        <v>205</v>
      </c>
      <c r="E24" s="1" t="str">
        <f t="shared" si="1"/>
        <v>Away</v>
      </c>
      <c r="F24" s="3">
        <f t="shared" si="2"/>
        <v>5</v>
      </c>
      <c r="G24" s="3">
        <f t="shared" si="3"/>
        <v>6</v>
      </c>
      <c r="H24" s="3">
        <f t="shared" si="0"/>
        <v>11</v>
      </c>
      <c r="I24" s="3" t="str">
        <f t="shared" si="4"/>
        <v>L</v>
      </c>
      <c r="K24" s="1"/>
      <c r="M24" s="1"/>
      <c r="N24" s="1"/>
    </row>
    <row r="25" spans="1:14" x14ac:dyDescent="0.25">
      <c r="A25" t="s">
        <v>51</v>
      </c>
      <c r="B25" t="s">
        <v>201</v>
      </c>
      <c r="C25" t="s">
        <v>38</v>
      </c>
      <c r="E25" s="1" t="str">
        <f t="shared" si="1"/>
        <v>Away</v>
      </c>
      <c r="F25" s="3">
        <f t="shared" si="2"/>
        <v>3</v>
      </c>
      <c r="G25" s="3">
        <f t="shared" si="3"/>
        <v>5</v>
      </c>
      <c r="H25" s="3">
        <f t="shared" si="0"/>
        <v>8</v>
      </c>
      <c r="I25" s="3" t="str">
        <f t="shared" si="4"/>
        <v>L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201</v>
      </c>
      <c r="C26" t="s">
        <v>301</v>
      </c>
      <c r="E26" s="1" t="str">
        <f t="shared" si="1"/>
        <v>Away</v>
      </c>
      <c r="F26" s="3">
        <f t="shared" si="2"/>
        <v>3</v>
      </c>
      <c r="G26" s="3">
        <f t="shared" si="3"/>
        <v>9</v>
      </c>
      <c r="H26" s="3">
        <f t="shared" si="0"/>
        <v>12</v>
      </c>
      <c r="I26" s="3" t="str">
        <f t="shared" si="4"/>
        <v>L</v>
      </c>
      <c r="K26" s="1">
        <f>COUNTIFS(Table29[oR/G], "&gt;0",Table29[Result], "W")</f>
        <v>14</v>
      </c>
      <c r="L26" s="1">
        <f>COUNTIFS(Table29[oR/G], "&gt;0",Table29[Result], "l")</f>
        <v>10</v>
      </c>
      <c r="M26" s="1">
        <f>COUNTIFS(Table29[oR/G], "&lt;0",Table29[Result], "W")</f>
        <v>34</v>
      </c>
      <c r="N26" s="1">
        <f>COUNTIFS(Table29[oR/G], "&lt;0",Table29[Result], "l")</f>
        <v>10</v>
      </c>
    </row>
    <row r="27" spans="1:14" x14ac:dyDescent="0.25">
      <c r="A27" t="s">
        <v>53</v>
      </c>
      <c r="B27" t="s">
        <v>263</v>
      </c>
      <c r="C27" t="s">
        <v>205</v>
      </c>
      <c r="E27" s="1" t="str">
        <f t="shared" si="1"/>
        <v>Home</v>
      </c>
      <c r="F27" s="3">
        <f t="shared" si="2"/>
        <v>5</v>
      </c>
      <c r="G27" s="3">
        <f t="shared" si="3"/>
        <v>6</v>
      </c>
      <c r="H27" s="3">
        <f t="shared" si="0"/>
        <v>11</v>
      </c>
      <c r="I27" s="3" t="str">
        <f t="shared" si="4"/>
        <v>L</v>
      </c>
    </row>
    <row r="28" spans="1:14" x14ac:dyDescent="0.25">
      <c r="A28" t="s">
        <v>208</v>
      </c>
      <c r="B28" t="s">
        <v>263</v>
      </c>
      <c r="C28" t="s">
        <v>335</v>
      </c>
      <c r="E28" s="1" t="str">
        <f t="shared" si="1"/>
        <v>Home</v>
      </c>
      <c r="F28" s="3">
        <f t="shared" si="2"/>
        <v>6</v>
      </c>
      <c r="G28" s="3">
        <f t="shared" si="3"/>
        <v>4</v>
      </c>
      <c r="H28" s="3">
        <f t="shared" si="0"/>
        <v>10</v>
      </c>
      <c r="I28" s="3" t="str">
        <f t="shared" si="4"/>
        <v>W</v>
      </c>
    </row>
    <row r="29" spans="1:14" x14ac:dyDescent="0.25">
      <c r="A29" t="s">
        <v>247</v>
      </c>
      <c r="B29" t="s">
        <v>245</v>
      </c>
      <c r="C29" t="s">
        <v>104</v>
      </c>
      <c r="E29" s="1" t="str">
        <f t="shared" si="1"/>
        <v>Home</v>
      </c>
      <c r="F29" s="3">
        <f t="shared" si="2"/>
        <v>0</v>
      </c>
      <c r="G29" s="3">
        <f t="shared" si="3"/>
        <v>9</v>
      </c>
      <c r="H29" s="3">
        <f t="shared" si="0"/>
        <v>9</v>
      </c>
      <c r="I29" s="3" t="str">
        <f t="shared" si="4"/>
        <v>L</v>
      </c>
    </row>
    <row r="30" spans="1:14" x14ac:dyDescent="0.25">
      <c r="A30" t="s">
        <v>54</v>
      </c>
      <c r="B30" t="s">
        <v>201</v>
      </c>
      <c r="C30" t="s">
        <v>269</v>
      </c>
      <c r="E30" s="1" t="str">
        <f t="shared" si="1"/>
        <v>Away</v>
      </c>
      <c r="F30" s="3">
        <f t="shared" si="2"/>
        <v>2</v>
      </c>
      <c r="G30" s="3">
        <f t="shared" si="3"/>
        <v>3</v>
      </c>
      <c r="H30" s="3">
        <f t="shared" si="0"/>
        <v>5</v>
      </c>
      <c r="I30" s="3" t="str">
        <f t="shared" si="4"/>
        <v>L</v>
      </c>
    </row>
    <row r="31" spans="1:14" x14ac:dyDescent="0.25">
      <c r="A31" t="s">
        <v>57</v>
      </c>
      <c r="B31" t="s">
        <v>263</v>
      </c>
      <c r="C31" t="s">
        <v>347</v>
      </c>
      <c r="E31" s="1" t="str">
        <f t="shared" si="1"/>
        <v>Home</v>
      </c>
      <c r="F31" s="3">
        <f t="shared" si="2"/>
        <v>9</v>
      </c>
      <c r="G31" s="3">
        <f t="shared" si="3"/>
        <v>5</v>
      </c>
      <c r="H31" s="3">
        <f t="shared" si="0"/>
        <v>14</v>
      </c>
      <c r="I31" s="3" t="str">
        <f t="shared" si="4"/>
        <v>W</v>
      </c>
    </row>
    <row r="32" spans="1:14" x14ac:dyDescent="0.25">
      <c r="A32" t="s">
        <v>60</v>
      </c>
      <c r="B32" t="s">
        <v>263</v>
      </c>
      <c r="C32" t="s">
        <v>298</v>
      </c>
      <c r="E32" s="1" t="str">
        <f t="shared" si="1"/>
        <v>Home</v>
      </c>
      <c r="F32" s="3">
        <f t="shared" si="2"/>
        <v>1</v>
      </c>
      <c r="G32" s="3">
        <f t="shared" si="3"/>
        <v>2</v>
      </c>
      <c r="H32" s="3">
        <f t="shared" si="0"/>
        <v>3</v>
      </c>
      <c r="I32" s="3" t="str">
        <f t="shared" si="4"/>
        <v>L</v>
      </c>
    </row>
    <row r="33" spans="1:9" x14ac:dyDescent="0.25">
      <c r="A33" t="s">
        <v>62</v>
      </c>
      <c r="B33" t="s">
        <v>278</v>
      </c>
      <c r="C33" t="s">
        <v>280</v>
      </c>
      <c r="E33" s="1" t="str">
        <f t="shared" si="1"/>
        <v>Home</v>
      </c>
      <c r="F33" s="3">
        <f t="shared" si="2"/>
        <v>8</v>
      </c>
      <c r="G33" s="3">
        <f t="shared" si="3"/>
        <v>3</v>
      </c>
      <c r="H33" s="3">
        <f t="shared" si="0"/>
        <v>11</v>
      </c>
      <c r="I33" s="3" t="str">
        <f t="shared" si="4"/>
        <v>W</v>
      </c>
    </row>
    <row r="34" spans="1:9" x14ac:dyDescent="0.25">
      <c r="A34" t="s">
        <v>64</v>
      </c>
      <c r="B34" t="s">
        <v>278</v>
      </c>
      <c r="C34" t="s">
        <v>364</v>
      </c>
      <c r="E34" s="1" t="str">
        <f t="shared" si="1"/>
        <v>Home</v>
      </c>
      <c r="F34" s="3">
        <f t="shared" si="2"/>
        <v>11</v>
      </c>
      <c r="G34" s="3">
        <f t="shared" si="3"/>
        <v>9</v>
      </c>
      <c r="H34" s="3">
        <f t="shared" si="0"/>
        <v>20</v>
      </c>
      <c r="I34" s="3" t="str">
        <f t="shared" si="4"/>
        <v>W</v>
      </c>
    </row>
    <row r="35" spans="1:9" x14ac:dyDescent="0.25">
      <c r="A35" t="s">
        <v>66</v>
      </c>
      <c r="B35" t="s">
        <v>192</v>
      </c>
      <c r="C35" t="s">
        <v>296</v>
      </c>
      <c r="E35" s="1" t="str">
        <f t="shared" si="1"/>
        <v>Away</v>
      </c>
      <c r="F35" s="3">
        <f t="shared" si="2"/>
        <v>3</v>
      </c>
      <c r="G35" s="3">
        <f t="shared" si="3"/>
        <v>10</v>
      </c>
      <c r="H35" s="3">
        <f t="shared" si="0"/>
        <v>13</v>
      </c>
      <c r="I35" s="3" t="str">
        <f t="shared" si="4"/>
        <v>L</v>
      </c>
    </row>
    <row r="36" spans="1:9" x14ac:dyDescent="0.25">
      <c r="A36" t="s">
        <v>67</v>
      </c>
      <c r="B36" t="s">
        <v>192</v>
      </c>
      <c r="C36" t="s">
        <v>31</v>
      </c>
      <c r="E36" s="1" t="str">
        <f t="shared" si="1"/>
        <v>Away</v>
      </c>
      <c r="F36" s="3">
        <f t="shared" si="2"/>
        <v>5</v>
      </c>
      <c r="G36" s="3">
        <f t="shared" si="3"/>
        <v>9</v>
      </c>
      <c r="H36" s="3">
        <f t="shared" si="0"/>
        <v>14</v>
      </c>
      <c r="I36" s="3" t="str">
        <f t="shared" si="4"/>
        <v>L</v>
      </c>
    </row>
    <row r="37" spans="1:9" x14ac:dyDescent="0.25">
      <c r="A37" t="s">
        <v>68</v>
      </c>
      <c r="B37" t="s">
        <v>194</v>
      </c>
      <c r="C37" t="s">
        <v>65</v>
      </c>
      <c r="E37" s="1" t="str">
        <f t="shared" si="1"/>
        <v>Away</v>
      </c>
      <c r="F37" s="3">
        <f t="shared" si="2"/>
        <v>1</v>
      </c>
      <c r="G37" s="3">
        <f t="shared" si="3"/>
        <v>4</v>
      </c>
      <c r="H37" s="3">
        <f t="shared" si="0"/>
        <v>5</v>
      </c>
      <c r="I37" s="3" t="str">
        <f t="shared" si="4"/>
        <v>L</v>
      </c>
    </row>
    <row r="38" spans="1:9" x14ac:dyDescent="0.25">
      <c r="A38" t="s">
        <v>71</v>
      </c>
      <c r="B38" t="s">
        <v>194</v>
      </c>
      <c r="C38" t="s">
        <v>130</v>
      </c>
      <c r="E38" s="1" t="str">
        <f t="shared" si="1"/>
        <v>Away</v>
      </c>
      <c r="F38" s="3">
        <f t="shared" si="2"/>
        <v>9</v>
      </c>
      <c r="G38" s="3">
        <f t="shared" si="3"/>
        <v>2</v>
      </c>
      <c r="H38" s="3">
        <f t="shared" si="0"/>
        <v>11</v>
      </c>
      <c r="I38" s="3" t="str">
        <f t="shared" si="4"/>
        <v>W</v>
      </c>
    </row>
    <row r="39" spans="1:9" x14ac:dyDescent="0.25">
      <c r="A39" t="s">
        <v>73</v>
      </c>
      <c r="B39" t="s">
        <v>190</v>
      </c>
      <c r="C39" t="s">
        <v>360</v>
      </c>
      <c r="E39" s="1" t="str">
        <f t="shared" si="1"/>
        <v>Away</v>
      </c>
      <c r="F39" s="3">
        <f t="shared" si="2"/>
        <v>0</v>
      </c>
      <c r="G39" s="3">
        <f t="shared" si="3"/>
        <v>10</v>
      </c>
      <c r="H39" s="3">
        <f t="shared" si="0"/>
        <v>10</v>
      </c>
      <c r="I39" s="3" t="str">
        <f t="shared" si="4"/>
        <v>L</v>
      </c>
    </row>
    <row r="40" spans="1:9" x14ac:dyDescent="0.25">
      <c r="A40" t="s">
        <v>209</v>
      </c>
      <c r="B40" t="s">
        <v>190</v>
      </c>
      <c r="C40" t="s">
        <v>316</v>
      </c>
      <c r="E40" s="1" t="str">
        <f t="shared" si="1"/>
        <v>Away</v>
      </c>
      <c r="F40" s="3">
        <f t="shared" si="2"/>
        <v>9</v>
      </c>
      <c r="G40" s="3">
        <f t="shared" si="3"/>
        <v>6</v>
      </c>
      <c r="H40" s="3">
        <f t="shared" si="0"/>
        <v>15</v>
      </c>
      <c r="I40" s="3" t="str">
        <f t="shared" si="4"/>
        <v>W</v>
      </c>
    </row>
    <row r="41" spans="1:9" x14ac:dyDescent="0.25">
      <c r="A41" t="s">
        <v>76</v>
      </c>
      <c r="B41" t="s">
        <v>241</v>
      </c>
      <c r="C41" t="s">
        <v>26</v>
      </c>
      <c r="E41" s="1" t="str">
        <f t="shared" si="1"/>
        <v>Home</v>
      </c>
      <c r="F41" s="3">
        <f t="shared" si="2"/>
        <v>10</v>
      </c>
      <c r="G41" s="3">
        <f t="shared" si="3"/>
        <v>6</v>
      </c>
      <c r="H41" s="3">
        <f t="shared" si="0"/>
        <v>16</v>
      </c>
      <c r="I41" s="3" t="str">
        <f t="shared" si="4"/>
        <v>W</v>
      </c>
    </row>
    <row r="42" spans="1:9" x14ac:dyDescent="0.25">
      <c r="A42" t="s">
        <v>78</v>
      </c>
      <c r="B42" t="s">
        <v>241</v>
      </c>
      <c r="C42" t="s">
        <v>272</v>
      </c>
      <c r="E42" s="1" t="str">
        <f t="shared" si="1"/>
        <v>Home</v>
      </c>
      <c r="F42" s="3">
        <f t="shared" si="2"/>
        <v>0</v>
      </c>
      <c r="G42" s="3">
        <f t="shared" si="3"/>
        <v>12</v>
      </c>
      <c r="H42" s="3">
        <f t="shared" si="0"/>
        <v>12</v>
      </c>
      <c r="I42" s="3" t="str">
        <f t="shared" si="4"/>
        <v>L</v>
      </c>
    </row>
    <row r="43" spans="1:9" x14ac:dyDescent="0.25">
      <c r="A43" t="s">
        <v>80</v>
      </c>
      <c r="B43" t="s">
        <v>278</v>
      </c>
      <c r="C43" t="s">
        <v>269</v>
      </c>
      <c r="E43" s="1" t="str">
        <f t="shared" si="1"/>
        <v>Home</v>
      </c>
      <c r="F43" s="3">
        <f t="shared" si="2"/>
        <v>2</v>
      </c>
      <c r="G43" s="3">
        <f t="shared" si="3"/>
        <v>3</v>
      </c>
      <c r="H43" s="3">
        <f t="shared" si="0"/>
        <v>5</v>
      </c>
      <c r="I43" s="3" t="str">
        <f t="shared" si="4"/>
        <v>L</v>
      </c>
    </row>
    <row r="44" spans="1:9" x14ac:dyDescent="0.25">
      <c r="A44" t="s">
        <v>81</v>
      </c>
      <c r="B44" t="s">
        <v>278</v>
      </c>
      <c r="C44" t="s">
        <v>125</v>
      </c>
      <c r="E44" s="1" t="str">
        <f t="shared" si="1"/>
        <v>Home</v>
      </c>
      <c r="F44" s="3">
        <f t="shared" si="2"/>
        <v>0</v>
      </c>
      <c r="G44" s="3">
        <f t="shared" si="3"/>
        <v>4</v>
      </c>
      <c r="H44" s="3">
        <f t="shared" si="0"/>
        <v>4</v>
      </c>
      <c r="I44" s="3" t="str">
        <f t="shared" si="4"/>
        <v>L</v>
      </c>
    </row>
    <row r="45" spans="1:9" x14ac:dyDescent="0.25">
      <c r="A45" t="s">
        <v>82</v>
      </c>
      <c r="B45" t="s">
        <v>194</v>
      </c>
      <c r="C45" t="s">
        <v>270</v>
      </c>
      <c r="E45" s="1" t="str">
        <f t="shared" si="1"/>
        <v>Away</v>
      </c>
      <c r="F45" s="3">
        <f t="shared" si="2"/>
        <v>4</v>
      </c>
      <c r="G45" s="3">
        <f t="shared" si="3"/>
        <v>3</v>
      </c>
      <c r="H45" s="3">
        <f t="shared" si="0"/>
        <v>7</v>
      </c>
      <c r="I45" s="3" t="str">
        <f t="shared" si="4"/>
        <v>W</v>
      </c>
    </row>
    <row r="46" spans="1:9" x14ac:dyDescent="0.25">
      <c r="A46" t="s">
        <v>84</v>
      </c>
      <c r="B46" t="s">
        <v>194</v>
      </c>
      <c r="C46" t="s">
        <v>443</v>
      </c>
      <c r="E46" s="1" t="str">
        <f t="shared" si="1"/>
        <v>Away</v>
      </c>
      <c r="F46" s="3">
        <f t="shared" si="2"/>
        <v>15</v>
      </c>
      <c r="G46" s="3">
        <f t="shared" si="3"/>
        <v>11</v>
      </c>
      <c r="H46" s="3">
        <f t="shared" si="0"/>
        <v>26</v>
      </c>
      <c r="I46" s="3" t="str">
        <f t="shared" si="4"/>
        <v>W</v>
      </c>
    </row>
    <row r="47" spans="1:9" x14ac:dyDescent="0.25">
      <c r="A47" t="s">
        <v>86</v>
      </c>
      <c r="B47" t="s">
        <v>231</v>
      </c>
      <c r="C47" t="s">
        <v>237</v>
      </c>
      <c r="E47" s="1" t="str">
        <f t="shared" si="1"/>
        <v>Home</v>
      </c>
      <c r="F47" s="3">
        <f t="shared" si="2"/>
        <v>6</v>
      </c>
      <c r="G47" s="3">
        <f t="shared" si="3"/>
        <v>11</v>
      </c>
      <c r="H47" s="3">
        <f t="shared" si="0"/>
        <v>17</v>
      </c>
      <c r="I47" s="3" t="str">
        <f t="shared" si="4"/>
        <v>L</v>
      </c>
    </row>
    <row r="48" spans="1:9" x14ac:dyDescent="0.25">
      <c r="A48" t="s">
        <v>86</v>
      </c>
      <c r="B48" t="s">
        <v>231</v>
      </c>
      <c r="C48" t="s">
        <v>276</v>
      </c>
      <c r="E48" s="1" t="str">
        <f t="shared" si="1"/>
        <v>Home</v>
      </c>
      <c r="F48" s="3">
        <f t="shared" si="2"/>
        <v>2</v>
      </c>
      <c r="G48" s="3">
        <f t="shared" si="3"/>
        <v>4</v>
      </c>
      <c r="H48" s="3">
        <f t="shared" si="0"/>
        <v>6</v>
      </c>
      <c r="I48" s="3" t="str">
        <f t="shared" si="4"/>
        <v>L</v>
      </c>
    </row>
    <row r="49" spans="1:9" x14ac:dyDescent="0.25">
      <c r="A49" t="s">
        <v>88</v>
      </c>
      <c r="B49" t="s">
        <v>210</v>
      </c>
      <c r="C49" t="s">
        <v>85</v>
      </c>
      <c r="E49" s="1" t="str">
        <f t="shared" si="1"/>
        <v>Away</v>
      </c>
      <c r="F49" s="3">
        <f t="shared" si="2"/>
        <v>5</v>
      </c>
      <c r="G49" s="3">
        <f t="shared" si="3"/>
        <v>3</v>
      </c>
      <c r="H49" s="3">
        <f t="shared" si="0"/>
        <v>8</v>
      </c>
      <c r="I49" s="3" t="str">
        <f t="shared" si="4"/>
        <v>W</v>
      </c>
    </row>
    <row r="50" spans="1:9" x14ac:dyDescent="0.25">
      <c r="A50" t="s">
        <v>91</v>
      </c>
      <c r="B50" t="s">
        <v>210</v>
      </c>
      <c r="C50" t="s">
        <v>393</v>
      </c>
      <c r="E50" s="1" t="str">
        <f t="shared" si="1"/>
        <v>Away</v>
      </c>
      <c r="F50" s="3">
        <f t="shared" si="2"/>
        <v>3</v>
      </c>
      <c r="G50" s="3">
        <f t="shared" si="3"/>
        <v>11</v>
      </c>
      <c r="H50" s="3">
        <f t="shared" si="0"/>
        <v>14</v>
      </c>
      <c r="I50" s="3" t="str">
        <f t="shared" si="4"/>
        <v>L</v>
      </c>
    </row>
    <row r="51" spans="1:9" x14ac:dyDescent="0.25">
      <c r="A51" t="s">
        <v>93</v>
      </c>
      <c r="B51" t="s">
        <v>203</v>
      </c>
      <c r="C51" t="s">
        <v>223</v>
      </c>
      <c r="E51" s="1" t="str">
        <f t="shared" si="1"/>
        <v>Away</v>
      </c>
      <c r="F51" s="3">
        <f t="shared" si="2"/>
        <v>10</v>
      </c>
      <c r="G51" s="3">
        <f t="shared" si="3"/>
        <v>4</v>
      </c>
      <c r="H51" s="3">
        <f t="shared" si="0"/>
        <v>14</v>
      </c>
      <c r="I51" s="3" t="str">
        <f t="shared" si="4"/>
        <v>W</v>
      </c>
    </row>
    <row r="52" spans="1:9" x14ac:dyDescent="0.25">
      <c r="A52" t="s">
        <v>96</v>
      </c>
      <c r="B52" t="s">
        <v>203</v>
      </c>
      <c r="C52" t="s">
        <v>237</v>
      </c>
      <c r="E52" s="1" t="str">
        <f t="shared" si="1"/>
        <v>Away</v>
      </c>
      <c r="F52" s="3">
        <f t="shared" si="2"/>
        <v>6</v>
      </c>
      <c r="G52" s="3">
        <f t="shared" si="3"/>
        <v>11</v>
      </c>
      <c r="H52" s="3">
        <f t="shared" si="0"/>
        <v>17</v>
      </c>
      <c r="I52" s="3" t="str">
        <f t="shared" si="4"/>
        <v>L</v>
      </c>
    </row>
    <row r="53" spans="1:9" x14ac:dyDescent="0.25">
      <c r="A53" t="s">
        <v>97</v>
      </c>
      <c r="B53" t="s">
        <v>241</v>
      </c>
      <c r="C53" t="s">
        <v>349</v>
      </c>
      <c r="E53" s="1" t="str">
        <f t="shared" si="1"/>
        <v>Home</v>
      </c>
      <c r="F53" s="3">
        <f t="shared" si="2"/>
        <v>12</v>
      </c>
      <c r="G53" s="3">
        <f t="shared" si="3"/>
        <v>2</v>
      </c>
      <c r="H53" s="3">
        <f t="shared" si="0"/>
        <v>14</v>
      </c>
      <c r="I53" s="3" t="str">
        <f t="shared" si="4"/>
        <v>W</v>
      </c>
    </row>
    <row r="54" spans="1:9" x14ac:dyDescent="0.25">
      <c r="A54" t="s">
        <v>100</v>
      </c>
      <c r="B54" t="s">
        <v>241</v>
      </c>
      <c r="C54" t="s">
        <v>270</v>
      </c>
      <c r="E54" s="1" t="str">
        <f t="shared" si="1"/>
        <v>Home</v>
      </c>
      <c r="F54" s="3">
        <f t="shared" si="2"/>
        <v>4</v>
      </c>
      <c r="G54" s="3">
        <f t="shared" si="3"/>
        <v>3</v>
      </c>
      <c r="H54" s="3">
        <f t="shared" si="0"/>
        <v>7</v>
      </c>
      <c r="I54" s="3" t="str">
        <f t="shared" si="4"/>
        <v>W</v>
      </c>
    </row>
    <row r="55" spans="1:9" x14ac:dyDescent="0.25">
      <c r="A55" t="s">
        <v>215</v>
      </c>
      <c r="B55" t="s">
        <v>198</v>
      </c>
      <c r="C55" t="s">
        <v>318</v>
      </c>
      <c r="E55" s="1" t="str">
        <f t="shared" si="1"/>
        <v>Away</v>
      </c>
      <c r="F55" s="3">
        <f t="shared" si="2"/>
        <v>11</v>
      </c>
      <c r="G55" s="3">
        <f t="shared" si="3"/>
        <v>4</v>
      </c>
      <c r="H55" s="3">
        <f t="shared" si="0"/>
        <v>15</v>
      </c>
      <c r="I55" s="3" t="str">
        <f t="shared" si="4"/>
        <v>W</v>
      </c>
    </row>
    <row r="56" spans="1:9" x14ac:dyDescent="0.25">
      <c r="A56" t="s">
        <v>102</v>
      </c>
      <c r="B56" t="s">
        <v>198</v>
      </c>
      <c r="C56" t="s">
        <v>302</v>
      </c>
      <c r="E56" s="1" t="str">
        <f t="shared" si="1"/>
        <v>Away</v>
      </c>
      <c r="F56" s="3">
        <f t="shared" si="2"/>
        <v>2</v>
      </c>
      <c r="G56" s="3">
        <f t="shared" si="3"/>
        <v>9</v>
      </c>
      <c r="H56" s="3">
        <f t="shared" si="0"/>
        <v>11</v>
      </c>
      <c r="I56" s="3" t="str">
        <f t="shared" si="4"/>
        <v>L</v>
      </c>
    </row>
    <row r="57" spans="1:9" x14ac:dyDescent="0.25">
      <c r="A57" t="s">
        <v>108</v>
      </c>
      <c r="B57" t="s">
        <v>225</v>
      </c>
      <c r="C57" t="s">
        <v>38</v>
      </c>
      <c r="E57" s="1" t="str">
        <f t="shared" si="1"/>
        <v>Home</v>
      </c>
      <c r="F57" s="3">
        <f t="shared" si="2"/>
        <v>3</v>
      </c>
      <c r="G57" s="3">
        <f t="shared" si="3"/>
        <v>5</v>
      </c>
      <c r="H57" s="3">
        <f t="shared" si="0"/>
        <v>8</v>
      </c>
      <c r="I57" s="3" t="str">
        <f t="shared" si="4"/>
        <v>L</v>
      </c>
    </row>
    <row r="58" spans="1:9" x14ac:dyDescent="0.25">
      <c r="A58" t="s">
        <v>110</v>
      </c>
      <c r="B58" t="s">
        <v>225</v>
      </c>
      <c r="C58" t="s">
        <v>372</v>
      </c>
      <c r="E58" s="1" t="str">
        <f t="shared" si="1"/>
        <v>Home</v>
      </c>
      <c r="F58" s="3">
        <f t="shared" si="2"/>
        <v>9</v>
      </c>
      <c r="G58" s="3">
        <f t="shared" si="3"/>
        <v>1</v>
      </c>
      <c r="H58" s="3">
        <f t="shared" si="0"/>
        <v>10</v>
      </c>
      <c r="I58" s="3" t="str">
        <f t="shared" si="4"/>
        <v>W</v>
      </c>
    </row>
    <row r="59" spans="1:9" x14ac:dyDescent="0.25">
      <c r="A59" t="s">
        <v>111</v>
      </c>
      <c r="B59" t="s">
        <v>225</v>
      </c>
      <c r="C59" t="s">
        <v>444</v>
      </c>
      <c r="E59" s="1" t="str">
        <f t="shared" si="1"/>
        <v>Home</v>
      </c>
      <c r="F59" s="3">
        <f t="shared" si="2"/>
        <v>15</v>
      </c>
      <c r="G59" s="3">
        <f t="shared" si="3"/>
        <v>9</v>
      </c>
      <c r="H59" s="3">
        <f t="shared" si="0"/>
        <v>24</v>
      </c>
      <c r="I59" s="3" t="str">
        <f t="shared" si="4"/>
        <v>W</v>
      </c>
    </row>
    <row r="60" spans="1:9" x14ac:dyDescent="0.25">
      <c r="A60" t="s">
        <v>112</v>
      </c>
      <c r="B60" t="s">
        <v>225</v>
      </c>
      <c r="C60" t="s">
        <v>251</v>
      </c>
      <c r="E60" s="1" t="str">
        <f t="shared" si="1"/>
        <v>Home</v>
      </c>
      <c r="F60" s="3">
        <f t="shared" si="2"/>
        <v>2</v>
      </c>
      <c r="G60" s="3">
        <f t="shared" si="3"/>
        <v>7</v>
      </c>
      <c r="H60" s="3">
        <f t="shared" si="0"/>
        <v>9</v>
      </c>
      <c r="I60" s="3" t="str">
        <f t="shared" si="4"/>
        <v>L</v>
      </c>
    </row>
    <row r="61" spans="1:9" x14ac:dyDescent="0.25">
      <c r="A61" t="s">
        <v>114</v>
      </c>
      <c r="B61" t="s">
        <v>192</v>
      </c>
      <c r="C61" t="s">
        <v>244</v>
      </c>
      <c r="E61" s="1" t="str">
        <f t="shared" si="1"/>
        <v>Away</v>
      </c>
      <c r="F61" s="3">
        <f t="shared" si="2"/>
        <v>6</v>
      </c>
      <c r="G61" s="3">
        <f t="shared" si="3"/>
        <v>3</v>
      </c>
      <c r="H61" s="3">
        <f t="shared" si="0"/>
        <v>9</v>
      </c>
      <c r="I61" s="3" t="str">
        <f t="shared" si="4"/>
        <v>W</v>
      </c>
    </row>
    <row r="62" spans="1:9" x14ac:dyDescent="0.25">
      <c r="A62" t="s">
        <v>117</v>
      </c>
      <c r="B62" t="s">
        <v>192</v>
      </c>
      <c r="C62" t="s">
        <v>50</v>
      </c>
      <c r="E62" s="1" t="str">
        <f t="shared" si="1"/>
        <v>Away</v>
      </c>
      <c r="F62" s="3">
        <f t="shared" si="2"/>
        <v>3</v>
      </c>
      <c r="G62" s="3">
        <f t="shared" si="3"/>
        <v>4</v>
      </c>
      <c r="H62" s="3">
        <f t="shared" si="0"/>
        <v>7</v>
      </c>
      <c r="I62" s="3" t="str">
        <f t="shared" si="4"/>
        <v>L</v>
      </c>
    </row>
    <row r="63" spans="1:9" x14ac:dyDescent="0.25">
      <c r="A63" t="s">
        <v>119</v>
      </c>
      <c r="B63" t="s">
        <v>245</v>
      </c>
      <c r="C63" t="s">
        <v>320</v>
      </c>
      <c r="E63" s="1" t="str">
        <f t="shared" si="1"/>
        <v>Home</v>
      </c>
      <c r="F63" s="3">
        <f t="shared" si="2"/>
        <v>5</v>
      </c>
      <c r="G63" s="3">
        <f t="shared" si="3"/>
        <v>1</v>
      </c>
      <c r="H63" s="3">
        <f t="shared" si="0"/>
        <v>6</v>
      </c>
      <c r="I63" s="3" t="str">
        <f t="shared" si="4"/>
        <v>W</v>
      </c>
    </row>
    <row r="64" spans="1:9" x14ac:dyDescent="0.25">
      <c r="A64" t="s">
        <v>122</v>
      </c>
      <c r="B64" t="s">
        <v>245</v>
      </c>
      <c r="C64" t="s">
        <v>281</v>
      </c>
      <c r="E64" s="1" t="str">
        <f t="shared" si="1"/>
        <v>Home</v>
      </c>
      <c r="F64" s="3">
        <f t="shared" si="2"/>
        <v>1</v>
      </c>
      <c r="G64" s="3">
        <f t="shared" si="3"/>
        <v>8</v>
      </c>
      <c r="H64" s="3">
        <f t="shared" si="0"/>
        <v>9</v>
      </c>
      <c r="I64" s="3" t="str">
        <f t="shared" si="4"/>
        <v>L</v>
      </c>
    </row>
    <row r="65" spans="1:15" x14ac:dyDescent="0.25">
      <c r="A65" t="s">
        <v>218</v>
      </c>
      <c r="B65" t="s">
        <v>250</v>
      </c>
      <c r="C65" t="s">
        <v>207</v>
      </c>
      <c r="E65" s="1" t="str">
        <f t="shared" si="1"/>
        <v>Home</v>
      </c>
      <c r="F65" s="3">
        <f t="shared" si="2"/>
        <v>3</v>
      </c>
      <c r="G65" s="3">
        <f t="shared" si="3"/>
        <v>8</v>
      </c>
      <c r="H65" s="3">
        <f t="shared" si="0"/>
        <v>11</v>
      </c>
      <c r="I65" s="3" t="str">
        <f t="shared" si="4"/>
        <v>L</v>
      </c>
    </row>
    <row r="66" spans="1:15" x14ac:dyDescent="0.25">
      <c r="A66" t="s">
        <v>123</v>
      </c>
      <c r="B66" t="s">
        <v>250</v>
      </c>
      <c r="C66" t="s">
        <v>38</v>
      </c>
      <c r="E66" s="1" t="str">
        <f t="shared" si="1"/>
        <v>Home</v>
      </c>
      <c r="F66" s="3">
        <f t="shared" si="2"/>
        <v>3</v>
      </c>
      <c r="G66" s="3">
        <f t="shared" si="3"/>
        <v>5</v>
      </c>
      <c r="H66" s="3">
        <f t="shared" si="0"/>
        <v>8</v>
      </c>
      <c r="I66" s="3" t="str">
        <f t="shared" si="4"/>
        <v>L</v>
      </c>
    </row>
    <row r="67" spans="1:15" x14ac:dyDescent="0.25">
      <c r="A67" t="s">
        <v>126</v>
      </c>
      <c r="B67" t="s">
        <v>198</v>
      </c>
      <c r="C67" t="s">
        <v>24</v>
      </c>
      <c r="E67" s="1" t="str">
        <f t="shared" si="1"/>
        <v>Away</v>
      </c>
      <c r="F67" s="3">
        <f t="shared" si="2"/>
        <v>10</v>
      </c>
      <c r="G67" s="3">
        <f t="shared" si="3"/>
        <v>5</v>
      </c>
      <c r="H67" s="3">
        <f t="shared" ref="H67:H70" si="6">F67+G67</f>
        <v>15</v>
      </c>
      <c r="I67" s="3" t="str">
        <f t="shared" si="4"/>
        <v>W</v>
      </c>
    </row>
    <row r="68" spans="1:15" x14ac:dyDescent="0.25">
      <c r="A68" t="s">
        <v>127</v>
      </c>
      <c r="B68" t="s">
        <v>198</v>
      </c>
      <c r="C68" t="s">
        <v>259</v>
      </c>
      <c r="E68" s="1" t="str">
        <f t="shared" ref="E68:E70" si="7">IF(LEFT(B68,1)="@","Away","Home")</f>
        <v>Away</v>
      </c>
      <c r="F68" s="3">
        <f t="shared" ref="F68:F70" si="8">_xlfn.NUMBERVALUE(MID(LEFT(C68,FIND("-",C68)-1),FIND(" ",C68)+1,LEN(C68)))</f>
        <v>0</v>
      </c>
      <c r="G68" s="3">
        <f t="shared" ref="G68:G70" si="9">_xlfn.NUMBERVALUE(RIGHT(C68,LEN(C68)-FIND("-",C68)))</f>
        <v>5</v>
      </c>
      <c r="H68" s="3">
        <f t="shared" si="6"/>
        <v>5</v>
      </c>
      <c r="I68" s="3" t="str">
        <f t="shared" ref="I68:I71" si="10">LEFT(C68,1)</f>
        <v>L</v>
      </c>
    </row>
    <row r="69" spans="1:15" x14ac:dyDescent="0.25">
      <c r="A69" t="s">
        <v>133</v>
      </c>
      <c r="B69" t="s">
        <v>235</v>
      </c>
      <c r="C69" t="s">
        <v>445</v>
      </c>
      <c r="E69" s="1" t="str">
        <f t="shared" si="7"/>
        <v>Home</v>
      </c>
      <c r="F69" s="3">
        <f t="shared" si="8"/>
        <v>17</v>
      </c>
      <c r="G69" s="3">
        <f t="shared" si="9"/>
        <v>2</v>
      </c>
      <c r="H69" s="3">
        <f t="shared" si="6"/>
        <v>19</v>
      </c>
      <c r="I69" s="3" t="str">
        <f t="shared" si="10"/>
        <v>W</v>
      </c>
    </row>
    <row r="70" spans="1:15" x14ac:dyDescent="0.25">
      <c r="A70" t="s">
        <v>134</v>
      </c>
      <c r="B70" t="s">
        <v>235</v>
      </c>
      <c r="C70" t="s">
        <v>401</v>
      </c>
      <c r="E70" s="1" t="str">
        <f t="shared" si="7"/>
        <v>Home</v>
      </c>
      <c r="F70" s="3">
        <f t="shared" si="8"/>
        <v>11</v>
      </c>
      <c r="G70" s="3">
        <f t="shared" si="9"/>
        <v>8</v>
      </c>
      <c r="H70" s="3">
        <f t="shared" si="6"/>
        <v>19</v>
      </c>
      <c r="I70" s="3" t="str">
        <f t="shared" si="10"/>
        <v>W</v>
      </c>
    </row>
    <row r="71" spans="1:15" x14ac:dyDescent="0.25">
      <c r="E71" s="1"/>
      <c r="F71" s="3"/>
      <c r="G71" s="3"/>
      <c r="H71" s="3"/>
      <c r="I71" s="3" t="str">
        <f t="shared" si="10"/>
        <v/>
      </c>
    </row>
    <row r="72" spans="1:15" x14ac:dyDescent="0.25">
      <c r="A72" s="21" t="s">
        <v>1</v>
      </c>
      <c r="B72" s="21" t="s">
        <v>2</v>
      </c>
      <c r="C72" s="21" t="s">
        <v>469</v>
      </c>
      <c r="D72" s="21" t="s">
        <v>135</v>
      </c>
      <c r="E72" s="75" t="s">
        <v>136</v>
      </c>
      <c r="F72" s="76" t="s">
        <v>137</v>
      </c>
      <c r="G72" s="76" t="s">
        <v>138</v>
      </c>
      <c r="H72" s="77" t="s">
        <v>3</v>
      </c>
      <c r="I72" s="27" t="s">
        <v>494</v>
      </c>
      <c r="J72" s="28" t="s">
        <v>495</v>
      </c>
      <c r="L72" s="1" t="s">
        <v>578</v>
      </c>
      <c r="M72" s="1" t="s">
        <v>579</v>
      </c>
      <c r="N72" s="1" t="s">
        <v>580</v>
      </c>
      <c r="O72" s="1" t="s">
        <v>581</v>
      </c>
    </row>
    <row r="73" spans="1:15" x14ac:dyDescent="0.25">
      <c r="A73" s="22" t="s">
        <v>448</v>
      </c>
      <c r="B73" s="22" t="s">
        <v>210</v>
      </c>
      <c r="C73" s="22" t="s">
        <v>234</v>
      </c>
      <c r="D73" s="22" t="str">
        <f>IF(LEFT(WIL!$B73,1)="@","Away","Home")</f>
        <v>Away</v>
      </c>
      <c r="E73" s="78">
        <f>_xlfn.NUMBERVALUE(MID(LEFT(WIL!$C73,FIND("-",WIL!$C73)-1),FIND(" ",WIL!$C73)+1,LEN(WIL!$C73)))</f>
        <v>2</v>
      </c>
      <c r="F73" s="79">
        <f>_xlfn.NUMBERVALUE(RIGHT(WIL!$C73,LEN(WIL!$C73)-FIND("-",WIL!$C73)))</f>
        <v>5</v>
      </c>
      <c r="G73" s="79">
        <f t="shared" ref="G73" si="11">E73+F73</f>
        <v>7</v>
      </c>
      <c r="H73" s="80" t="str">
        <f>LEFT(WIL!$C73,1)</f>
        <v>L</v>
      </c>
      <c r="I73" s="62" t="str">
        <f>VLOOKUP(IF(Table29[[#This Row],[At]]="Home",Table29[[#This Row],[Opponent]],RIGHT(Table29[[#This Row],[Opponent]],LEN(Table29[[#This Row],[Opponent]])-1)),CHOOSE({1,2},[1]StandingsRAW!$J$1:$J$22,[1]StandingsRAW!$L$1:$L$22),2,FALSE)</f>
        <v>ROC</v>
      </c>
      <c r="J73" s="63">
        <f>VLOOKUP(Table29[[#This Row],[OPP]],Raw!$L$2:$S$23,7,FALSE)-Raw!$U$2</f>
        <v>-0.20920240606202639</v>
      </c>
      <c r="L73" s="1">
        <f>COUNTIFS(Table29[At], "Home",Table29[Result], "W")</f>
        <v>29</v>
      </c>
      <c r="M73" s="1">
        <f>COUNTIFS(Table29[At], "Home",Table29[Result], "L")</f>
        <v>7</v>
      </c>
      <c r="N73" s="1">
        <f>COUNTIFS(Table29[At], "Away",Table29[Result], "W")</f>
        <v>19</v>
      </c>
      <c r="O73" s="1">
        <f>COUNTIFS(Table29[At], "Away",Table29[Result], "L")</f>
        <v>13</v>
      </c>
    </row>
    <row r="74" spans="1:15" x14ac:dyDescent="0.25">
      <c r="A74" s="22" t="s">
        <v>449</v>
      </c>
      <c r="B74" s="22" t="s">
        <v>210</v>
      </c>
      <c r="C74" s="22" t="s">
        <v>489</v>
      </c>
      <c r="D74" s="22" t="str">
        <f>IF(LEFT(WIL!$B74,1)="@","Away","Home")</f>
        <v>Away</v>
      </c>
      <c r="E74" s="78">
        <f>_xlfn.NUMBERVALUE(MID(LEFT(WIL!$C74,FIND("-",WIL!$C74)-1),FIND(" ",WIL!$C74)+1,LEN(WIL!$C74)))</f>
        <v>18</v>
      </c>
      <c r="F74" s="79">
        <f>_xlfn.NUMBERVALUE(RIGHT(WIL!$C74,LEN(WIL!$C74)-FIND("-",WIL!$C74)))</f>
        <v>7</v>
      </c>
      <c r="G74" s="79">
        <f t="shared" ref="G74:G95" si="12">E74+F74</f>
        <v>25</v>
      </c>
      <c r="H74" s="80" t="str">
        <f>LEFT(WIL!$C74,1)</f>
        <v>W</v>
      </c>
      <c r="I74" s="62" t="str">
        <f>VLOOKUP(IF(Table29[[#This Row],[At]]="Home",Table29[[#This Row],[Opponent]],RIGHT(Table29[[#This Row],[Opponent]],LEN(Table29[[#This Row],[Opponent]])-1)),CHOOSE({1,2},[1]StandingsRAW!$J$1:$J$22,[1]StandingsRAW!$L$1:$L$22),2,FALSE)</f>
        <v>ROC</v>
      </c>
      <c r="J74" s="63">
        <f>VLOOKUP(Table29[[#This Row],[OPP]],Raw!$L$2:$S$23,7,FALSE)-Raw!$U$2</f>
        <v>-0.20920240606202639</v>
      </c>
      <c r="M74" s="1"/>
      <c r="N74" s="1"/>
      <c r="O74" s="1"/>
    </row>
    <row r="75" spans="1:15" x14ac:dyDescent="0.25">
      <c r="A75" s="22" t="s">
        <v>450</v>
      </c>
      <c r="B75" s="22" t="s">
        <v>235</v>
      </c>
      <c r="C75" s="22" t="s">
        <v>383</v>
      </c>
      <c r="D75" s="22" t="str">
        <f>IF(LEFT(WIL!$B75,1)="@","Away","Home")</f>
        <v>Home</v>
      </c>
      <c r="E75" s="78">
        <f>_xlfn.NUMBERVALUE(MID(LEFT(WIL!$C75,FIND("-",WIL!$C75)-1),FIND(" ",WIL!$C75)+1,LEN(WIL!$C75)))</f>
        <v>10</v>
      </c>
      <c r="F75" s="79">
        <f>_xlfn.NUMBERVALUE(RIGHT(WIL!$C75,LEN(WIL!$C75)-FIND("-",WIL!$C75)))</f>
        <v>12</v>
      </c>
      <c r="G75" s="79">
        <f t="shared" si="12"/>
        <v>22</v>
      </c>
      <c r="H75" s="80" t="str">
        <f>LEFT(WIL!$C75,1)</f>
        <v>L</v>
      </c>
      <c r="I75" s="62" t="str">
        <f>VLOOKUP(IF(Table29[[#This Row],[At]]="Home",Table29[[#This Row],[Opponent]],RIGHT(Table29[[#This Row],[Opponent]],LEN(Table29[[#This Row],[Opponent]])-1)),CHOOSE({1,2},[1]StandingsRAW!$J$1:$J$22,[1]StandingsRAW!$L$1:$L$22),2,FALSE)</f>
        <v>EC</v>
      </c>
      <c r="J75" s="63">
        <f>VLOOKUP(Table29[[#This Row],[OPP]],Raw!$L$2:$S$23,7,FALSE)-Raw!$U$2</f>
        <v>1.1143270057026795</v>
      </c>
      <c r="L75" s="1" t="s">
        <v>582</v>
      </c>
      <c r="M75" s="1" t="s">
        <v>583</v>
      </c>
      <c r="N75" s="1" t="s">
        <v>584</v>
      </c>
      <c r="O75" s="1" t="s">
        <v>585</v>
      </c>
    </row>
    <row r="76" spans="1:15" x14ac:dyDescent="0.25">
      <c r="A76" s="22" t="s">
        <v>451</v>
      </c>
      <c r="B76" s="22" t="s">
        <v>235</v>
      </c>
      <c r="C76" s="22" t="s">
        <v>269</v>
      </c>
      <c r="D76" s="22" t="str">
        <f>IF(LEFT(WIL!$B76,1)="@","Away","Home")</f>
        <v>Home</v>
      </c>
      <c r="E76" s="78">
        <f>_xlfn.NUMBERVALUE(MID(LEFT(WIL!$C76,FIND("-",WIL!$C76)-1),FIND(" ",WIL!$C76)+1,LEN(WIL!$C76)))</f>
        <v>2</v>
      </c>
      <c r="F76" s="79">
        <f>_xlfn.NUMBERVALUE(RIGHT(WIL!$C76,LEN(WIL!$C76)-FIND("-",WIL!$C76)))</f>
        <v>3</v>
      </c>
      <c r="G76" s="79">
        <f t="shared" si="12"/>
        <v>5</v>
      </c>
      <c r="H76" s="80" t="str">
        <f>LEFT(WIL!$C76,1)</f>
        <v>L</v>
      </c>
      <c r="I76" s="62" t="str">
        <f>VLOOKUP(IF(Table29[[#This Row],[At]]="Home",Table29[[#This Row],[Opponent]],RIGHT(Table29[[#This Row],[Opponent]],LEN(Table29[[#This Row],[Opponent]])-1)),CHOOSE({1,2},[1]StandingsRAW!$J$1:$J$22,[1]StandingsRAW!$L$1:$L$22),2,FALSE)</f>
        <v>EC</v>
      </c>
      <c r="J76" s="63">
        <f>VLOOKUP(Table29[[#This Row],[OPP]],Raw!$L$2:$S$23,7,FALSE)-Raw!$U$2</f>
        <v>1.1143270057026795</v>
      </c>
      <c r="L76" s="1">
        <f>COUNTIFS(Table29[oR/G], "&gt;0",Table29[Result], "W")</f>
        <v>14</v>
      </c>
      <c r="M76" s="1">
        <f>COUNTIFS(Table29[oR/G], "&gt;0",Table29[Result], "l")</f>
        <v>10</v>
      </c>
      <c r="N76" s="1">
        <f>COUNTIFS(Table29[oR/G], "&lt;0",Table29[Result], "W")</f>
        <v>34</v>
      </c>
      <c r="O76" s="1">
        <f>COUNTIFS(Table29[oR/G], "&lt;0",Table29[Result], "l")</f>
        <v>10</v>
      </c>
    </row>
    <row r="77" spans="1:15" x14ac:dyDescent="0.25">
      <c r="A77" s="22" t="s">
        <v>453</v>
      </c>
      <c r="B77" s="22" t="s">
        <v>198</v>
      </c>
      <c r="C77" s="22" t="s">
        <v>224</v>
      </c>
      <c r="D77" s="22" t="str">
        <f>IF(LEFT(WIL!$B77,1)="@","Away","Home")</f>
        <v>Away</v>
      </c>
      <c r="E77" s="78">
        <f>_xlfn.NUMBERVALUE(MID(LEFT(WIL!$C77,FIND("-",WIL!$C77)-1),FIND(" ",WIL!$C77)+1,LEN(WIL!$C77)))</f>
        <v>0</v>
      </c>
      <c r="F77" s="79">
        <f>_xlfn.NUMBERVALUE(RIGHT(WIL!$C77,LEN(WIL!$C77)-FIND("-",WIL!$C77)))</f>
        <v>6</v>
      </c>
      <c r="G77" s="79">
        <f t="shared" si="12"/>
        <v>6</v>
      </c>
      <c r="H77" s="80" t="str">
        <f>LEFT(WIL!$C77,1)</f>
        <v>L</v>
      </c>
      <c r="I77" s="62" t="str">
        <f>VLOOKUP(IF(Table29[[#This Row],[At]]="Home",Table29[[#This Row],[Opponent]],RIGHT(Table29[[#This Row],[Opponent]],LEN(Table29[[#This Row],[Opponent]])-1)),CHOOSE({1,2},[1]StandingsRAW!$J$1:$J$22,[1]StandingsRAW!$L$1:$L$22),2,FALSE)</f>
        <v>DUL</v>
      </c>
      <c r="J77" s="63">
        <f>VLOOKUP(Table29[[#This Row],[OPP]],Raw!$L$2:$S$23,7,FALSE)-Raw!$U$2</f>
        <v>-0.37645438147905891</v>
      </c>
    </row>
    <row r="78" spans="1:15" x14ac:dyDescent="0.25">
      <c r="A78" s="22" t="s">
        <v>454</v>
      </c>
      <c r="B78" s="22" t="s">
        <v>198</v>
      </c>
      <c r="C78" s="22" t="s">
        <v>31</v>
      </c>
      <c r="D78" s="22" t="str">
        <f>IF(LEFT(WIL!$B78,1)="@","Away","Home")</f>
        <v>Away</v>
      </c>
      <c r="E78" s="78">
        <f>_xlfn.NUMBERVALUE(MID(LEFT(WIL!$C78,FIND("-",WIL!$C78)-1),FIND(" ",WIL!$C78)+1,LEN(WIL!$C78)))</f>
        <v>5</v>
      </c>
      <c r="F78" s="79">
        <f>_xlfn.NUMBERVALUE(RIGHT(WIL!$C78,LEN(WIL!$C78)-FIND("-",WIL!$C78)))</f>
        <v>9</v>
      </c>
      <c r="G78" s="79">
        <f t="shared" si="12"/>
        <v>14</v>
      </c>
      <c r="H78" s="80" t="str">
        <f>LEFT(WIL!$C78,1)</f>
        <v>L</v>
      </c>
      <c r="I78" s="62" t="str">
        <f>VLOOKUP(IF(Table29[[#This Row],[At]]="Home",Table29[[#This Row],[Opponent]],RIGHT(Table29[[#This Row],[Opponent]],LEN(Table29[[#This Row],[Opponent]])-1)),CHOOSE({1,2},[1]StandingsRAW!$J$1:$J$22,[1]StandingsRAW!$L$1:$L$22),2,FALSE)</f>
        <v>DUL</v>
      </c>
      <c r="J78" s="63">
        <f>VLOOKUP(Table29[[#This Row],[OPP]],Raw!$L$2:$S$23,7,FALSE)-Raw!$U$2</f>
        <v>-0.37645438147905891</v>
      </c>
    </row>
    <row r="79" spans="1:15" x14ac:dyDescent="0.25">
      <c r="A79" s="22" t="s">
        <v>455</v>
      </c>
      <c r="B79" s="22" t="s">
        <v>241</v>
      </c>
      <c r="C79" s="22" t="s">
        <v>116</v>
      </c>
      <c r="D79" s="22" t="str">
        <f>IF(LEFT(WIL!$B79,1)="@","Away","Home")</f>
        <v>Home</v>
      </c>
      <c r="E79" s="78">
        <f>_xlfn.NUMBERVALUE(MID(LEFT(WIL!$C79,FIND("-",WIL!$C79)-1),FIND(" ",WIL!$C79)+1,LEN(WIL!$C79)))</f>
        <v>9</v>
      </c>
      <c r="F79" s="79">
        <f>_xlfn.NUMBERVALUE(RIGHT(WIL!$C79,LEN(WIL!$C79)-FIND("-",WIL!$C79)))</f>
        <v>3</v>
      </c>
      <c r="G79" s="79">
        <f t="shared" si="12"/>
        <v>12</v>
      </c>
      <c r="H79" s="80" t="str">
        <f>LEFT(WIL!$C79,1)</f>
        <v>W</v>
      </c>
      <c r="I79" s="62" t="str">
        <f>VLOOKUP(IF(Table29[[#This Row],[At]]="Home",Table29[[#This Row],[Opponent]],RIGHT(Table29[[#This Row],[Opponent]],LEN(Table29[[#This Row],[Opponent]])-1)),CHOOSE({1,2},[1]StandingsRAW!$J$1:$J$22,[1]StandingsRAW!$L$1:$L$22),2,FALSE)</f>
        <v>MIN</v>
      </c>
      <c r="J79" s="63">
        <f>VLOOKUP(Table29[[#This Row],[OPP]],Raw!$L$2:$S$23,7,FALSE)-Raw!$U$2</f>
        <v>-2.6422089420097388</v>
      </c>
    </row>
    <row r="80" spans="1:15" x14ac:dyDescent="0.25">
      <c r="A80" s="22" t="s">
        <v>456</v>
      </c>
      <c r="B80" s="22" t="s">
        <v>241</v>
      </c>
      <c r="C80" s="22" t="s">
        <v>300</v>
      </c>
      <c r="D80" s="22" t="str">
        <f>IF(LEFT(WIL!$B80,1)="@","Away","Home")</f>
        <v>Home</v>
      </c>
      <c r="E80" s="78">
        <f>_xlfn.NUMBERVALUE(MID(LEFT(WIL!$C80,FIND("-",WIL!$C80)-1),FIND(" ",WIL!$C80)+1,LEN(WIL!$C80)))</f>
        <v>9</v>
      </c>
      <c r="F80" s="79">
        <f>_xlfn.NUMBERVALUE(RIGHT(WIL!$C80,LEN(WIL!$C80)-FIND("-",WIL!$C80)))</f>
        <v>4</v>
      </c>
      <c r="G80" s="79">
        <f t="shared" si="12"/>
        <v>13</v>
      </c>
      <c r="H80" s="80" t="str">
        <f>LEFT(WIL!$C80,1)</f>
        <v>W</v>
      </c>
      <c r="I80" s="62" t="str">
        <f>VLOOKUP(IF(Table29[[#This Row],[At]]="Home",Table29[[#This Row],[Opponent]],RIGHT(Table29[[#This Row],[Opponent]],LEN(Table29[[#This Row],[Opponent]])-1)),CHOOSE({1,2},[1]StandingsRAW!$J$1:$J$22,[1]StandingsRAW!$L$1:$L$22),2,FALSE)</f>
        <v>MIN</v>
      </c>
      <c r="J80" s="63">
        <f>VLOOKUP(Table29[[#This Row],[OPP]],Raw!$L$2:$S$23,7,FALSE)-Raw!$U$2</f>
        <v>-2.6422089420097388</v>
      </c>
    </row>
    <row r="81" spans="1:10" x14ac:dyDescent="0.25">
      <c r="A81" s="22" t="s">
        <v>470</v>
      </c>
      <c r="B81" s="22" t="s">
        <v>231</v>
      </c>
      <c r="C81" s="22" t="s">
        <v>266</v>
      </c>
      <c r="D81" s="22" t="str">
        <f>IF(LEFT(WIL!$B81,1)="@","Away","Home")</f>
        <v>Home</v>
      </c>
      <c r="E81" s="78">
        <f>_xlfn.NUMBERVALUE(MID(LEFT(WIL!$C81,FIND("-",WIL!$C81)-1),FIND(" ",WIL!$C81)+1,LEN(WIL!$C81)))</f>
        <v>8</v>
      </c>
      <c r="F81" s="79">
        <f>_xlfn.NUMBERVALUE(RIGHT(WIL!$C81,LEN(WIL!$C81)-FIND("-",WIL!$C81)))</f>
        <v>10</v>
      </c>
      <c r="G81" s="79">
        <f t="shared" si="12"/>
        <v>18</v>
      </c>
      <c r="H81" s="80" t="str">
        <f>LEFT(WIL!$C81,1)</f>
        <v>L</v>
      </c>
      <c r="I81" s="62" t="str">
        <f>VLOOKUP(IF(Table29[[#This Row],[At]]="Home",Table29[[#This Row],[Opponent]],RIGHT(Table29[[#This Row],[Opponent]],LEN(Table29[[#This Row],[Opponent]])-1)),CHOOSE({1,2},[1]StandingsRAW!$J$1:$J$22,[1]StandingsRAW!$L$1:$L$22),2,FALSE)</f>
        <v>LAC</v>
      </c>
      <c r="J81" s="63">
        <f>VLOOKUP(Table29[[#This Row],[OPP]],Raw!$L$2:$S$23,7,FALSE)-Raw!$U$2</f>
        <v>-0.25332005312084993</v>
      </c>
    </row>
    <row r="82" spans="1:10" x14ac:dyDescent="0.25">
      <c r="A82" s="22" t="s">
        <v>457</v>
      </c>
      <c r="B82" s="22" t="s">
        <v>231</v>
      </c>
      <c r="C82" s="22" t="s">
        <v>21</v>
      </c>
      <c r="D82" s="22" t="str">
        <f>IF(LEFT(WIL!$B82,1)="@","Away","Home")</f>
        <v>Home</v>
      </c>
      <c r="E82" s="78">
        <f>_xlfn.NUMBERVALUE(MID(LEFT(WIL!$C82,FIND("-",WIL!$C82)-1),FIND(" ",WIL!$C82)+1,LEN(WIL!$C82)))</f>
        <v>6</v>
      </c>
      <c r="F82" s="79">
        <f>_xlfn.NUMBERVALUE(RIGHT(WIL!$C82,LEN(WIL!$C82)-FIND("-",WIL!$C82)))</f>
        <v>1</v>
      </c>
      <c r="G82" s="79">
        <f t="shared" si="12"/>
        <v>7</v>
      </c>
      <c r="H82" s="80" t="str">
        <f>LEFT(WIL!$C82,1)</f>
        <v>W</v>
      </c>
      <c r="I82" s="62" t="str">
        <f>VLOOKUP(IF(Table29[[#This Row],[At]]="Home",Table29[[#This Row],[Opponent]],RIGHT(Table29[[#This Row],[Opponent]],LEN(Table29[[#This Row],[Opponent]])-1)),CHOOSE({1,2},[1]StandingsRAW!$J$1:$J$22,[1]StandingsRAW!$L$1:$L$22),2,FALSE)</f>
        <v>LAC</v>
      </c>
      <c r="J82" s="63">
        <f>VLOOKUP(Table29[[#This Row],[OPP]],Raw!$L$2:$S$23,7,FALSE)-Raw!$U$2</f>
        <v>-0.25332005312084993</v>
      </c>
    </row>
    <row r="83" spans="1:10" x14ac:dyDescent="0.25">
      <c r="A83" s="22" t="s">
        <v>458</v>
      </c>
      <c r="B83" s="22" t="s">
        <v>192</v>
      </c>
      <c r="C83" s="22" t="s">
        <v>320</v>
      </c>
      <c r="D83" s="22" t="str">
        <f>IF(LEFT(WIL!$B83,1)="@","Away","Home")</f>
        <v>Away</v>
      </c>
      <c r="E83" s="78">
        <f>_xlfn.NUMBERVALUE(MID(LEFT(WIL!$C83,FIND("-",WIL!$C83)-1),FIND(" ",WIL!$C83)+1,LEN(WIL!$C83)))</f>
        <v>5</v>
      </c>
      <c r="F83" s="79">
        <f>_xlfn.NUMBERVALUE(RIGHT(WIL!$C83,LEN(WIL!$C83)-FIND("-",WIL!$C83)))</f>
        <v>1</v>
      </c>
      <c r="G83" s="79">
        <f t="shared" si="12"/>
        <v>6</v>
      </c>
      <c r="H83" s="80" t="str">
        <f>LEFT(WIL!$C83,1)</f>
        <v>W</v>
      </c>
      <c r="I83" s="62" t="str">
        <f>VLOOKUP(IF(Table29[[#This Row],[At]]="Home",Table29[[#This Row],[Opponent]],RIGHT(Table29[[#This Row],[Opponent]],LEN(Table29[[#This Row],[Opponent]])-1)),CHOOSE({1,2},[1]StandingsRAW!$J$1:$J$22,[1]StandingsRAW!$L$1:$L$22),2,FALSE)</f>
        <v>WAT</v>
      </c>
      <c r="J83" s="63">
        <f>VLOOKUP(Table29[[#This Row],[OPP]],Raw!$L$2:$S$23,7,FALSE)-Raw!$U$2</f>
        <v>-3.3415553472384971</v>
      </c>
    </row>
    <row r="84" spans="1:10" x14ac:dyDescent="0.25">
      <c r="A84" s="22" t="s">
        <v>459</v>
      </c>
      <c r="B84" s="22" t="s">
        <v>192</v>
      </c>
      <c r="C84" s="22" t="s">
        <v>244</v>
      </c>
      <c r="D84" s="22" t="str">
        <f>IF(LEFT(WIL!$B84,1)="@","Away","Home")</f>
        <v>Away</v>
      </c>
      <c r="E84" s="78">
        <f>_xlfn.NUMBERVALUE(MID(LEFT(WIL!$C84,FIND("-",WIL!$C84)-1),FIND(" ",WIL!$C84)+1,LEN(WIL!$C84)))</f>
        <v>6</v>
      </c>
      <c r="F84" s="79">
        <f>_xlfn.NUMBERVALUE(RIGHT(WIL!$C84,LEN(WIL!$C84)-FIND("-",WIL!$C84)))</f>
        <v>3</v>
      </c>
      <c r="G84" s="79">
        <f t="shared" si="12"/>
        <v>9</v>
      </c>
      <c r="H84" s="80" t="str">
        <f>LEFT(WIL!$C84,1)</f>
        <v>W</v>
      </c>
      <c r="I84" s="62" t="str">
        <f>VLOOKUP(IF(Table29[[#This Row],[At]]="Home",Table29[[#This Row],[Opponent]],RIGHT(Table29[[#This Row],[Opponent]],LEN(Table29[[#This Row],[Opponent]])-1)),CHOOSE({1,2},[1]StandingsRAW!$J$1:$J$22,[1]StandingsRAW!$L$1:$L$22),2,FALSE)</f>
        <v>WAT</v>
      </c>
      <c r="J84" s="63">
        <f>VLOOKUP(Table29[[#This Row],[OPP]],Raw!$L$2:$S$23,7,FALSE)-Raw!$U$2</f>
        <v>-3.3415553472384971</v>
      </c>
    </row>
    <row r="85" spans="1:10" x14ac:dyDescent="0.25">
      <c r="A85" s="22" t="s">
        <v>460</v>
      </c>
      <c r="B85" s="22" t="s">
        <v>201</v>
      </c>
      <c r="C85" s="22" t="s">
        <v>15</v>
      </c>
      <c r="D85" s="22" t="str">
        <f>IF(LEFT(WIL!$B85,1)="@","Away","Home")</f>
        <v>Away</v>
      </c>
      <c r="E85" s="78">
        <f>_xlfn.NUMBERVALUE(MID(LEFT(WIL!$C85,FIND("-",WIL!$C85)-1),FIND(" ",WIL!$C85)+1,LEN(WIL!$C85)))</f>
        <v>3</v>
      </c>
      <c r="F85" s="79">
        <f>_xlfn.NUMBERVALUE(RIGHT(WIL!$C85,LEN(WIL!$C85)-FIND("-",WIL!$C85)))</f>
        <v>1</v>
      </c>
      <c r="G85" s="79">
        <f t="shared" si="12"/>
        <v>4</v>
      </c>
      <c r="H85" s="80" t="str">
        <f>LEFT(WIL!$C85,1)</f>
        <v>W</v>
      </c>
      <c r="I85" s="62" t="str">
        <f>VLOOKUP(IF(Table29[[#This Row],[At]]="Home",Table29[[#This Row],[Opponent]],RIGHT(Table29[[#This Row],[Opponent]],LEN(Table29[[#This Row],[Opponent]])-1)),CHOOSE({1,2},[1]StandingsRAW!$J$1:$J$22,[1]StandingsRAW!$L$1:$L$22),2,FALSE)</f>
        <v>STC</v>
      </c>
      <c r="J85" s="63">
        <f>VLOOKUP(Table29[[#This Row],[OPP]],Raw!$L$2:$S$23,7,FALSE)-Raw!$U$2</f>
        <v>2.5702093586438561</v>
      </c>
    </row>
    <row r="86" spans="1:10" x14ac:dyDescent="0.25">
      <c r="A86" s="22" t="s">
        <v>471</v>
      </c>
      <c r="B86" s="22" t="s">
        <v>245</v>
      </c>
      <c r="C86" s="22" t="s">
        <v>65</v>
      </c>
      <c r="D86" s="22" t="str">
        <f>IF(LEFT(WIL!$B86,1)="@","Away","Home")</f>
        <v>Home</v>
      </c>
      <c r="E86" s="78">
        <f>_xlfn.NUMBERVALUE(MID(LEFT(WIL!$C86,FIND("-",WIL!$C86)-1),FIND(" ",WIL!$C86)+1,LEN(WIL!$C86)))</f>
        <v>1</v>
      </c>
      <c r="F86" s="79">
        <f>_xlfn.NUMBERVALUE(RIGHT(WIL!$C86,LEN(WIL!$C86)-FIND("-",WIL!$C86)))</f>
        <v>4</v>
      </c>
      <c r="G86" s="79">
        <f t="shared" si="12"/>
        <v>5</v>
      </c>
      <c r="H86" s="80" t="str">
        <f>LEFT(WIL!$C86,1)</f>
        <v>L</v>
      </c>
      <c r="I86" s="62" t="str">
        <f>VLOOKUP(IF(Table29[[#This Row],[At]]="Home",Table29[[#This Row],[Opponent]],RIGHT(Table29[[#This Row],[Opponent]],LEN(Table29[[#This Row],[Opponent]])-1)),CHOOSE({1,2},[1]StandingsRAW!$J$1:$J$22,[1]StandingsRAW!$L$1:$L$22),2,FALSE)</f>
        <v>STC</v>
      </c>
      <c r="J86" s="63">
        <f>VLOOKUP(Table29[[#This Row],[OPP]],Raw!$L$2:$S$23,7,FALSE)-Raw!$U$2</f>
        <v>2.5702093586438561</v>
      </c>
    </row>
    <row r="87" spans="1:10" x14ac:dyDescent="0.25">
      <c r="A87" s="22" t="s">
        <v>461</v>
      </c>
      <c r="B87" s="22" t="s">
        <v>263</v>
      </c>
      <c r="C87" s="22" t="s">
        <v>33</v>
      </c>
      <c r="D87" s="22" t="str">
        <f>IF(LEFT(WIL!$B87,1)="@","Away","Home")</f>
        <v>Home</v>
      </c>
      <c r="E87" s="78">
        <f>_xlfn.NUMBERVALUE(MID(LEFT(WIL!$C87,FIND("-",WIL!$C87)-1),FIND(" ",WIL!$C87)+1,LEN(WIL!$C87)))</f>
        <v>7</v>
      </c>
      <c r="F87" s="79">
        <f>_xlfn.NUMBERVALUE(RIGHT(WIL!$C87,LEN(WIL!$C87)-FIND("-",WIL!$C87)))</f>
        <v>4</v>
      </c>
      <c r="G87" s="79">
        <f t="shared" si="12"/>
        <v>11</v>
      </c>
      <c r="H87" s="80" t="str">
        <f>LEFT(WIL!$C87,1)</f>
        <v>W</v>
      </c>
      <c r="I87" s="62" t="str">
        <f>VLOOKUP(IF(Table29[[#This Row],[At]]="Home",Table29[[#This Row],[Opponent]],RIGHT(Table29[[#This Row],[Opponent]],LEN(Table29[[#This Row],[Opponent]])-1)),CHOOSE({1,2},[1]StandingsRAW!$J$1:$J$22,[1]StandingsRAW!$L$1:$L$22),2,FALSE)</f>
        <v>ROC</v>
      </c>
      <c r="J87" s="63">
        <f>VLOOKUP(Table29[[#This Row],[OPP]],Raw!$L$2:$S$23,7,FALSE)-Raw!$U$2</f>
        <v>-0.20920240606202639</v>
      </c>
    </row>
    <row r="88" spans="1:10" x14ac:dyDescent="0.25">
      <c r="A88" s="22" t="s">
        <v>462</v>
      </c>
      <c r="B88" s="22" t="s">
        <v>263</v>
      </c>
      <c r="C88" s="22" t="s">
        <v>283</v>
      </c>
      <c r="D88" s="22" t="str">
        <f>IF(LEFT(WIL!$B88,1)="@","Away","Home")</f>
        <v>Home</v>
      </c>
      <c r="E88" s="78">
        <f>_xlfn.NUMBERVALUE(MID(LEFT(WIL!$C88,FIND("-",WIL!$C88)-1),FIND(" ",WIL!$C88)+1,LEN(WIL!$C88)))</f>
        <v>10</v>
      </c>
      <c r="F88" s="79">
        <f>_xlfn.NUMBERVALUE(RIGHT(WIL!$C88,LEN(WIL!$C88)-FIND("-",WIL!$C88)))</f>
        <v>8</v>
      </c>
      <c r="G88" s="79">
        <f t="shared" si="12"/>
        <v>18</v>
      </c>
      <c r="H88" s="80" t="str">
        <f>LEFT(WIL!$C88,1)</f>
        <v>W</v>
      </c>
      <c r="I88" s="62" t="str">
        <f>VLOOKUP(IF(Table29[[#This Row],[At]]="Home",Table29[[#This Row],[Opponent]],RIGHT(Table29[[#This Row],[Opponent]],LEN(Table29[[#This Row],[Opponent]])-1)),CHOOSE({1,2},[1]StandingsRAW!$J$1:$J$22,[1]StandingsRAW!$L$1:$L$22),2,FALSE)</f>
        <v>ROC</v>
      </c>
      <c r="J88" s="63">
        <f>VLOOKUP(Table29[[#This Row],[OPP]],Raw!$L$2:$S$23,7,FALSE)-Raw!$U$2</f>
        <v>-0.20920240606202639</v>
      </c>
    </row>
    <row r="89" spans="1:10" x14ac:dyDescent="0.25">
      <c r="A89" s="22" t="s">
        <v>463</v>
      </c>
      <c r="B89" s="22" t="s">
        <v>206</v>
      </c>
      <c r="C89" s="22" t="s">
        <v>92</v>
      </c>
      <c r="D89" s="22" t="str">
        <f>IF(LEFT(WIL!$B89,1)="@","Away","Home")</f>
        <v>Away</v>
      </c>
      <c r="E89" s="78">
        <f>_xlfn.NUMBERVALUE(MID(LEFT(WIL!$C89,FIND("-",WIL!$C89)-1),FIND(" ",WIL!$C89)+1,LEN(WIL!$C89)))</f>
        <v>5</v>
      </c>
      <c r="F89" s="79">
        <f>_xlfn.NUMBERVALUE(RIGHT(WIL!$C89,LEN(WIL!$C89)-FIND("-",WIL!$C89)))</f>
        <v>10</v>
      </c>
      <c r="G89" s="79">
        <f t="shared" si="12"/>
        <v>15</v>
      </c>
      <c r="H89" s="80" t="str">
        <f>LEFT(WIL!$C89,1)</f>
        <v>L</v>
      </c>
      <c r="I89" s="62" t="str">
        <f>VLOOKUP(IF(Table29[[#This Row],[At]]="Home",Table29[[#This Row],[Opponent]],RIGHT(Table29[[#This Row],[Opponent]],LEN(Table29[[#This Row],[Opponent]])-1)),CHOOSE({1,2},[1]StandingsRAW!$J$1:$J$22,[1]StandingsRAW!$L$1:$L$22),2,FALSE)</f>
        <v>MAN</v>
      </c>
      <c r="J89" s="63">
        <f>VLOOKUP(Table29[[#This Row],[OPP]],Raw!$L$2:$S$23,7,FALSE)-Raw!$U$2</f>
        <v>0.73197406452620895</v>
      </c>
    </row>
    <row r="90" spans="1:10" x14ac:dyDescent="0.25">
      <c r="A90" s="22" t="s">
        <v>463</v>
      </c>
      <c r="B90" s="22" t="s">
        <v>206</v>
      </c>
      <c r="C90" s="22" t="s">
        <v>239</v>
      </c>
      <c r="D90" s="22" t="str">
        <f>IF(LEFT(WIL!$B90,1)="@","Away","Home")</f>
        <v>Away</v>
      </c>
      <c r="E90" s="78">
        <f>_xlfn.NUMBERVALUE(MID(LEFT(WIL!$C90,FIND("-",WIL!$C90)-1),FIND(" ",WIL!$C90)+1,LEN(WIL!$C90)))</f>
        <v>8</v>
      </c>
      <c r="F90" s="79">
        <f>_xlfn.NUMBERVALUE(RIGHT(WIL!$C90,LEN(WIL!$C90)-FIND("-",WIL!$C90)))</f>
        <v>5</v>
      </c>
      <c r="G90" s="79">
        <f t="shared" si="12"/>
        <v>13</v>
      </c>
      <c r="H90" s="80" t="str">
        <f>LEFT(WIL!$C90,1)</f>
        <v>W</v>
      </c>
      <c r="I90" s="62" t="str">
        <f>VLOOKUP(IF(Table29[[#This Row],[At]]="Home",Table29[[#This Row],[Opponent]],RIGHT(Table29[[#This Row],[Opponent]],LEN(Table29[[#This Row],[Opponent]])-1)),CHOOSE({1,2},[1]StandingsRAW!$J$1:$J$22,[1]StandingsRAW!$L$1:$L$22),2,FALSE)</f>
        <v>MAN</v>
      </c>
      <c r="J90" s="63">
        <f>VLOOKUP(Table29[[#This Row],[OPP]],Raw!$L$2:$S$23,7,FALSE)-Raw!$U$2</f>
        <v>0.73197406452620895</v>
      </c>
    </row>
    <row r="91" spans="1:10" x14ac:dyDescent="0.25">
      <c r="A91" s="22" t="s">
        <v>464</v>
      </c>
      <c r="B91" s="22" t="s">
        <v>225</v>
      </c>
      <c r="C91" s="22" t="s">
        <v>26</v>
      </c>
      <c r="D91" s="22" t="str">
        <f>IF(LEFT(WIL!$B91,1)="@","Away","Home")</f>
        <v>Home</v>
      </c>
      <c r="E91" s="78">
        <f>_xlfn.NUMBERVALUE(MID(LEFT(WIL!$C91,FIND("-",WIL!$C91)-1),FIND(" ",WIL!$C91)+1,LEN(WIL!$C91)))</f>
        <v>10</v>
      </c>
      <c r="F91" s="79">
        <f>_xlfn.NUMBERVALUE(RIGHT(WIL!$C91,LEN(WIL!$C91)-FIND("-",WIL!$C91)))</f>
        <v>6</v>
      </c>
      <c r="G91" s="79">
        <f t="shared" si="12"/>
        <v>16</v>
      </c>
      <c r="H91" s="80" t="str">
        <f>LEFT(WIL!$C91,1)</f>
        <v>W</v>
      </c>
      <c r="I91" s="62" t="str">
        <f>VLOOKUP(IF(Table29[[#This Row],[At]]="Home",Table29[[#This Row],[Opponent]],RIGHT(Table29[[#This Row],[Opponent]],LEN(Table29[[#This Row],[Opponent]])-1)),CHOOSE({1,2},[1]StandingsRAW!$J$1:$J$22,[1]StandingsRAW!$L$1:$L$22),2,FALSE)</f>
        <v>DUL</v>
      </c>
      <c r="J91" s="63">
        <f>VLOOKUP(Table29[[#This Row],[OPP]],Raw!$L$2:$S$23,7,FALSE)-Raw!$U$2</f>
        <v>-0.37645438147905891</v>
      </c>
    </row>
    <row r="92" spans="1:10" x14ac:dyDescent="0.25">
      <c r="A92" s="22" t="s">
        <v>465</v>
      </c>
      <c r="B92" s="22" t="s">
        <v>225</v>
      </c>
      <c r="C92" s="22" t="s">
        <v>226</v>
      </c>
      <c r="D92" s="22" t="str">
        <f>IF(LEFT(WIL!$B92,1)="@","Away","Home")</f>
        <v>Home</v>
      </c>
      <c r="E92" s="78">
        <f>_xlfn.NUMBERVALUE(MID(LEFT(WIL!$C92,FIND("-",WIL!$C92)-1),FIND(" ",WIL!$C92)+1,LEN(WIL!$C92)))</f>
        <v>3</v>
      </c>
      <c r="F92" s="79">
        <f>_xlfn.NUMBERVALUE(RIGHT(WIL!$C92,LEN(WIL!$C92)-FIND("-",WIL!$C92)))</f>
        <v>2</v>
      </c>
      <c r="G92" s="79">
        <f t="shared" si="12"/>
        <v>5</v>
      </c>
      <c r="H92" s="80" t="str">
        <f>LEFT(WIL!$C92,1)</f>
        <v>W</v>
      </c>
      <c r="I92" s="62" t="str">
        <f>VLOOKUP(IF(Table29[[#This Row],[At]]="Home",Table29[[#This Row],[Opponent]],RIGHT(Table29[[#This Row],[Opponent]],LEN(Table29[[#This Row],[Opponent]])-1)),CHOOSE({1,2},[1]StandingsRAW!$J$1:$J$22,[1]StandingsRAW!$L$1:$L$22),2,FALSE)</f>
        <v>DUL</v>
      </c>
      <c r="J92" s="63">
        <f>VLOOKUP(Table29[[#This Row],[OPP]],Raw!$L$2:$S$23,7,FALSE)-Raw!$U$2</f>
        <v>-0.37645438147905891</v>
      </c>
    </row>
    <row r="93" spans="1:10" x14ac:dyDescent="0.25">
      <c r="A93" s="22" t="s">
        <v>466</v>
      </c>
      <c r="B93" s="22" t="s">
        <v>245</v>
      </c>
      <c r="C93" s="22" t="s">
        <v>202</v>
      </c>
      <c r="D93" s="22" t="str">
        <f>IF(LEFT(WIL!$B93,1)="@","Away","Home")</f>
        <v>Home</v>
      </c>
      <c r="E93" s="78">
        <f>_xlfn.NUMBERVALUE(MID(LEFT(WIL!$C93,FIND("-",WIL!$C93)-1),FIND(" ",WIL!$C93)+1,LEN(WIL!$C93)))</f>
        <v>4</v>
      </c>
      <c r="F93" s="79">
        <f>_xlfn.NUMBERVALUE(RIGHT(WIL!$C93,LEN(WIL!$C93)-FIND("-",WIL!$C93)))</f>
        <v>11</v>
      </c>
      <c r="G93" s="79">
        <f t="shared" si="12"/>
        <v>15</v>
      </c>
      <c r="H93" s="80" t="str">
        <f>LEFT(WIL!$C93,1)</f>
        <v>L</v>
      </c>
      <c r="I93" s="62" t="str">
        <f>VLOOKUP(IF(Table29[[#This Row],[At]]="Home",Table29[[#This Row],[Opponent]],RIGHT(Table29[[#This Row],[Opponent]],LEN(Table29[[#This Row],[Opponent]])-1)),CHOOSE({1,2},[1]StandingsRAW!$J$1:$J$22,[1]StandingsRAW!$L$1:$L$22),2,FALSE)</f>
        <v>STC</v>
      </c>
      <c r="J93" s="63">
        <f>VLOOKUP(Table29[[#This Row],[OPP]],Raw!$L$2:$S$23,7,FALSE)-Raw!$U$2</f>
        <v>2.5702093586438561</v>
      </c>
    </row>
    <row r="94" spans="1:10" x14ac:dyDescent="0.25">
      <c r="A94" s="22" t="s">
        <v>467</v>
      </c>
      <c r="B94" s="22" t="s">
        <v>201</v>
      </c>
      <c r="C94" s="22" t="s">
        <v>234</v>
      </c>
      <c r="D94" s="22" t="str">
        <f>IF(LEFT(WIL!$B94,1)="@","Away","Home")</f>
        <v>Away</v>
      </c>
      <c r="E94" s="78">
        <f>_xlfn.NUMBERVALUE(MID(LEFT(WIL!$C94,FIND("-",WIL!$C94)-1),FIND(" ",WIL!$C94)+1,LEN(WIL!$C94)))</f>
        <v>2</v>
      </c>
      <c r="F94" s="79">
        <f>_xlfn.NUMBERVALUE(RIGHT(WIL!$C94,LEN(WIL!$C94)-FIND("-",WIL!$C94)))</f>
        <v>5</v>
      </c>
      <c r="G94" s="79">
        <f t="shared" si="12"/>
        <v>7</v>
      </c>
      <c r="H94" s="80" t="str">
        <f>LEFT(WIL!$C94,1)</f>
        <v>L</v>
      </c>
      <c r="I94" s="62" t="str">
        <f>VLOOKUP(IF(Table29[[#This Row],[At]]="Home",Table29[[#This Row],[Opponent]],RIGHT(Table29[[#This Row],[Opponent]],LEN(Table29[[#This Row],[Opponent]])-1)),CHOOSE({1,2},[1]StandingsRAW!$J$1:$J$22,[1]StandingsRAW!$L$1:$L$22),2,FALSE)</f>
        <v>STC</v>
      </c>
      <c r="J94" s="63">
        <f>VLOOKUP(Table29[[#This Row],[OPP]],Raw!$L$2:$S$23,7,FALSE)-Raw!$U$2</f>
        <v>2.5702093586438561</v>
      </c>
    </row>
    <row r="95" spans="1:10" x14ac:dyDescent="0.25">
      <c r="A95" s="20" t="s">
        <v>468</v>
      </c>
      <c r="B95" s="20" t="s">
        <v>250</v>
      </c>
      <c r="C95" s="20" t="s">
        <v>213</v>
      </c>
      <c r="D95" s="20" t="str">
        <f>IF(LEFT(WIL!$B95,1)="@","Away","Home")</f>
        <v>Home</v>
      </c>
      <c r="E95" s="81">
        <f>_xlfn.NUMBERVALUE(MID(LEFT(WIL!$C95,FIND("-",WIL!$C95)-1),FIND(" ",WIL!$C95)+1,LEN(WIL!$C95)))</f>
        <v>12</v>
      </c>
      <c r="F95" s="82">
        <f>_xlfn.NUMBERVALUE(RIGHT(WIL!$C95,LEN(WIL!$C95)-FIND("-",WIL!$C95)))</f>
        <v>0</v>
      </c>
      <c r="G95" s="82">
        <f t="shared" si="12"/>
        <v>12</v>
      </c>
      <c r="H95" s="83" t="str">
        <f>LEFT(WIL!$C95,1)</f>
        <v>W</v>
      </c>
      <c r="I95" s="62" t="str">
        <f>VLOOKUP(IF(Table29[[#This Row],[At]]="Home",Table29[[#This Row],[Opponent]],RIGHT(Table29[[#This Row],[Opponent]],LEN(Table29[[#This Row],[Opponent]])-1)),CHOOSE({1,2},[1]StandingsRAW!$J$1:$J$22,[1]StandingsRAW!$L$1:$L$22),2,FALSE)</f>
        <v>MAN</v>
      </c>
      <c r="J95" s="63">
        <f>VLOOKUP(Table29[[#This Row],[OPP]],Raw!$L$2:$S$23,7,FALSE)-Raw!$U$2</f>
        <v>0.73197406452620895</v>
      </c>
    </row>
    <row r="96" spans="1:10" x14ac:dyDescent="0.25">
      <c r="A96" s="22" t="s">
        <v>498</v>
      </c>
      <c r="B96" s="22" t="s">
        <v>206</v>
      </c>
      <c r="C96" s="22" t="s">
        <v>234</v>
      </c>
      <c r="D96" s="22" t="str">
        <f>IF(LEFT(WIL!$B96,1)="@","Away","Home")</f>
        <v>Away</v>
      </c>
      <c r="E96" s="78">
        <f>_xlfn.NUMBERVALUE(MID(LEFT(WIL!$C96,FIND("-",WIL!$C96)-1),FIND(" ",WIL!$C96)+1,LEN(WIL!$C96)))</f>
        <v>2</v>
      </c>
      <c r="F96" s="79">
        <f>_xlfn.NUMBERVALUE(RIGHT(WIL!$C96,LEN(WIL!$C96)-FIND("-",WIL!$C96)))</f>
        <v>5</v>
      </c>
      <c r="G96" s="79">
        <f t="shared" ref="G96:G98" si="13">E96+F96</f>
        <v>7</v>
      </c>
      <c r="H96" s="80" t="str">
        <f>LEFT(WIL!$C96,1)</f>
        <v>L</v>
      </c>
      <c r="I96" s="17" t="str">
        <f>VLOOKUP(IF(Table29[[#This Row],[At]]="Home",Table29[[#This Row],[Opponent]],RIGHT(Table29[[#This Row],[Opponent]],LEN(Table29[[#This Row],[Opponent]])-1)),CHOOSE({1,2},[1]StandingsRAW!$J$1:$J$22,[1]StandingsRAW!$L$1:$L$22),2,FALSE)</f>
        <v>MAN</v>
      </c>
      <c r="J96" s="33">
        <f>VLOOKUP(Table29[[#This Row],[OPP]],Raw!$L$2:$S$23,7,FALSE)-Raw!$U$2</f>
        <v>0.73197406452620895</v>
      </c>
    </row>
    <row r="97" spans="1:10" x14ac:dyDescent="0.25">
      <c r="A97" t="s">
        <v>499</v>
      </c>
      <c r="B97" t="s">
        <v>201</v>
      </c>
      <c r="C97" t="s">
        <v>26</v>
      </c>
      <c r="D97" t="str">
        <f>IF(LEFT(WIL!$B97,1)="@","Away","Home")</f>
        <v>Away</v>
      </c>
      <c r="E97" s="1">
        <f>_xlfn.NUMBERVALUE(MID(LEFT(WIL!$C97,FIND("-",WIL!$C97)-1),FIND(" ",WIL!$C97)+1,LEN(WIL!$C97)))</f>
        <v>10</v>
      </c>
      <c r="F97" s="3">
        <f>_xlfn.NUMBERVALUE(RIGHT(WIL!$C97,LEN(WIL!$C97)-FIND("-",WIL!$C97)))</f>
        <v>6</v>
      </c>
      <c r="G97" s="3">
        <f t="shared" si="13"/>
        <v>16</v>
      </c>
      <c r="H97" s="88" t="str">
        <f>LEFT(WIL!$C97,1)</f>
        <v>W</v>
      </c>
      <c r="I97" s="17" t="str">
        <f>VLOOKUP(IF(Table29[[#This Row],[At]]="Home",Table29[[#This Row],[Opponent]],RIGHT(Table29[[#This Row],[Opponent]],LEN(Table29[[#This Row],[Opponent]])-1)),CHOOSE({1,2},[1]StandingsRAW!$J$1:$J$22,[1]StandingsRAW!$L$1:$L$22),2,FALSE)</f>
        <v>STC</v>
      </c>
      <c r="J97" s="33">
        <f>VLOOKUP(Table29[[#This Row],[OPP]],Raw!$L$2:$S$23,7,FALSE)-Raw!$U$2</f>
        <v>2.5702093586438561</v>
      </c>
    </row>
    <row r="98" spans="1:10" x14ac:dyDescent="0.25">
      <c r="A98" t="s">
        <v>500</v>
      </c>
      <c r="B98" t="s">
        <v>245</v>
      </c>
      <c r="C98" t="s">
        <v>270</v>
      </c>
      <c r="D98" t="str">
        <f>IF(LEFT(WIL!$B98,1)="@","Away","Home")</f>
        <v>Home</v>
      </c>
      <c r="E98" s="1">
        <f>_xlfn.NUMBERVALUE(MID(LEFT(WIL!$C98,FIND("-",WIL!$C98)-1),FIND(" ",WIL!$C98)+1,LEN(WIL!$C98)))</f>
        <v>4</v>
      </c>
      <c r="F98" s="3">
        <f>_xlfn.NUMBERVALUE(RIGHT(WIL!$C98,LEN(WIL!$C98)-FIND("-",WIL!$C98)))</f>
        <v>3</v>
      </c>
      <c r="G98" s="3">
        <f t="shared" si="13"/>
        <v>7</v>
      </c>
      <c r="H98" s="88" t="str">
        <f>LEFT(WIL!$C98,1)</f>
        <v>W</v>
      </c>
      <c r="I98" s="17" t="str">
        <f>VLOOKUP(IF(Table29[[#This Row],[At]]="Home",Table29[[#This Row],[Opponent]],RIGHT(Table29[[#This Row],[Opponent]],LEN(Table29[[#This Row],[Opponent]])-1)),CHOOSE({1,2},[1]StandingsRAW!$J$1:$J$22,[1]StandingsRAW!$L$1:$L$22),2,FALSE)</f>
        <v>STC</v>
      </c>
      <c r="J98" s="33">
        <f>VLOOKUP(Table29[[#This Row],[OPP]],Raw!$L$2:$S$23,7,FALSE)-Raw!$U$2</f>
        <v>2.5702093586438561</v>
      </c>
    </row>
    <row r="99" spans="1:10" x14ac:dyDescent="0.25">
      <c r="A99" s="22" t="s">
        <v>505</v>
      </c>
      <c r="B99" s="22" t="s">
        <v>194</v>
      </c>
      <c r="C99" s="22" t="s">
        <v>323</v>
      </c>
      <c r="D99" s="22" t="str">
        <f>IF(LEFT(WIL!$B99,1)="@","Away","Home")</f>
        <v>Away</v>
      </c>
      <c r="E99" s="78">
        <f>_xlfn.NUMBERVALUE(MID(LEFT(WIL!$C99,FIND("-",WIL!$C99)-1),FIND(" ",WIL!$C99)+1,LEN(WIL!$C99)))</f>
        <v>7</v>
      </c>
      <c r="F99" s="79">
        <f>_xlfn.NUMBERVALUE(RIGHT(WIL!$C99,LEN(WIL!$C99)-FIND("-",WIL!$C99)))</f>
        <v>6</v>
      </c>
      <c r="G99" s="79">
        <f>E99+F99</f>
        <v>13</v>
      </c>
      <c r="H99" s="80" t="str">
        <f>LEFT(WIL!$C99,1)</f>
        <v>W</v>
      </c>
      <c r="I99" s="17" t="str">
        <f>VLOOKUP(IF(Table29[[#This Row],[At]]="Home",Table29[[#This Row],[Opponent]],RIGHT(Table29[[#This Row],[Opponent]],LEN(Table29[[#This Row],[Opponent]])-1)),CHOOSE({1,2},[1]StandingsRAW!$J$1:$J$22,[1]StandingsRAW!$L$1:$L$22),2,FALSE)</f>
        <v>EC</v>
      </c>
      <c r="J99" s="33">
        <f>VLOOKUP(Table29[[#This Row],[OPP]],Raw!$L$2:$S$23,7,FALSE)-Raw!$U$2</f>
        <v>1.1143270057026795</v>
      </c>
    </row>
    <row r="100" spans="1:10" x14ac:dyDescent="0.25">
      <c r="A100" s="22" t="s">
        <v>508</v>
      </c>
      <c r="B100" s="22" t="s">
        <v>194</v>
      </c>
      <c r="C100" s="22" t="s">
        <v>269</v>
      </c>
      <c r="D100" s="22" t="str">
        <f>IF(LEFT(WIL!$B100,1)="@","Away","Home")</f>
        <v>Away</v>
      </c>
      <c r="E100" s="78">
        <f>_xlfn.NUMBERVALUE(MID(LEFT(WIL!$C100,FIND("-",WIL!$C100)-1),FIND(" ",WIL!$C100)+1,LEN(WIL!$C100)))</f>
        <v>2</v>
      </c>
      <c r="F100" s="79">
        <f>_xlfn.NUMBERVALUE(RIGHT(WIL!$C100,LEN(WIL!$C100)-FIND("-",WIL!$C100)))</f>
        <v>3</v>
      </c>
      <c r="G100" s="79">
        <f t="shared" ref="G100:G102" si="14">E100+F100</f>
        <v>5</v>
      </c>
      <c r="H100" s="80" t="str">
        <f>LEFT(WIL!$C100,1)</f>
        <v>L</v>
      </c>
      <c r="I100" s="17" t="str">
        <f>VLOOKUP(IF(Table29[[#This Row],[At]]="Home",Table29[[#This Row],[Opponent]],RIGHT(Table29[[#This Row],[Opponent]],LEN(Table29[[#This Row],[Opponent]])-1)),CHOOSE({1,2},[1]StandingsRAW!$J$1:$J$22,[1]StandingsRAW!$L$1:$L$22),2,FALSE)</f>
        <v>EC</v>
      </c>
      <c r="J100" s="33">
        <f>VLOOKUP(Table29[[#This Row],[OPP]],Raw!$L$2:$S$23,7,FALSE)-Raw!$U$2</f>
        <v>1.1143270057026795</v>
      </c>
    </row>
    <row r="101" spans="1:10" x14ac:dyDescent="0.25">
      <c r="A101" t="s">
        <v>509</v>
      </c>
      <c r="B101" t="s">
        <v>235</v>
      </c>
      <c r="C101" t="s">
        <v>238</v>
      </c>
      <c r="D101" t="str">
        <f>IF(LEFT(WIL!$B101,1)="@","Away","Home")</f>
        <v>Home</v>
      </c>
      <c r="E101" s="1">
        <f>_xlfn.NUMBERVALUE(MID(LEFT(WIL!$C101,FIND("-",WIL!$C101)-1),FIND(" ",WIL!$C101)+1,LEN(WIL!$C101)))</f>
        <v>10</v>
      </c>
      <c r="F101" s="3">
        <f>_xlfn.NUMBERVALUE(RIGHT(WIL!$C101,LEN(WIL!$C101)-FIND("-",WIL!$C101)))</f>
        <v>2</v>
      </c>
      <c r="G101" s="3">
        <f t="shared" si="14"/>
        <v>12</v>
      </c>
      <c r="H101" s="88" t="str">
        <f>LEFT(WIL!$C101,1)</f>
        <v>W</v>
      </c>
      <c r="I101" s="17" t="str">
        <f>VLOOKUP(IF(Table29[[#This Row],[At]]="Home",Table29[[#This Row],[Opponent]],RIGHT(Table29[[#This Row],[Opponent]],LEN(Table29[[#This Row],[Opponent]])-1)),CHOOSE({1,2},[1]StandingsRAW!$J$1:$J$22,[1]StandingsRAW!$L$1:$L$22),2,FALSE)</f>
        <v>EC</v>
      </c>
      <c r="J101" s="33">
        <f>VLOOKUP(Table29[[#This Row],[OPP]],Raw!$L$2:$S$23,7,FALSE)-Raw!$U$2</f>
        <v>1.1143270057026795</v>
      </c>
    </row>
    <row r="102" spans="1:10" x14ac:dyDescent="0.25">
      <c r="A102" t="s">
        <v>510</v>
      </c>
      <c r="B102" t="s">
        <v>235</v>
      </c>
      <c r="C102" t="s">
        <v>329</v>
      </c>
      <c r="D102" t="str">
        <f>IF(LEFT(WIL!$B102,1)="@","Away","Home")</f>
        <v>Home</v>
      </c>
      <c r="E102" s="1">
        <f>_xlfn.NUMBERVALUE(MID(LEFT(WIL!$C102,FIND("-",WIL!$C102)-1),FIND(" ",WIL!$C102)+1,LEN(WIL!$C102)))</f>
        <v>5</v>
      </c>
      <c r="F102" s="3">
        <f>_xlfn.NUMBERVALUE(RIGHT(WIL!$C102,LEN(WIL!$C102)-FIND("-",WIL!$C102)))</f>
        <v>2</v>
      </c>
      <c r="G102" s="3">
        <f t="shared" si="14"/>
        <v>7</v>
      </c>
      <c r="H102" s="88" t="str">
        <f>LEFT(WIL!$C102,1)</f>
        <v>W</v>
      </c>
      <c r="I102" s="17" t="str">
        <f>VLOOKUP(IF(Table29[[#This Row],[At]]="Home",Table29[[#This Row],[Opponent]],RIGHT(Table29[[#This Row],[Opponent]],LEN(Table29[[#This Row],[Opponent]])-1)),CHOOSE({1,2},[1]StandingsRAW!$J$1:$J$22,[1]StandingsRAW!$L$1:$L$22),2,FALSE)</f>
        <v>EC</v>
      </c>
      <c r="J102" s="33">
        <f>VLOOKUP(Table29[[#This Row],[OPP]],Raw!$L$2:$S$23,7,FALSE)-Raw!$U$2</f>
        <v>1.1143270057026795</v>
      </c>
    </row>
    <row r="103" spans="1:10" x14ac:dyDescent="0.25">
      <c r="A103" s="22" t="s">
        <v>515</v>
      </c>
      <c r="B103" s="22" t="s">
        <v>203</v>
      </c>
      <c r="C103" s="22" t="s">
        <v>292</v>
      </c>
      <c r="D103" s="22" t="str">
        <f>IF(LEFT(WIL!$B103,1)="@","Away","Home")</f>
        <v>Away</v>
      </c>
      <c r="E103" s="78">
        <f>_xlfn.NUMBERVALUE(MID(LEFT(WIL!$C103,FIND("-",WIL!$C103)-1),FIND(" ",WIL!$C103)+1,LEN(WIL!$C103)))</f>
        <v>7</v>
      </c>
      <c r="F103" s="79">
        <f>_xlfn.NUMBERVALUE(RIGHT(WIL!$C103,LEN(WIL!$C103)-FIND("-",WIL!$C103)))</f>
        <v>8</v>
      </c>
      <c r="G103" s="79">
        <f>E103+F103</f>
        <v>15</v>
      </c>
      <c r="H103" s="80" t="str">
        <f>LEFT(WIL!$C103,1)</f>
        <v>L</v>
      </c>
      <c r="I103" s="17" t="str">
        <f>VLOOKUP(IF(Table29[[#This Row],[At]]="Home",Table29[[#This Row],[Opponent]],RIGHT(Table29[[#This Row],[Opponent]],LEN(Table29[[#This Row],[Opponent]])-1)),CHOOSE({1,2},[1]StandingsRAW!$J$1:$J$22,[1]StandingsRAW!$L$1:$L$22),2,FALSE)</f>
        <v>BIS</v>
      </c>
      <c r="J103" s="33">
        <f>VLOOKUP(Table29[[#This Row],[OPP]],Raw!$L$2:$S$23,7,FALSE)-Raw!$U$2</f>
        <v>-1.915084759003203</v>
      </c>
    </row>
    <row r="104" spans="1:10" x14ac:dyDescent="0.25">
      <c r="A104" s="22" t="s">
        <v>518</v>
      </c>
      <c r="B104" s="22" t="s">
        <v>203</v>
      </c>
      <c r="C104" s="22" t="s">
        <v>28</v>
      </c>
      <c r="D104" s="22" t="str">
        <f>IF(LEFT(WIL!$B104,1)="@","Away","Home")</f>
        <v>Away</v>
      </c>
      <c r="E104" s="78">
        <f>_xlfn.NUMBERVALUE(MID(LEFT(WIL!$C104,FIND("-",WIL!$C104)-1),FIND(" ",WIL!$C104)+1,LEN(WIL!$C104)))</f>
        <v>4</v>
      </c>
      <c r="F104" s="79">
        <f>_xlfn.NUMBERVALUE(RIGHT(WIL!$C104,LEN(WIL!$C104)-FIND("-",WIL!$C104)))</f>
        <v>2</v>
      </c>
      <c r="G104" s="79">
        <f t="shared" ref="G104:G107" si="15">E104+F104</f>
        <v>6</v>
      </c>
      <c r="H104" s="80" t="str">
        <f>LEFT(WIL!$C104,1)</f>
        <v>W</v>
      </c>
      <c r="I104" s="17" t="str">
        <f>VLOOKUP(IF(Table29[[#This Row],[At]]="Home",Table29[[#This Row],[Opponent]],RIGHT(Table29[[#This Row],[Opponent]],LEN(Table29[[#This Row],[Opponent]])-1)),CHOOSE({1,2},[1]StandingsRAW!$J$1:$J$22,[1]StandingsRAW!$L$1:$L$22),2,FALSE)</f>
        <v>BIS</v>
      </c>
      <c r="J104" s="33">
        <f>VLOOKUP(Table29[[#This Row],[OPP]],Raw!$L$2:$S$23,7,FALSE)-Raw!$U$2</f>
        <v>-1.915084759003203</v>
      </c>
    </row>
    <row r="105" spans="1:10" x14ac:dyDescent="0.25">
      <c r="A105" t="s">
        <v>519</v>
      </c>
      <c r="B105" t="s">
        <v>203</v>
      </c>
      <c r="C105" t="s">
        <v>323</v>
      </c>
      <c r="D105" t="str">
        <f>IF(LEFT(WIL!$B105,1)="@","Away","Home")</f>
        <v>Away</v>
      </c>
      <c r="E105" s="1">
        <f>_xlfn.NUMBERVALUE(MID(LEFT(WIL!$C105,FIND("-",WIL!$C105)-1),FIND(" ",WIL!$C105)+1,LEN(WIL!$C105)))</f>
        <v>7</v>
      </c>
      <c r="F105" s="3">
        <f>_xlfn.NUMBERVALUE(RIGHT(WIL!$C105,LEN(WIL!$C105)-FIND("-",WIL!$C105)))</f>
        <v>6</v>
      </c>
      <c r="G105" s="3">
        <f t="shared" si="15"/>
        <v>13</v>
      </c>
      <c r="H105" s="88" t="str">
        <f>LEFT(WIL!$C105,1)</f>
        <v>W</v>
      </c>
      <c r="I105" s="17" t="str">
        <f>VLOOKUP(IF(Table29[[#This Row],[At]]="Home",Table29[[#This Row],[Opponent]],RIGHT(Table29[[#This Row],[Opponent]],LEN(Table29[[#This Row],[Opponent]])-1)),CHOOSE({1,2},[1]StandingsRAW!$J$1:$J$22,[1]StandingsRAW!$L$1:$L$22),2,FALSE)</f>
        <v>BIS</v>
      </c>
      <c r="J105" s="33">
        <f>VLOOKUP(Table29[[#This Row],[OPP]],Raw!$L$2:$S$23,7,FALSE)-Raw!$U$2</f>
        <v>-1.915084759003203</v>
      </c>
    </row>
    <row r="106" spans="1:10" x14ac:dyDescent="0.25">
      <c r="A106" t="s">
        <v>520</v>
      </c>
      <c r="B106" t="s">
        <v>203</v>
      </c>
      <c r="C106" t="s">
        <v>264</v>
      </c>
      <c r="D106" t="str">
        <f>IF(LEFT(WIL!$B106,1)="@","Away","Home")</f>
        <v>Away</v>
      </c>
      <c r="E106" s="1">
        <f>_xlfn.NUMBERVALUE(MID(LEFT(WIL!$C106,FIND("-",WIL!$C106)-1),FIND(" ",WIL!$C106)+1,LEN(WIL!$C106)))</f>
        <v>6</v>
      </c>
      <c r="F106" s="3">
        <f>_xlfn.NUMBERVALUE(RIGHT(WIL!$C106,LEN(WIL!$C106)-FIND("-",WIL!$C106)))</f>
        <v>2</v>
      </c>
      <c r="G106" s="3">
        <f t="shared" si="15"/>
        <v>8</v>
      </c>
      <c r="H106" s="88" t="str">
        <f>LEFT(WIL!$C106,1)</f>
        <v>W</v>
      </c>
      <c r="I106" s="17" t="str">
        <f>VLOOKUP(IF(Table29[[#This Row],[At]]="Home",Table29[[#This Row],[Opponent]],RIGHT(Table29[[#This Row],[Opponent]],LEN(Table29[[#This Row],[Opponent]])-1)),CHOOSE({1,2},[1]StandingsRAW!$J$1:$J$22,[1]StandingsRAW!$L$1:$L$22),2,FALSE)</f>
        <v>BIS</v>
      </c>
      <c r="J106" s="33">
        <f>VLOOKUP(Table29[[#This Row],[OPP]],Raw!$L$2:$S$23,7,FALSE)-Raw!$U$2</f>
        <v>-1.915084759003203</v>
      </c>
    </row>
    <row r="107" spans="1:10" x14ac:dyDescent="0.25">
      <c r="A107" t="s">
        <v>521</v>
      </c>
      <c r="B107" t="s">
        <v>201</v>
      </c>
      <c r="C107" t="s">
        <v>360</v>
      </c>
      <c r="D107" t="str">
        <f>IF(LEFT(WIL!$B107,1)="@","Away","Home")</f>
        <v>Away</v>
      </c>
      <c r="E107" s="1">
        <f>_xlfn.NUMBERVALUE(MID(LEFT(WIL!$C107,FIND("-",WIL!$C107)-1),FIND(" ",WIL!$C107)+1,LEN(WIL!$C107)))</f>
        <v>0</v>
      </c>
      <c r="F107" s="3">
        <f>_xlfn.NUMBERVALUE(RIGHT(WIL!$C107,LEN(WIL!$C107)-FIND("-",WIL!$C107)))</f>
        <v>10</v>
      </c>
      <c r="G107" s="3">
        <f t="shared" si="15"/>
        <v>10</v>
      </c>
      <c r="H107" s="88" t="str">
        <f>LEFT(WIL!$C107,1)</f>
        <v>L</v>
      </c>
      <c r="I107" s="17" t="str">
        <f>VLOOKUP(IF(Table29[[#This Row],[At]]="Home",Table29[[#This Row],[Opponent]],RIGHT(Table29[[#This Row],[Opponent]],LEN(Table29[[#This Row],[Opponent]])-1)),CHOOSE({1,2},[1]StandingsRAW!$J$1:$J$22,[1]StandingsRAW!$L$1:$L$22),2,FALSE)</f>
        <v>STC</v>
      </c>
      <c r="J107" s="33">
        <f>VLOOKUP(Table29[[#This Row],[OPP]],Raw!$L$2:$S$23,7,FALSE)-Raw!$U$2</f>
        <v>2.5702093586438561</v>
      </c>
    </row>
    <row r="108" spans="1:10" x14ac:dyDescent="0.25">
      <c r="A108" s="22" t="s">
        <v>524</v>
      </c>
      <c r="B108" s="22" t="s">
        <v>245</v>
      </c>
      <c r="C108" s="22" t="s">
        <v>301</v>
      </c>
      <c r="D108" s="22" t="str">
        <f>IF(LEFT(WIL!$B108,1)="@","Away","Home")</f>
        <v>Home</v>
      </c>
      <c r="E108" s="78">
        <f>_xlfn.NUMBERVALUE(MID(LEFT(WIL!$C108,FIND("-",WIL!$C108)-1),FIND(" ",WIL!$C108)+1,LEN(WIL!$C108)))</f>
        <v>3</v>
      </c>
      <c r="F108" s="79">
        <f>_xlfn.NUMBERVALUE(RIGHT(WIL!$C108,LEN(WIL!$C108)-FIND("-",WIL!$C108)))</f>
        <v>9</v>
      </c>
      <c r="G108" s="79">
        <f t="shared" ref="G108:G114" si="16">E108+F108</f>
        <v>12</v>
      </c>
      <c r="H108" s="80" t="str">
        <f>LEFT(WIL!$C108,1)</f>
        <v>L</v>
      </c>
      <c r="I108" s="17" t="str">
        <f>VLOOKUP(IF(Table29[[#This Row],[At]]="Home",Table29[[#This Row],[Opponent]],RIGHT(Table29[[#This Row],[Opponent]],LEN(Table29[[#This Row],[Opponent]])-1)),CHOOSE({1,2},[1]StandingsRAW!$J$1:$J$22,[1]StandingsRAW!$L$1:$L$22),2,FALSE)</f>
        <v>STC</v>
      </c>
      <c r="J108" s="33">
        <f>VLOOKUP(Table29[[#This Row],[OPP]],Raw!$L$2:$S$23,7,FALSE)-Raw!$U$2</f>
        <v>2.5702093586438561</v>
      </c>
    </row>
    <row r="109" spans="1:10" x14ac:dyDescent="0.25">
      <c r="A109" t="s">
        <v>525</v>
      </c>
      <c r="B109" t="s">
        <v>192</v>
      </c>
      <c r="C109" t="s">
        <v>539</v>
      </c>
      <c r="D109" t="str">
        <f>IF(LEFT(WIL!$B109,1)="@","Away","Home")</f>
        <v>Away</v>
      </c>
      <c r="E109" s="1">
        <f>_xlfn.NUMBERVALUE(MID(LEFT(WIL!$C109,FIND("-",WIL!$C109)-1),FIND(" ",WIL!$C109)+1,LEN(WIL!$C109)))</f>
        <v>20</v>
      </c>
      <c r="F109" s="3">
        <f>_xlfn.NUMBERVALUE(RIGHT(WIL!$C109,LEN(WIL!$C109)-FIND("-",WIL!$C109)))</f>
        <v>1</v>
      </c>
      <c r="G109" s="3">
        <f t="shared" si="16"/>
        <v>21</v>
      </c>
      <c r="H109" s="88" t="str">
        <f>LEFT(WIL!$C109,1)</f>
        <v>W</v>
      </c>
      <c r="I109" s="17" t="str">
        <f>VLOOKUP(IF(Table29[[#This Row],[At]]="Home",Table29[[#This Row],[Opponent]],RIGHT(Table29[[#This Row],[Opponent]],LEN(Table29[[#This Row],[Opponent]])-1)),CHOOSE({1,2},[1]StandingsRAW!$J$1:$J$22,[1]StandingsRAW!$L$1:$L$22),2,FALSE)</f>
        <v>WAT</v>
      </c>
      <c r="J109" s="33">
        <f>VLOOKUP(Table29[[#This Row],[OPP]],Raw!$L$2:$S$23,7,FALSE)-Raw!$U$2</f>
        <v>-3.3415553472384971</v>
      </c>
    </row>
    <row r="110" spans="1:10" x14ac:dyDescent="0.25">
      <c r="A110" t="s">
        <v>526</v>
      </c>
      <c r="B110" t="s">
        <v>192</v>
      </c>
      <c r="C110" t="s">
        <v>323</v>
      </c>
      <c r="D110" t="str">
        <f>IF(LEFT(WIL!$B110,1)="@","Away","Home")</f>
        <v>Away</v>
      </c>
      <c r="E110" s="1">
        <f>_xlfn.NUMBERVALUE(MID(LEFT(WIL!$C110,FIND("-",WIL!$C110)-1),FIND(" ",WIL!$C110)+1,LEN(WIL!$C110)))</f>
        <v>7</v>
      </c>
      <c r="F110" s="3">
        <f>_xlfn.NUMBERVALUE(RIGHT(WIL!$C110,LEN(WIL!$C110)-FIND("-",WIL!$C110)))</f>
        <v>6</v>
      </c>
      <c r="G110" s="3">
        <f t="shared" si="16"/>
        <v>13</v>
      </c>
      <c r="H110" s="88" t="str">
        <f>LEFT(WIL!$C110,1)</f>
        <v>W</v>
      </c>
      <c r="I110" s="17" t="str">
        <f>VLOOKUP(IF(Table29[[#This Row],[At]]="Home",Table29[[#This Row],[Opponent]],RIGHT(Table29[[#This Row],[Opponent]],LEN(Table29[[#This Row],[Opponent]])-1)),CHOOSE({1,2},[1]StandingsRAW!$J$1:$J$22,[1]StandingsRAW!$L$1:$L$22),2,FALSE)</f>
        <v>WAT</v>
      </c>
      <c r="J110" s="33">
        <f>VLOOKUP(Table29[[#This Row],[OPP]],Raw!$L$2:$S$23,7,FALSE)-Raw!$U$2</f>
        <v>-3.3415553472384971</v>
      </c>
    </row>
    <row r="111" spans="1:10" x14ac:dyDescent="0.25">
      <c r="A111" t="s">
        <v>527</v>
      </c>
      <c r="B111" t="s">
        <v>206</v>
      </c>
      <c r="C111" t="s">
        <v>195</v>
      </c>
      <c r="D111" t="str">
        <f>IF(LEFT(WIL!$B111,1)="@","Away","Home")</f>
        <v>Away</v>
      </c>
      <c r="E111" s="1">
        <f>_xlfn.NUMBERVALUE(MID(LEFT(WIL!$C111,FIND("-",WIL!$C111)-1),FIND(" ",WIL!$C111)+1,LEN(WIL!$C111)))</f>
        <v>8</v>
      </c>
      <c r="F111" s="3">
        <f>_xlfn.NUMBERVALUE(RIGHT(WIL!$C111,LEN(WIL!$C111)-FIND("-",WIL!$C111)))</f>
        <v>1</v>
      </c>
      <c r="G111" s="3">
        <f t="shared" si="16"/>
        <v>9</v>
      </c>
      <c r="H111" s="88" t="str">
        <f>LEFT(WIL!$C111,1)</f>
        <v>W</v>
      </c>
      <c r="I111" s="17" t="str">
        <f>VLOOKUP(IF(Table29[[#This Row],[At]]="Home",Table29[[#This Row],[Opponent]],RIGHT(Table29[[#This Row],[Opponent]],LEN(Table29[[#This Row],[Opponent]])-1)),CHOOSE({1,2},[1]StandingsRAW!$J$1:$J$22,[1]StandingsRAW!$L$1:$L$22),2,FALSE)</f>
        <v>MAN</v>
      </c>
      <c r="J111" s="33">
        <f>VLOOKUP(Table29[[#This Row],[OPP]],Raw!$L$2:$S$23,7,FALSE)-Raw!$U$2</f>
        <v>0.73197406452620895</v>
      </c>
    </row>
    <row r="112" spans="1:10" x14ac:dyDescent="0.25">
      <c r="A112" t="s">
        <v>528</v>
      </c>
      <c r="B112" t="s">
        <v>250</v>
      </c>
      <c r="C112" t="s">
        <v>329</v>
      </c>
      <c r="D112" t="str">
        <f>IF(LEFT(WIL!$B112,1)="@","Away","Home")</f>
        <v>Home</v>
      </c>
      <c r="E112" s="1">
        <f>_xlfn.NUMBERVALUE(MID(LEFT(WIL!$C112,FIND("-",WIL!$C112)-1),FIND(" ",WIL!$C112)+1,LEN(WIL!$C112)))</f>
        <v>5</v>
      </c>
      <c r="F112" s="3">
        <f>_xlfn.NUMBERVALUE(RIGHT(WIL!$C112,LEN(WIL!$C112)-FIND("-",WIL!$C112)))</f>
        <v>2</v>
      </c>
      <c r="G112" s="3">
        <f t="shared" si="16"/>
        <v>7</v>
      </c>
      <c r="H112" s="88" t="str">
        <f>LEFT(WIL!$C112,1)</f>
        <v>W</v>
      </c>
      <c r="I112" s="17" t="str">
        <f>VLOOKUP(IF(Table29[[#This Row],[At]]="Home",Table29[[#This Row],[Opponent]],RIGHT(Table29[[#This Row],[Opponent]],LEN(Table29[[#This Row],[Opponent]])-1)),CHOOSE({1,2},[1]StandingsRAW!$J$1:$J$22,[1]StandingsRAW!$L$1:$L$22),2,FALSE)</f>
        <v>MAN</v>
      </c>
      <c r="J112" s="33">
        <f>VLOOKUP(Table29[[#This Row],[OPP]],Raw!$L$2:$S$23,7,FALSE)-Raw!$U$2</f>
        <v>0.73197406452620895</v>
      </c>
    </row>
    <row r="113" spans="1:10" x14ac:dyDescent="0.25">
      <c r="A113" t="s">
        <v>529</v>
      </c>
      <c r="B113" t="s">
        <v>258</v>
      </c>
      <c r="C113" t="s">
        <v>253</v>
      </c>
      <c r="D113" t="str">
        <f>IF(LEFT(WIL!$B113,1)="@","Away","Home")</f>
        <v>Home</v>
      </c>
      <c r="E113" s="1">
        <f>_xlfn.NUMBERVALUE(MID(LEFT(WIL!$C113,FIND("-",WIL!$C113)-1),FIND(" ",WIL!$C113)+1,LEN(WIL!$C113)))</f>
        <v>4</v>
      </c>
      <c r="F113" s="3">
        <f>_xlfn.NUMBERVALUE(RIGHT(WIL!$C113,LEN(WIL!$C113)-FIND("-",WIL!$C113)))</f>
        <v>0</v>
      </c>
      <c r="G113" s="3">
        <f t="shared" si="16"/>
        <v>4</v>
      </c>
      <c r="H113" s="88" t="str">
        <f>LEFT(WIL!$C113,1)</f>
        <v>W</v>
      </c>
      <c r="I113" s="17" t="str">
        <f>VLOOKUP(IF(Table29[[#This Row],[At]]="Home",Table29[[#This Row],[Opponent]],RIGHT(Table29[[#This Row],[Opponent]],LEN(Table29[[#This Row],[Opponent]])-1)),CHOOSE({1,2},[1]StandingsRAW!$J$1:$J$22,[1]StandingsRAW!$L$1:$L$22),2,FALSE)</f>
        <v>WAT</v>
      </c>
      <c r="J113" s="33">
        <f>VLOOKUP(Table29[[#This Row],[OPP]],Raw!$L$2:$S$23,7,FALSE)-Raw!$U$2</f>
        <v>-3.3415553472384971</v>
      </c>
    </row>
    <row r="114" spans="1:10" x14ac:dyDescent="0.25">
      <c r="A114" t="s">
        <v>530</v>
      </c>
      <c r="B114" t="s">
        <v>258</v>
      </c>
      <c r="C114" t="s">
        <v>540</v>
      </c>
      <c r="D114" t="str">
        <f>IF(LEFT(WIL!$B114,1)="@","Away","Home")</f>
        <v>Home</v>
      </c>
      <c r="E114" s="1">
        <f>_xlfn.NUMBERVALUE(MID(LEFT(WIL!$C114,FIND("-",WIL!$C114)-1),FIND(" ",WIL!$C114)+1,LEN(WIL!$C114)))</f>
        <v>20</v>
      </c>
      <c r="F114" s="3">
        <f>_xlfn.NUMBERVALUE(RIGHT(WIL!$C114,LEN(WIL!$C114)-FIND("-",WIL!$C114)))</f>
        <v>2</v>
      </c>
      <c r="G114" s="3">
        <f t="shared" si="16"/>
        <v>22</v>
      </c>
      <c r="H114" s="88" t="str">
        <f>LEFT(WIL!$C114,1)</f>
        <v>W</v>
      </c>
      <c r="I114" s="17" t="str">
        <f>VLOOKUP(IF(Table29[[#This Row],[At]]="Home",Table29[[#This Row],[Opponent]],RIGHT(Table29[[#This Row],[Opponent]],LEN(Table29[[#This Row],[Opponent]])-1)),CHOOSE({1,2},[1]StandingsRAW!$J$1:$J$22,[1]StandingsRAW!$L$1:$L$22),2,FALSE)</f>
        <v>WAT</v>
      </c>
      <c r="J114" s="33">
        <f>VLOOKUP(Table29[[#This Row],[OPP]],Raw!$L$2:$S$23,7,FALSE)-Raw!$U$2</f>
        <v>-3.3415553472384971</v>
      </c>
    </row>
    <row r="115" spans="1:10" x14ac:dyDescent="0.25">
      <c r="A115" s="22" t="s">
        <v>541</v>
      </c>
      <c r="B115" s="22" t="s">
        <v>241</v>
      </c>
      <c r="C115" s="22" t="s">
        <v>351</v>
      </c>
      <c r="D115" s="22" t="str">
        <f>IF(LEFT(WIL!$B115,1)="@","Away","Home")</f>
        <v>Home</v>
      </c>
      <c r="E115" s="78">
        <f>_xlfn.NUMBERVALUE(MID(LEFT(WIL!$C115,FIND("-",WIL!$C115)-1),FIND(" ",WIL!$C115)+1,LEN(WIL!$C115)))</f>
        <v>2</v>
      </c>
      <c r="F115" s="79">
        <f>_xlfn.NUMBERVALUE(RIGHT(WIL!$C115,LEN(WIL!$C115)-FIND("-",WIL!$C115)))</f>
        <v>1</v>
      </c>
      <c r="G115" s="79">
        <f>E115+F115</f>
        <v>3</v>
      </c>
      <c r="H115" s="80" t="str">
        <f>LEFT(WIL!$C115,1)</f>
        <v>W</v>
      </c>
      <c r="I115" s="17" t="str">
        <f>VLOOKUP(IF(Table29[[#This Row],[At]]="Home",Table29[[#This Row],[Opponent]],RIGHT(Table29[[#This Row],[Opponent]],LEN(Table29[[#This Row],[Opponent]])-1)),CHOOSE({1,2},[1]StandingsRAW!$J$1:$J$22,[1]StandingsRAW!$L$1:$L$22),2,FALSE)</f>
        <v>MIN</v>
      </c>
      <c r="J115" s="33">
        <f>VLOOKUP(Table29[[#This Row],[OPP]],Raw!$L$2:$S$23,7,FALSE)-Raw!$U$2</f>
        <v>-2.6422089420097388</v>
      </c>
    </row>
    <row r="116" spans="1:10" x14ac:dyDescent="0.25">
      <c r="A116" s="22" t="s">
        <v>542</v>
      </c>
      <c r="B116" s="22" t="s">
        <v>241</v>
      </c>
      <c r="C116" s="22" t="s">
        <v>391</v>
      </c>
      <c r="D116" s="22" t="str">
        <f>IF(LEFT(WIL!$B116,1)="@","Away","Home")</f>
        <v>Home</v>
      </c>
      <c r="E116" s="78">
        <f>_xlfn.NUMBERVALUE(MID(LEFT(WIL!$C116,FIND("-",WIL!$C116)-1),FIND(" ",WIL!$C116)+1,LEN(WIL!$C116)))</f>
        <v>11</v>
      </c>
      <c r="F116" s="79">
        <f>_xlfn.NUMBERVALUE(RIGHT(WIL!$C116,LEN(WIL!$C116)-FIND("-",WIL!$C116)))</f>
        <v>5</v>
      </c>
      <c r="G116" s="79">
        <f>E116+F116</f>
        <v>16</v>
      </c>
      <c r="H116" s="80" t="str">
        <f>LEFT(WIL!$C116,1)</f>
        <v>W</v>
      </c>
      <c r="I116" s="17" t="str">
        <f>VLOOKUP(IF(Table29[[#This Row],[At]]="Home",Table29[[#This Row],[Opponent]],RIGHT(Table29[[#This Row],[Opponent]],LEN(Table29[[#This Row],[Opponent]])-1)),CHOOSE({1,2},[1]StandingsRAW!$J$1:$J$22,[1]StandingsRAW!$L$1:$L$22),2,FALSE)</f>
        <v>MIN</v>
      </c>
      <c r="J116" s="33">
        <f>VLOOKUP(Table29[[#This Row],[OPP]],Raw!$L$2:$S$23,7,FALSE)-Raw!$U$2</f>
        <v>-2.6422089420097388</v>
      </c>
    </row>
    <row r="117" spans="1:10" x14ac:dyDescent="0.25">
      <c r="A117" s="22" t="s">
        <v>549</v>
      </c>
      <c r="B117" s="22" t="s">
        <v>210</v>
      </c>
      <c r="C117" s="22" t="s">
        <v>205</v>
      </c>
      <c r="D117" s="22" t="str">
        <f>IF(LEFT(WIL!$B117,1)="@","Away","Home")</f>
        <v>Away</v>
      </c>
      <c r="E117" s="78">
        <f>_xlfn.NUMBERVALUE(MID(LEFT(WIL!$C117,FIND("-",WIL!$C117)-1),FIND(" ",WIL!$C117)+1,LEN(WIL!$C117)))</f>
        <v>5</v>
      </c>
      <c r="F117" s="79">
        <f>_xlfn.NUMBERVALUE(RIGHT(WIL!$C117,LEN(WIL!$C117)-FIND("-",WIL!$C117)))</f>
        <v>6</v>
      </c>
      <c r="G117" s="79">
        <f t="shared" ref="G117:G120" si="17">E117+F117</f>
        <v>11</v>
      </c>
      <c r="H117" s="80" t="str">
        <f>LEFT(WIL!$C117,1)</f>
        <v>L</v>
      </c>
      <c r="I117" s="17" t="str">
        <f>VLOOKUP(IF(Table29[[#This Row],[At]]="Home",Table29[[#This Row],[Opponent]],RIGHT(Table29[[#This Row],[Opponent]],LEN(Table29[[#This Row],[Opponent]])-1)),CHOOSE({1,2},[1]StandingsRAW!$J$1:$J$22,[1]StandingsRAW!$L$1:$L$22),2,FALSE)</f>
        <v>ROC</v>
      </c>
      <c r="J117" s="33">
        <f>VLOOKUP(Table29[[#This Row],[OPP]],Raw!$L$2:$S$23,7,FALSE)-Raw!$U$2</f>
        <v>-0.20920240606202639</v>
      </c>
    </row>
    <row r="118" spans="1:10" x14ac:dyDescent="0.25">
      <c r="A118" t="s">
        <v>550</v>
      </c>
      <c r="B118" t="s">
        <v>210</v>
      </c>
      <c r="C118" t="s">
        <v>285</v>
      </c>
      <c r="D118" t="str">
        <f>IF(LEFT(WIL!$B118,1)="@","Away","Home")</f>
        <v>Away</v>
      </c>
      <c r="E118" s="1">
        <f>_xlfn.NUMBERVALUE(MID(LEFT(WIL!$C118,FIND("-",WIL!$C118)-1),FIND(" ",WIL!$C118)+1,LEN(WIL!$C118)))</f>
        <v>10</v>
      </c>
      <c r="F118" s="3">
        <f>_xlfn.NUMBERVALUE(RIGHT(WIL!$C118,LEN(WIL!$C118)-FIND("-",WIL!$C118)))</f>
        <v>7</v>
      </c>
      <c r="G118" s="3">
        <f t="shared" si="17"/>
        <v>17</v>
      </c>
      <c r="H118" s="88" t="str">
        <f>LEFT(WIL!$C118,1)</f>
        <v>W</v>
      </c>
      <c r="I118" s="17" t="str">
        <f>VLOOKUP(IF(Table29[[#This Row],[At]]="Home",Table29[[#This Row],[Opponent]],RIGHT(Table29[[#This Row],[Opponent]],LEN(Table29[[#This Row],[Opponent]])-1)),CHOOSE({1,2},[1]StandingsRAW!$J$1:$J$22,[1]StandingsRAW!$L$1:$L$22),2,FALSE)</f>
        <v>ROC</v>
      </c>
      <c r="J118" s="33">
        <f>VLOOKUP(Table29[[#This Row],[OPP]],Raw!$L$2:$S$23,7,FALSE)-Raw!$U$2</f>
        <v>-0.20920240606202639</v>
      </c>
    </row>
    <row r="119" spans="1:10" x14ac:dyDescent="0.25">
      <c r="A119" t="s">
        <v>551</v>
      </c>
      <c r="B119" t="s">
        <v>258</v>
      </c>
      <c r="C119" t="s">
        <v>226</v>
      </c>
      <c r="D119" t="str">
        <f>IF(LEFT(WIL!$B119,1)="@","Away","Home")</f>
        <v>Home</v>
      </c>
      <c r="E119" s="1">
        <f>_xlfn.NUMBERVALUE(MID(LEFT(WIL!$C119,FIND("-",WIL!$C119)-1),FIND(" ",WIL!$C119)+1,LEN(WIL!$C119)))</f>
        <v>3</v>
      </c>
      <c r="F119" s="3">
        <f>_xlfn.NUMBERVALUE(RIGHT(WIL!$C119,LEN(WIL!$C119)-FIND("-",WIL!$C119)))</f>
        <v>2</v>
      </c>
      <c r="G119" s="3">
        <f t="shared" si="17"/>
        <v>5</v>
      </c>
      <c r="H119" s="88" t="str">
        <f>LEFT(WIL!$C119,1)</f>
        <v>W</v>
      </c>
      <c r="I119" s="17" t="str">
        <f>VLOOKUP(IF(Table29[[#This Row],[At]]="Home",Table29[[#This Row],[Opponent]],RIGHT(Table29[[#This Row],[Opponent]],LEN(Table29[[#This Row],[Opponent]])-1)),CHOOSE({1,2},[1]StandingsRAW!$J$1:$J$22,[1]StandingsRAW!$L$1:$L$22),2,FALSE)</f>
        <v>WAT</v>
      </c>
      <c r="J119" s="33">
        <f>VLOOKUP(Table29[[#This Row],[OPP]],Raw!$L$2:$S$23,7,FALSE)-Raw!$U$2</f>
        <v>-3.3415553472384971</v>
      </c>
    </row>
    <row r="120" spans="1:10" x14ac:dyDescent="0.25">
      <c r="A120" t="s">
        <v>552</v>
      </c>
      <c r="B120" t="s">
        <v>258</v>
      </c>
      <c r="C120" t="s">
        <v>402</v>
      </c>
      <c r="D120" t="str">
        <f>IF(LEFT(WIL!$B120,1)="@","Away","Home")</f>
        <v>Home</v>
      </c>
      <c r="E120" s="1">
        <f>_xlfn.NUMBERVALUE(MID(LEFT(WIL!$C120,FIND("-",WIL!$C120)-1),FIND(" ",WIL!$C120)+1,LEN(WIL!$C120)))</f>
        <v>13</v>
      </c>
      <c r="F120" s="3">
        <f>_xlfn.NUMBERVALUE(RIGHT(WIL!$C120,LEN(WIL!$C120)-FIND("-",WIL!$C120)))</f>
        <v>2</v>
      </c>
      <c r="G120" s="3">
        <f t="shared" si="17"/>
        <v>15</v>
      </c>
      <c r="H120" s="88" t="str">
        <f>LEFT(WIL!$C120,1)</f>
        <v>W</v>
      </c>
      <c r="I120" s="17" t="str">
        <f>VLOOKUP(IF(Table29[[#This Row],[At]]="Home",Table29[[#This Row],[Opponent]],RIGHT(Table29[[#This Row],[Opponent]],LEN(Table29[[#This Row],[Opponent]])-1)),CHOOSE({1,2},[1]StandingsRAW!$J$1:$J$22,[1]StandingsRAW!$L$1:$L$22),2,FALSE)</f>
        <v>WAT</v>
      </c>
      <c r="J120" s="33">
        <f>VLOOKUP(Table29[[#This Row],[OPP]],Raw!$L$2:$S$23,7,FALSE)-Raw!$U$2</f>
        <v>-3.3415553472384971</v>
      </c>
    </row>
    <row r="121" spans="1:10" x14ac:dyDescent="0.25">
      <c r="A121" s="22" t="s">
        <v>555</v>
      </c>
      <c r="B121" s="22" t="s">
        <v>263</v>
      </c>
      <c r="C121" s="22" t="s">
        <v>354</v>
      </c>
      <c r="D121" s="22" t="str">
        <f>IF(LEFT(WIL!$B121,1)="@","Away","Home")</f>
        <v>Home</v>
      </c>
      <c r="E121" s="78">
        <f>_xlfn.NUMBERVALUE(MID(LEFT(WIL!$C121,FIND("-",WIL!$C121)-1),FIND(" ",WIL!$C121)+1,LEN(WIL!$C121)))</f>
        <v>13</v>
      </c>
      <c r="F121" s="79">
        <f>_xlfn.NUMBERVALUE(RIGHT(WIL!$C121,LEN(WIL!$C121)-FIND("-",WIL!$C121)))</f>
        <v>6</v>
      </c>
      <c r="G121" s="79">
        <f>E121+F121</f>
        <v>19</v>
      </c>
      <c r="H121" s="80" t="str">
        <f>LEFT(WIL!$C121,1)</f>
        <v>W</v>
      </c>
      <c r="I121" s="17" t="str">
        <f>VLOOKUP(IF(Table29[[#This Row],[At]]="Home",Table29[[#This Row],[Opponent]],RIGHT(Table29[[#This Row],[Opponent]],LEN(Table29[[#This Row],[Opponent]])-1)),CHOOSE({1,2},[1]StandingsRAW!$J$1:$J$22,[1]StandingsRAW!$L$1:$L$22),2,FALSE)</f>
        <v>ROC</v>
      </c>
      <c r="J121" s="33">
        <f>VLOOKUP(Table29[[#This Row],[OPP]],Raw!$L$2:$S$23,7,FALSE)-Raw!$U$2</f>
        <v>-0.20920240606202639</v>
      </c>
    </row>
    <row r="122" spans="1:10" x14ac:dyDescent="0.25">
      <c r="A122" s="22" t="s">
        <v>557</v>
      </c>
      <c r="B122" s="22" t="s">
        <v>263</v>
      </c>
      <c r="C122" s="22" t="s">
        <v>128</v>
      </c>
      <c r="D122" s="22" t="str">
        <f>IF(LEFT(WIL!$B122,1)="@","Away","Home")</f>
        <v>Home</v>
      </c>
      <c r="E122" s="78">
        <f>_xlfn.NUMBERVALUE(MID(LEFT(WIL!$C122,FIND("-",WIL!$C122)-1),FIND(" ",WIL!$C122)+1,LEN(WIL!$C122)))</f>
        <v>6</v>
      </c>
      <c r="F122" s="79">
        <f>_xlfn.NUMBERVALUE(RIGHT(WIL!$C122,LEN(WIL!$C122)-FIND("-",WIL!$C122)))</f>
        <v>5</v>
      </c>
      <c r="G122" s="79">
        <f t="shared" ref="G122:G124" si="18">E122+F122</f>
        <v>11</v>
      </c>
      <c r="H122" s="80" t="str">
        <f>LEFT(WIL!$C122,1)</f>
        <v>W</v>
      </c>
      <c r="I122" s="17" t="str">
        <f>VLOOKUP(IF(Table29[[#This Row],[At]]="Home",Table29[[#This Row],[Opponent]],RIGHT(Table29[[#This Row],[Opponent]],LEN(Table29[[#This Row],[Opponent]])-1)),CHOOSE({1,2},[1]StandingsRAW!$J$1:$J$22,[1]StandingsRAW!$L$1:$L$22),2,FALSE)</f>
        <v>ROC</v>
      </c>
      <c r="J122" s="33">
        <f>VLOOKUP(Table29[[#This Row],[OPP]],Raw!$L$2:$S$23,7,FALSE)-Raw!$U$2</f>
        <v>-0.20920240606202639</v>
      </c>
    </row>
    <row r="123" spans="1:10" x14ac:dyDescent="0.25">
      <c r="A123" t="s">
        <v>558</v>
      </c>
      <c r="B123" t="s">
        <v>231</v>
      </c>
      <c r="C123" t="s">
        <v>295</v>
      </c>
      <c r="D123" t="str">
        <f>IF(LEFT(WIL!$B123,1)="@","Away","Home")</f>
        <v>Home</v>
      </c>
      <c r="E123" s="1">
        <f>_xlfn.NUMBERVALUE(MID(LEFT(WIL!$C123,FIND("-",WIL!$C123)-1),FIND(" ",WIL!$C123)+1,LEN(WIL!$C123)))</f>
        <v>1</v>
      </c>
      <c r="F123" s="3">
        <f>_xlfn.NUMBERVALUE(RIGHT(WIL!$C123,LEN(WIL!$C123)-FIND("-",WIL!$C123)))</f>
        <v>0</v>
      </c>
      <c r="G123" s="3">
        <f t="shared" si="18"/>
        <v>1</v>
      </c>
      <c r="H123" s="88" t="str">
        <f>LEFT(WIL!$C123,1)</f>
        <v>W</v>
      </c>
      <c r="I123" s="17" t="str">
        <f>VLOOKUP(IF(Table29[[#This Row],[At]]="Home",Table29[[#This Row],[Opponent]],RIGHT(Table29[[#This Row],[Opponent]],LEN(Table29[[#This Row],[Opponent]])-1)),CHOOSE({1,2},[1]StandingsRAW!$J$1:$J$22,[1]StandingsRAW!$L$1:$L$22),2,FALSE)</f>
        <v>LAC</v>
      </c>
      <c r="J123" s="33">
        <f>VLOOKUP(Table29[[#This Row],[OPP]],Raw!$L$2:$S$23,7,FALSE)-Raw!$U$2</f>
        <v>-0.25332005312084993</v>
      </c>
    </row>
    <row r="124" spans="1:10" x14ac:dyDescent="0.25">
      <c r="A124" t="s">
        <v>558</v>
      </c>
      <c r="B124" t="s">
        <v>231</v>
      </c>
      <c r="C124" t="s">
        <v>254</v>
      </c>
      <c r="D124" t="str">
        <f>IF(LEFT(WIL!$B124,1)="@","Away","Home")</f>
        <v>Home</v>
      </c>
      <c r="E124" s="1">
        <f>_xlfn.NUMBERVALUE(MID(LEFT(WIL!$C124,FIND("-",WIL!$C124)-1),FIND(" ",WIL!$C124)+1,LEN(WIL!$C124)))</f>
        <v>5</v>
      </c>
      <c r="F124" s="3">
        <f>_xlfn.NUMBERVALUE(RIGHT(WIL!$C124,LEN(WIL!$C124)-FIND("-",WIL!$C124)))</f>
        <v>4</v>
      </c>
      <c r="G124" s="3">
        <f t="shared" si="18"/>
        <v>9</v>
      </c>
      <c r="H124" s="88" t="str">
        <f>LEFT(WIL!$C124,1)</f>
        <v>W</v>
      </c>
      <c r="I124" s="17" t="str">
        <f>VLOOKUP(IF(Table29[[#This Row],[At]]="Home",Table29[[#This Row],[Opponent]],RIGHT(Table29[[#This Row],[Opponent]],LEN(Table29[[#This Row],[Opponent]])-1)),CHOOSE({1,2},[1]StandingsRAW!$J$1:$J$22,[1]StandingsRAW!$L$1:$L$22),2,FALSE)</f>
        <v>LAC</v>
      </c>
      <c r="J124" s="33">
        <f>VLOOKUP(Table29[[#This Row],[OPP]],Raw!$L$2:$S$23,7,FALSE)-Raw!$U$2</f>
        <v>-0.25332005312084993</v>
      </c>
    </row>
    <row r="125" spans="1:10" x14ac:dyDescent="0.25">
      <c r="A125" s="22" t="s">
        <v>563</v>
      </c>
      <c r="B125" s="22" t="s">
        <v>194</v>
      </c>
      <c r="C125" s="22" t="s">
        <v>300</v>
      </c>
      <c r="D125" s="22" t="str">
        <f>IF(LEFT(WIL!$B125,1)="@","Away","Home")</f>
        <v>Away</v>
      </c>
      <c r="E125" s="78">
        <f>_xlfn.NUMBERVALUE(MID(LEFT(WIL!$C125,FIND("-",WIL!$C125)-1),FIND(" ",WIL!$C125)+1,LEN(WIL!$C125)))</f>
        <v>9</v>
      </c>
      <c r="F125" s="79">
        <f>_xlfn.NUMBERVALUE(RIGHT(WIL!$C125,LEN(WIL!$C125)-FIND("-",WIL!$C125)))</f>
        <v>4</v>
      </c>
      <c r="G125" s="79">
        <f>E125+F125</f>
        <v>13</v>
      </c>
      <c r="H125" s="80" t="str">
        <f>LEFT(WIL!$C125,1)</f>
        <v>W</v>
      </c>
      <c r="I125" s="17" t="str">
        <f>VLOOKUP(IF(Table29[[#This Row],[At]]="Home",Table29[[#This Row],[Opponent]],RIGHT(Table29[[#This Row],[Opponent]],LEN(Table29[[#This Row],[Opponent]])-1)),CHOOSE({1,2},[1]StandingsRAW!$J$1:$J$22,[1]StandingsRAW!$L$1:$L$22),2,FALSE)</f>
        <v>EC</v>
      </c>
      <c r="J125" s="33">
        <f>VLOOKUP(Table29[[#This Row],[OPP]],Raw!$L$2:$S$23,7,FALSE)-Raw!$U$2</f>
        <v>1.1143270057026795</v>
      </c>
    </row>
    <row r="126" spans="1:10" x14ac:dyDescent="0.25">
      <c r="A126" s="22" t="s">
        <v>564</v>
      </c>
      <c r="B126" s="22" t="s">
        <v>194</v>
      </c>
      <c r="C126" s="22" t="s">
        <v>254</v>
      </c>
      <c r="D126" s="22" t="str">
        <f>IF(LEFT(WIL!$B126,1)="@","Away","Home")</f>
        <v>Away</v>
      </c>
      <c r="E126" s="78">
        <f>_xlfn.NUMBERVALUE(MID(LEFT(WIL!$C126,FIND("-",WIL!$C126)-1),FIND(" ",WIL!$C126)+1,LEN(WIL!$C126)))</f>
        <v>5</v>
      </c>
      <c r="F126" s="79">
        <f>_xlfn.NUMBERVALUE(RIGHT(WIL!$C126,LEN(WIL!$C126)-FIND("-",WIL!$C126)))</f>
        <v>4</v>
      </c>
      <c r="G126" s="79">
        <f t="shared" ref="G126:G129" si="19">E126+F126</f>
        <v>9</v>
      </c>
      <c r="H126" s="80" t="str">
        <f>LEFT(WIL!$C126,1)</f>
        <v>W</v>
      </c>
      <c r="I126" s="17" t="str">
        <f>VLOOKUP(IF(Table29[[#This Row],[At]]="Home",Table29[[#This Row],[Opponent]],RIGHT(Table29[[#This Row],[Opponent]],LEN(Table29[[#This Row],[Opponent]])-1)),CHOOSE({1,2},[1]StandingsRAW!$J$1:$J$22,[1]StandingsRAW!$L$1:$L$22),2,FALSE)</f>
        <v>EC</v>
      </c>
      <c r="J126" s="33">
        <f>VLOOKUP(Table29[[#This Row],[OPP]],Raw!$L$2:$S$23,7,FALSE)-Raw!$U$2</f>
        <v>1.1143270057026795</v>
      </c>
    </row>
    <row r="127" spans="1:10" x14ac:dyDescent="0.25">
      <c r="A127" t="s">
        <v>565</v>
      </c>
      <c r="B127" t="s">
        <v>278</v>
      </c>
      <c r="C127" t="s">
        <v>323</v>
      </c>
      <c r="D127" t="str">
        <f>IF(LEFT(WIL!$B127,1)="@","Away","Home")</f>
        <v>Home</v>
      </c>
      <c r="E127" s="1">
        <f>_xlfn.NUMBERVALUE(MID(LEFT(WIL!$C127,FIND("-",WIL!$C127)-1),FIND(" ",WIL!$C127)+1,LEN(WIL!$C127)))</f>
        <v>7</v>
      </c>
      <c r="F127" s="3">
        <f>_xlfn.NUMBERVALUE(RIGHT(WIL!$C127,LEN(WIL!$C127)-FIND("-",WIL!$C127)))</f>
        <v>6</v>
      </c>
      <c r="G127" s="3">
        <f t="shared" si="19"/>
        <v>13</v>
      </c>
      <c r="H127" s="88" t="str">
        <f>LEFT(WIL!$C127,1)</f>
        <v>W</v>
      </c>
      <c r="I127" s="17" t="str">
        <f>VLOOKUP(IF(Table29[[#This Row],[At]]="Home",Table29[[#This Row],[Opponent]],RIGHT(Table29[[#This Row],[Opponent]],LEN(Table29[[#This Row],[Opponent]])-1)),CHOOSE({1,2},[1]StandingsRAW!$J$1:$J$22,[1]StandingsRAW!$L$1:$L$22),2,FALSE)</f>
        <v>BIS</v>
      </c>
      <c r="J127" s="33">
        <f>VLOOKUP(Table29[[#This Row],[OPP]],Raw!$L$2:$S$23,7,FALSE)-Raw!$U$2</f>
        <v>-1.915084759003203</v>
      </c>
    </row>
    <row r="128" spans="1:10" x14ac:dyDescent="0.25">
      <c r="A128" t="s">
        <v>566</v>
      </c>
      <c r="B128" t="s">
        <v>278</v>
      </c>
      <c r="C128" t="s">
        <v>577</v>
      </c>
      <c r="D128" t="str">
        <f>IF(LEFT(WIL!$B128,1)="@","Away","Home")</f>
        <v>Home</v>
      </c>
      <c r="E128" s="1">
        <f>_xlfn.NUMBERVALUE(MID(LEFT(WIL!$C128,FIND("-",WIL!$C128)-1),FIND(" ",WIL!$C128)+1,LEN(WIL!$C128)))</f>
        <v>27</v>
      </c>
      <c r="F128" s="3">
        <f>_xlfn.NUMBERVALUE(RIGHT(WIL!$C128,LEN(WIL!$C128)-FIND("-",WIL!$C128)))</f>
        <v>2</v>
      </c>
      <c r="G128" s="3">
        <f t="shared" si="19"/>
        <v>29</v>
      </c>
      <c r="H128" s="88" t="str">
        <f>LEFT(WIL!$C128,1)</f>
        <v>W</v>
      </c>
      <c r="I128" s="17" t="str">
        <f>VLOOKUP(IF(Table29[[#This Row],[At]]="Home",Table29[[#This Row],[Opponent]],RIGHT(Table29[[#This Row],[Opponent]],LEN(Table29[[#This Row],[Opponent]])-1)),CHOOSE({1,2},[1]StandingsRAW!$J$1:$J$22,[1]StandingsRAW!$L$1:$L$22),2,FALSE)</f>
        <v>BIS</v>
      </c>
      <c r="J128" s="33">
        <f>VLOOKUP(Table29[[#This Row],[OPP]],Raw!$L$2:$S$23,7,FALSE)-Raw!$U$2</f>
        <v>-1.915084759003203</v>
      </c>
    </row>
    <row r="129" spans="1:10" x14ac:dyDescent="0.25">
      <c r="A129" t="s">
        <v>568</v>
      </c>
      <c r="B129" t="s">
        <v>190</v>
      </c>
      <c r="C129" t="s">
        <v>324</v>
      </c>
      <c r="D129" t="str">
        <f>IF(LEFT(WIL!$B129,1)="@","Away","Home")</f>
        <v>Away</v>
      </c>
      <c r="E129" s="1">
        <f>_xlfn.NUMBERVALUE(MID(LEFT(WIL!$C129,FIND("-",WIL!$C129)-1),FIND(" ",WIL!$C129)+1,LEN(WIL!$C129)))</f>
        <v>14</v>
      </c>
      <c r="F129" s="3">
        <f>_xlfn.NUMBERVALUE(RIGHT(WIL!$C129,LEN(WIL!$C129)-FIND("-",WIL!$C129)))</f>
        <v>4</v>
      </c>
      <c r="G129" s="3">
        <f t="shared" si="19"/>
        <v>18</v>
      </c>
      <c r="H129" s="88" t="str">
        <f>LEFT(WIL!$C129,1)</f>
        <v>W</v>
      </c>
      <c r="I129" s="17" t="str">
        <f>VLOOKUP(IF(Table29[[#This Row],[At]]="Home",Table29[[#This Row],[Opponent]],RIGHT(Table29[[#This Row],[Opponent]],LEN(Table29[[#This Row],[Opponent]])-1)),CHOOSE({1,2},[1]StandingsRAW!$J$1:$J$22,[1]StandingsRAW!$L$1:$L$22),2,FALSE)</f>
        <v>LAC</v>
      </c>
      <c r="J129" s="33">
        <f>VLOOKUP(Table29[[#This Row],[OPP]],Raw!$L$2:$S$23,7,FALSE)-Raw!$U$2</f>
        <v>-0.25332005312084993</v>
      </c>
    </row>
    <row r="130" spans="1:10" x14ac:dyDescent="0.25">
      <c r="A130" s="22" t="s">
        <v>589</v>
      </c>
      <c r="B130" s="22" t="s">
        <v>190</v>
      </c>
      <c r="C130" s="22" t="s">
        <v>322</v>
      </c>
      <c r="D130" s="22" t="str">
        <f>IF(LEFT(WIL!$B130,1)="@","Away","Home")</f>
        <v>Away</v>
      </c>
      <c r="E130" s="78">
        <f>_xlfn.NUMBERVALUE(MID(LEFT(WIL!$C130,FIND("-",WIL!$C130)-1),FIND(" ",WIL!$C130)+1,LEN(WIL!$C130)))</f>
        <v>6</v>
      </c>
      <c r="F130" s="79">
        <f>_xlfn.NUMBERVALUE(RIGHT(WIL!$C130,LEN(WIL!$C130)-FIND("-",WIL!$C130)))</f>
        <v>7</v>
      </c>
      <c r="G130" s="79">
        <f>E130+F130</f>
        <v>13</v>
      </c>
      <c r="H130" s="80" t="str">
        <f>LEFT(WIL!$C130,1)</f>
        <v>L</v>
      </c>
      <c r="I130" s="17" t="str">
        <f>VLOOKUP(IF(Table29[[#This Row],[At]]="Home",Table29[[#This Row],[Opponent]],RIGHT(Table29[[#This Row],[Opponent]],LEN(Table29[[#This Row],[Opponent]])-1)),CHOOSE({1,2},[1]StandingsRAW!$J$1:$J$22,[1]StandingsRAW!$L$1:$L$22),2,FALSE)</f>
        <v>LAC</v>
      </c>
      <c r="J130" s="33">
        <f>VLOOKUP(Table29[[#This Row],[OPP]],Raw!$L$2:$S$23,7,FALSE)-Raw!$U$2</f>
        <v>-0.25332005312084993</v>
      </c>
    </row>
    <row r="131" spans="1:10" x14ac:dyDescent="0.25">
      <c r="A131" s="22" t="s">
        <v>592</v>
      </c>
      <c r="B131" s="22" t="s">
        <v>250</v>
      </c>
      <c r="C131" s="22" t="s">
        <v>594</v>
      </c>
      <c r="D131" s="22" t="str">
        <f>IF(LEFT(WIL!$B131,1)="@","Away","Home")</f>
        <v>Home</v>
      </c>
      <c r="E131" s="78">
        <f>_xlfn.NUMBERVALUE(MID(LEFT(WIL!$C131,FIND("-",WIL!$C131)-1),FIND(" ",WIL!$C131)+1,LEN(WIL!$C131)))</f>
        <v>21</v>
      </c>
      <c r="F131" s="79">
        <f>_xlfn.NUMBERVALUE(RIGHT(WIL!$C131,LEN(WIL!$C131)-FIND("-",WIL!$C131)))</f>
        <v>14</v>
      </c>
      <c r="G131" s="79">
        <f>E131+F131</f>
        <v>35</v>
      </c>
      <c r="H131" s="80" t="str">
        <f>LEFT(WIL!$C131,1)</f>
        <v>W</v>
      </c>
      <c r="I131" s="17" t="str">
        <f>VLOOKUP(IF(Table29[[#This Row],[At]]="Home",Table29[[#This Row],[Opponent]],RIGHT(Table29[[#This Row],[Opponent]],LEN(Table29[[#This Row],[Opponent]])-1)),CHOOSE({1,2},[1]StandingsRAW!$J$1:$J$22,[1]StandingsRAW!$L$1:$L$22),2,FALSE)</f>
        <v>MAN</v>
      </c>
      <c r="J131" s="33">
        <f>VLOOKUP(Table29[[#This Row],[OPP]],Raw!$L$2:$S$23,7,FALSE)-Raw!$U$2</f>
        <v>0.73197406452620895</v>
      </c>
    </row>
    <row r="132" spans="1:10" x14ac:dyDescent="0.25">
      <c r="A132" s="22" t="s">
        <v>595</v>
      </c>
      <c r="B132" s="22" t="s">
        <v>250</v>
      </c>
      <c r="C132" s="22" t="s">
        <v>429</v>
      </c>
      <c r="D132" s="22" t="str">
        <f>IF(LEFT(WIL!$B132,1)="@","Away","Home")</f>
        <v>Home</v>
      </c>
      <c r="E132" s="78">
        <f>_xlfn.NUMBERVALUE(MID(LEFT(WIL!$C132,FIND("-",WIL!$C132)-1),FIND(" ",WIL!$C132)+1,LEN(WIL!$C132)))</f>
        <v>16</v>
      </c>
      <c r="F132" s="79">
        <f>_xlfn.NUMBERVALUE(RIGHT(WIL!$C132,LEN(WIL!$C132)-FIND("-",WIL!$C132)))</f>
        <v>6</v>
      </c>
      <c r="G132" s="79">
        <f>E132+F132</f>
        <v>22</v>
      </c>
      <c r="H132" s="80" t="str">
        <f>LEFT(WIL!$C132,1)</f>
        <v>W</v>
      </c>
      <c r="I132" s="17" t="str">
        <f>VLOOKUP(IF(Table29[[#This Row],[At]]="Home",Table29[[#This Row],[Opponent]],RIGHT(Table29[[#This Row],[Opponent]],LEN(Table29[[#This Row],[Opponent]])-1)),CHOOSE({1,2},[1]StandingsRAW!$J$1:$J$22,[1]StandingsRAW!$L$1:$L$22),2,FALSE)</f>
        <v>MAN</v>
      </c>
      <c r="J132" s="33">
        <f>VLOOKUP(Table29[[#This Row],[OPP]],Raw!$L$2:$S$23,7,FALSE)-Raw!$U$2</f>
        <v>0.73197406452620895</v>
      </c>
    </row>
    <row r="133" spans="1:10" x14ac:dyDescent="0.25">
      <c r="A133" s="22" t="s">
        <v>598</v>
      </c>
      <c r="B133" s="22" t="s">
        <v>198</v>
      </c>
      <c r="C133" s="22" t="s">
        <v>384</v>
      </c>
      <c r="D133" s="22" t="str">
        <f>IF(LEFT(WIL!$B133,1)="@","Away","Home")</f>
        <v>Away</v>
      </c>
      <c r="E133" s="78">
        <f>_xlfn.NUMBERVALUE(MID(LEFT(WIL!$C133,FIND("-",WIL!$C133)-1),FIND(" ",WIL!$C133)+1,LEN(WIL!$C133)))</f>
        <v>7</v>
      </c>
      <c r="F133" s="79">
        <f>_xlfn.NUMBERVALUE(RIGHT(WIL!$C133,LEN(WIL!$C133)-FIND("-",WIL!$C133)))</f>
        <v>5</v>
      </c>
      <c r="G133" s="79">
        <f>E133+F133</f>
        <v>12</v>
      </c>
      <c r="H133" s="80" t="str">
        <f>LEFT(WIL!$C133,1)</f>
        <v>W</v>
      </c>
      <c r="I133" s="17" t="str">
        <f>VLOOKUP(IF(Table29[[#This Row],[At]]="Home",Table29[[#This Row],[Opponent]],RIGHT(Table29[[#This Row],[Opponent]],LEN(Table29[[#This Row],[Opponent]])-1)),CHOOSE({1,2},[1]StandingsRAW!$J$1:$J$22,[1]StandingsRAW!$L$1:$L$22),2,FALSE)</f>
        <v>DUL</v>
      </c>
      <c r="J133" s="33">
        <f>VLOOKUP(Table29[[#This Row],[OPP]],Raw!$L$2:$S$23,7,FALSE)-Raw!$U$2</f>
        <v>-0.37645438147905891</v>
      </c>
    </row>
    <row r="134" spans="1:10" x14ac:dyDescent="0.25">
      <c r="A134" s="22" t="s">
        <v>599</v>
      </c>
      <c r="B134" s="22" t="s">
        <v>198</v>
      </c>
      <c r="C134" s="22" t="s">
        <v>322</v>
      </c>
      <c r="D134" s="22" t="str">
        <f>IF(LEFT(WIL!$B134,1)="@","Away","Home")</f>
        <v>Away</v>
      </c>
      <c r="E134" s="78">
        <f>_xlfn.NUMBERVALUE(MID(LEFT(WIL!$C134,FIND("-",WIL!$C134)-1),FIND(" ",WIL!$C134)+1,LEN(WIL!$C134)))</f>
        <v>6</v>
      </c>
      <c r="F134" s="79">
        <f>_xlfn.NUMBERVALUE(RIGHT(WIL!$C134,LEN(WIL!$C134)-FIND("-",WIL!$C134)))</f>
        <v>7</v>
      </c>
      <c r="G134" s="79">
        <f>E134+F134</f>
        <v>13</v>
      </c>
      <c r="H134" s="80" t="str">
        <f>LEFT(WIL!$C134,1)</f>
        <v>L</v>
      </c>
      <c r="I134" s="17" t="str">
        <f>VLOOKUP(IF(Table29[[#This Row],[At]]="Home",Table29[[#This Row],[Opponent]],RIGHT(Table29[[#This Row],[Opponent]],LEN(Table29[[#This Row],[Opponent]])-1)),CHOOSE({1,2},[1]StandingsRAW!$J$1:$J$22,[1]StandingsRAW!$L$1:$L$22),2,FALSE)</f>
        <v>DUL</v>
      </c>
      <c r="J134" s="33">
        <f>VLOOKUP(Table29[[#This Row],[OPP]],Raw!$L$2:$S$23,7,FALSE)-Raw!$U$2</f>
        <v>-0.37645438147905891</v>
      </c>
    </row>
    <row r="135" spans="1:10" x14ac:dyDescent="0.25">
      <c r="A135" s="22" t="s">
        <v>600</v>
      </c>
      <c r="B135" s="22" t="s">
        <v>190</v>
      </c>
      <c r="C135" s="22" t="s">
        <v>227</v>
      </c>
      <c r="D135" s="22" t="str">
        <f>IF(LEFT(WIL!$B135,1)="@","Away","Home")</f>
        <v>Away</v>
      </c>
      <c r="E135" s="78">
        <f>_xlfn.NUMBERVALUE(MID(LEFT(WIL!$C135,FIND("-",WIL!$C135)-1),FIND(" ",WIL!$C135)+1,LEN(WIL!$C135)))</f>
        <v>9</v>
      </c>
      <c r="F135" s="79">
        <f>_xlfn.NUMBERVALUE(RIGHT(WIL!$C135,LEN(WIL!$C135)-FIND("-",WIL!$C135)))</f>
        <v>12</v>
      </c>
      <c r="G135" s="79">
        <f t="shared" ref="G135:G138" si="20">E135+F135</f>
        <v>21</v>
      </c>
      <c r="H135" s="80" t="str">
        <f>LEFT(WIL!$C135,1)</f>
        <v>L</v>
      </c>
      <c r="I135" s="17" t="str">
        <f>VLOOKUP(IF(Table29[[#This Row],[At]]="Home",Table29[[#This Row],[Opponent]],RIGHT(Table29[[#This Row],[Opponent]],LEN(Table29[[#This Row],[Opponent]])-1)),CHOOSE({1,2},[1]StandingsRAW!$J$1:$J$22,[1]StandingsRAW!$L$1:$L$22),2,FALSE)</f>
        <v>LAC</v>
      </c>
      <c r="J135" s="33">
        <f>VLOOKUP(Table29[[#This Row],[OPP]],Raw!$L$2:$S$23,7,FALSE)-Raw!$U$2</f>
        <v>-0.25332005312084993</v>
      </c>
    </row>
    <row r="136" spans="1:10" x14ac:dyDescent="0.25">
      <c r="A136" t="s">
        <v>601</v>
      </c>
      <c r="B136" t="s">
        <v>190</v>
      </c>
      <c r="C136" t="s">
        <v>607</v>
      </c>
      <c r="D136" t="str">
        <f>IF(LEFT(WIL!$B136,1)="@","Away","Home")</f>
        <v>Away</v>
      </c>
      <c r="E136" s="1">
        <f>_xlfn.NUMBERVALUE(MID(LEFT(WIL!$C136,FIND("-",WIL!$C136)-1),FIND(" ",WIL!$C136)+1,LEN(WIL!$C136)))</f>
        <v>20</v>
      </c>
      <c r="F136" s="3">
        <f>_xlfn.NUMBERVALUE(RIGHT(WIL!$C136,LEN(WIL!$C136)-FIND("-",WIL!$C136)))</f>
        <v>3</v>
      </c>
      <c r="G136" s="3">
        <f t="shared" si="20"/>
        <v>23</v>
      </c>
      <c r="H136" s="88" t="str">
        <f>LEFT(WIL!$C136,1)</f>
        <v>W</v>
      </c>
      <c r="I136" s="17" t="str">
        <f>VLOOKUP(IF(Table29[[#This Row],[At]]="Home",Table29[[#This Row],[Opponent]],RIGHT(Table29[[#This Row],[Opponent]],LEN(Table29[[#This Row],[Opponent]])-1)),CHOOSE({1,2},[1]StandingsRAW!$J$1:$J$22,[1]StandingsRAW!$L$1:$L$22),2,FALSE)</f>
        <v>LAC</v>
      </c>
      <c r="J136" s="33">
        <f>VLOOKUP(Table29[[#This Row],[OPP]],Raw!$L$2:$S$23,7,FALSE)-Raw!$U$2</f>
        <v>-0.25332005312084993</v>
      </c>
    </row>
    <row r="137" spans="1:10" x14ac:dyDescent="0.25">
      <c r="A137" t="s">
        <v>602</v>
      </c>
      <c r="B137" t="s">
        <v>278</v>
      </c>
      <c r="C137" t="s">
        <v>389</v>
      </c>
      <c r="D137" t="str">
        <f>IF(LEFT(WIL!$B137,1)="@","Away","Home")</f>
        <v>Home</v>
      </c>
      <c r="E137" s="1">
        <f>_xlfn.NUMBERVALUE(MID(LEFT(WIL!$C137,FIND("-",WIL!$C137)-1),FIND(" ",WIL!$C137)+1,LEN(WIL!$C137)))</f>
        <v>11</v>
      </c>
      <c r="F137" s="3">
        <f>_xlfn.NUMBERVALUE(RIGHT(WIL!$C137,LEN(WIL!$C137)-FIND("-",WIL!$C137)))</f>
        <v>0</v>
      </c>
      <c r="G137" s="3">
        <f t="shared" si="20"/>
        <v>11</v>
      </c>
      <c r="H137" s="88" t="str">
        <f>LEFT(WIL!$C137,1)</f>
        <v>W</v>
      </c>
      <c r="I137" s="17" t="str">
        <f>VLOOKUP(IF(Table29[[#This Row],[At]]="Home",Table29[[#This Row],[Opponent]],RIGHT(Table29[[#This Row],[Opponent]],LEN(Table29[[#This Row],[Opponent]])-1)),CHOOSE({1,2},[1]StandingsRAW!$J$1:$J$22,[1]StandingsRAW!$L$1:$L$22),2,FALSE)</f>
        <v>BIS</v>
      </c>
      <c r="J137" s="33">
        <f>VLOOKUP(Table29[[#This Row],[OPP]],Raw!$L$2:$S$23,7,FALSE)-Raw!$U$2</f>
        <v>-1.915084759003203</v>
      </c>
    </row>
    <row r="138" spans="1:10" x14ac:dyDescent="0.25">
      <c r="A138" t="s">
        <v>603</v>
      </c>
      <c r="B138" t="s">
        <v>278</v>
      </c>
      <c r="C138" t="s">
        <v>240</v>
      </c>
      <c r="D138" t="str">
        <f>IF(LEFT(WIL!$B138,1)="@","Away","Home")</f>
        <v>Home</v>
      </c>
      <c r="E138" s="1">
        <f>_xlfn.NUMBERVALUE(MID(LEFT(WIL!$C138,FIND("-",WIL!$C138)-1),FIND(" ",WIL!$C138)+1,LEN(WIL!$C138)))</f>
        <v>1</v>
      </c>
      <c r="F138" s="3">
        <f>_xlfn.NUMBERVALUE(RIGHT(WIL!$C138,LEN(WIL!$C138)-FIND("-",WIL!$C138)))</f>
        <v>3</v>
      </c>
      <c r="G138" s="3">
        <f t="shared" si="20"/>
        <v>4</v>
      </c>
      <c r="H138" s="88" t="str">
        <f>LEFT(WIL!$C138,1)</f>
        <v>L</v>
      </c>
      <c r="I138" s="17" t="str">
        <f>VLOOKUP(IF(Table29[[#This Row],[At]]="Home",Table29[[#This Row],[Opponent]],RIGHT(Table29[[#This Row],[Opponent]],LEN(Table29[[#This Row],[Opponent]])-1)),CHOOSE({1,2},[1]StandingsRAW!$J$1:$J$22,[1]StandingsRAW!$L$1:$L$22),2,FALSE)</f>
        <v>BIS</v>
      </c>
      <c r="J138" s="33">
        <f>VLOOKUP(Table29[[#This Row],[OPP]],Raw!$L$2:$S$23,7,FALSE)-Raw!$U$2</f>
        <v>-1.915084759003203</v>
      </c>
    </row>
    <row r="139" spans="1:10" x14ac:dyDescent="0.25">
      <c r="A139" s="92" t="s">
        <v>608</v>
      </c>
      <c r="B139" s="92" t="s">
        <v>225</v>
      </c>
      <c r="C139" s="92" t="s">
        <v>373</v>
      </c>
      <c r="D139" s="92" t="str">
        <f>IF(LEFT(WIL!$B139,1)="@","Away","Home")</f>
        <v>Home</v>
      </c>
      <c r="E139" s="115">
        <f>_xlfn.NUMBERVALUE(MID(LEFT(WIL!$C139,FIND("-",WIL!$C139)-1),FIND(" ",WIL!$C139)+1,LEN(WIL!$C139)))</f>
        <v>11</v>
      </c>
      <c r="F139" s="116">
        <f>_xlfn.NUMBERVALUE(RIGHT(WIL!$C139,LEN(WIL!$C139)-FIND("-",WIL!$C139)))</f>
        <v>1</v>
      </c>
      <c r="G139" s="116">
        <f t="shared" ref="G139:G140" si="21">E139+F139</f>
        <v>12</v>
      </c>
      <c r="H139" s="117" t="str">
        <f>LEFT(WIL!$C139,1)</f>
        <v>W</v>
      </c>
      <c r="I139" s="17" t="str">
        <f>VLOOKUP(IF(Table29[[#This Row],[At]]="Home",Table29[[#This Row],[Opponent]],RIGHT(Table29[[#This Row],[Opponent]],LEN(Table29[[#This Row],[Opponent]])-1)),CHOOSE({1,2},[1]StandingsRAW!$J$1:$J$22,[1]StandingsRAW!$L$1:$L$22),2,FALSE)</f>
        <v>DUL</v>
      </c>
      <c r="J139" s="33">
        <f>VLOOKUP(Table29[[#This Row],[OPP]],Raw!$L$2:$S$23,7,FALSE)-Raw!$U$2</f>
        <v>-0.37645438147905891</v>
      </c>
    </row>
    <row r="140" spans="1:10" x14ac:dyDescent="0.25">
      <c r="A140" s="95" t="s">
        <v>609</v>
      </c>
      <c r="B140" s="95" t="s">
        <v>225</v>
      </c>
      <c r="C140" s="95" t="s">
        <v>26</v>
      </c>
      <c r="D140" s="95" t="str">
        <f>IF(LEFT(WIL!$B140,1)="@","Away","Home")</f>
        <v>Home</v>
      </c>
      <c r="E140" s="97">
        <f>_xlfn.NUMBERVALUE(MID(LEFT(WIL!$C140,FIND("-",WIL!$C140)-1),FIND(" ",WIL!$C140)+1,LEN(WIL!$C140)))</f>
        <v>10</v>
      </c>
      <c r="F140" s="99">
        <f>_xlfn.NUMBERVALUE(RIGHT(WIL!$C140,LEN(WIL!$C140)-FIND("-",WIL!$C140)))</f>
        <v>6</v>
      </c>
      <c r="G140" s="99">
        <f t="shared" si="21"/>
        <v>16</v>
      </c>
      <c r="H140" s="118" t="str">
        <f>LEFT(WIL!$C140,1)</f>
        <v>W</v>
      </c>
      <c r="I140" s="17" t="str">
        <f>VLOOKUP(IF(Table29[[#This Row],[At]]="Home",Table29[[#This Row],[Opponent]],RIGHT(Table29[[#This Row],[Opponent]],LEN(Table29[[#This Row],[Opponent]])-1)),CHOOSE({1,2},[1]StandingsRAW!$J$1:$J$22,[1]StandingsRAW!$L$1:$L$22),2,FALSE)</f>
        <v>DUL</v>
      </c>
      <c r="J140" s="33">
        <f>VLOOKUP(Table29[[#This Row],[OPP]],Raw!$L$2:$S$23,7,FALSE)-Raw!$U$2</f>
        <v>-0.37645438147905891</v>
      </c>
    </row>
    <row r="141" spans="1:10" x14ac:dyDescent="0.25">
      <c r="E141" s="1"/>
      <c r="F141" s="3"/>
      <c r="G141" s="3"/>
      <c r="H141" s="3"/>
    </row>
    <row r="142" spans="1:10" x14ac:dyDescent="0.25">
      <c r="E142" s="1"/>
      <c r="F142" s="3"/>
      <c r="G142" s="3"/>
      <c r="H142" s="3"/>
    </row>
  </sheetData>
  <conditionalFormatting sqref="L17">
    <cfRule type="cellIs" dxfId="9" priority="4" operator="greaterThan">
      <formula>100</formula>
    </cfRule>
    <cfRule type="cellIs" dxfId="8" priority="5" operator="lessThan">
      <formula>100</formula>
    </cfRule>
  </conditionalFormatting>
  <conditionalFormatting sqref="L18">
    <cfRule type="cellIs" dxfId="7" priority="2" operator="greaterThan">
      <formula>100</formula>
    </cfRule>
    <cfRule type="cellIs" dxfId="6" priority="3" operator="lessThan">
      <formula>100</formula>
    </cfRule>
  </conditionalFormatting>
  <conditionalFormatting sqref="L17:L18">
    <cfRule type="cellIs" dxfId="5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84B1-2DDF-4DEC-AA34-82AC1F1539DA}">
  <sheetPr codeName="Sheet24"/>
  <dimension ref="A1:P148"/>
  <sheetViews>
    <sheetView topLeftCell="A74" workbookViewId="0">
      <selection activeCell="A77" sqref="A77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446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74</v>
      </c>
      <c r="C3" t="s">
        <v>50</v>
      </c>
      <c r="E3" s="1" t="str">
        <f>IF(LEFT(B3,1)="@","Away","Home")</f>
        <v>Home</v>
      </c>
      <c r="F3" s="3">
        <f>_xlfn.NUMBERVALUE(MID(LEFT(C3,FIND("-",C3)-1),FIND(" ",C3)+1,LEN(C3)))</f>
        <v>3</v>
      </c>
      <c r="G3" s="3">
        <f>_xlfn.NUMBERVALUE(RIGHT(C3,LEN(C3)-FIND("-",C3)))</f>
        <v>4</v>
      </c>
      <c r="H3" s="3">
        <f t="shared" ref="H3:H66" si="0">F3+G3</f>
        <v>7</v>
      </c>
      <c r="I3" s="3" t="str">
        <f>LEFT(C3,1)</f>
        <v>L</v>
      </c>
      <c r="K3" s="4" t="s">
        <v>139</v>
      </c>
      <c r="L3" s="5">
        <f>(SUMIF($E$3:$E$74,$K3,F$3:F$74) + SUMIF(Table23[At],$K3,Table23[Scored]))/(COUNTIF($E$3:$E$74,$K3) + COUNTIF(Table23[At],$K3))</f>
        <v>5.4861111111111107</v>
      </c>
      <c r="M3" s="5">
        <f>(SUMIF($E$3:$E$74,$K3,G$3:G$74) + SUMIF(Table23[At],$K3,Table23[Allowed]))/(COUNTIF($E$3:$E$74,$K3) + COUNTIF(Table23[At],$K3))</f>
        <v>4.0694444444444446</v>
      </c>
      <c r="N3" s="5">
        <f>L3+M3</f>
        <v>9.5555555555555554</v>
      </c>
      <c r="O3" s="5">
        <f>(COUNTIFS($E$3:$E$74,$K3,$I$3:$I$74,O$2) + COUNTIFS(Table23[At],$K3,Table23[Result],O$2))/(COUNTIF($E$3:$E$74,$K3) + COUNTIF(Table23[At],$K3))</f>
        <v>0.66666666666666663</v>
      </c>
      <c r="P3" s="5">
        <f>(COUNTIFS($E$3:$E$74,$K3,$I$3:$I$74,P$2) + COUNTIFS(Table23[At],$K3,Table23[Result],P$2))/(COUNTIF($E$3:$E$74,$K3) + COUNTIF(Table23[At],$K3))</f>
        <v>0.33333333333333331</v>
      </c>
    </row>
    <row r="4" spans="1:16" x14ac:dyDescent="0.25">
      <c r="A4" t="s">
        <v>7</v>
      </c>
      <c r="B4" t="s">
        <v>120</v>
      </c>
      <c r="C4" t="s">
        <v>447</v>
      </c>
      <c r="E4" s="1" t="str">
        <f t="shared" ref="E4:E67" si="1">IF(LEFT(B4,1)="@","Away","Home")</f>
        <v>Away</v>
      </c>
      <c r="F4" s="3">
        <f t="shared" ref="F4:F67" si="2">_xlfn.NUMBERVALUE(MID(LEFT(C4,FIND("-",C4)-1),FIND(" ",C4)+1,LEN(C4)))</f>
        <v>5</v>
      </c>
      <c r="G4" s="3">
        <f t="shared" ref="G4:G67" si="3">_xlfn.NUMBERVALUE(RIGHT(C4,LEN(C4)-FIND("-",C4)))</f>
        <v>16</v>
      </c>
      <c r="H4" s="3">
        <f t="shared" si="0"/>
        <v>21</v>
      </c>
      <c r="I4" s="3" t="str">
        <f t="shared" ref="I4:I67" si="4">LEFT(C4,1)</f>
        <v>L</v>
      </c>
      <c r="K4" s="4" t="s">
        <v>140</v>
      </c>
      <c r="L4" s="5">
        <f>(SUMIF($E$3:$E$74,$K4,F$3:F$74) + SUMIF(Table23[At],$K4,Table23[Scored]))/(COUNTIF($E$3:$E$74,$K4) + COUNTIF(Table23[At],$K4))</f>
        <v>6.708333333333333</v>
      </c>
      <c r="M4" s="5">
        <f>(SUMIF($E$3:$E$74,$K4,G$3:G$74) + SUMIF(Table23[At],$K4,Table23[Allowed]))/(COUNTIF($E$3:$E$74,$K4) + COUNTIF(Table23[At],$K4))</f>
        <v>4.3055555555555554</v>
      </c>
      <c r="N4" s="5">
        <f>L4+M4</f>
        <v>11.013888888888889</v>
      </c>
      <c r="O4" s="5">
        <f>(COUNTIFS($E$3:$E$74,$K4,$I$3:$I$74,O$2) + COUNTIFS(Table23[At],$K4,Table23[Result],O$2))/(COUNTIF($E$3:$E$74,$K4) + COUNTIF(Table23[At],$K4))</f>
        <v>0.65277777777777779</v>
      </c>
      <c r="P4" s="5">
        <f>(COUNTIFS($E$3:$E$74,$K4,$I$3:$I$74,P$2) + COUNTIFS(Table23[At],$K4,Table23[Result],P$2))/(COUNTIF($E$3:$E$74,$K4) + COUNTIF(Table23[At],$K4))</f>
        <v>0.34722222222222221</v>
      </c>
    </row>
    <row r="5" spans="1:16" x14ac:dyDescent="0.25">
      <c r="A5" t="s">
        <v>9</v>
      </c>
      <c r="B5" t="s">
        <v>115</v>
      </c>
      <c r="C5" t="s">
        <v>279</v>
      </c>
      <c r="E5" s="1" t="str">
        <f t="shared" si="1"/>
        <v>Away</v>
      </c>
      <c r="F5" s="3">
        <f t="shared" si="2"/>
        <v>7</v>
      </c>
      <c r="G5" s="3">
        <f t="shared" si="3"/>
        <v>2</v>
      </c>
      <c r="H5" s="3">
        <f t="shared" si="0"/>
        <v>9</v>
      </c>
      <c r="I5" s="3" t="str">
        <f t="shared" si="4"/>
        <v>W</v>
      </c>
    </row>
    <row r="6" spans="1:16" x14ac:dyDescent="0.25">
      <c r="A6" t="s">
        <v>12</v>
      </c>
      <c r="B6" t="s">
        <v>98</v>
      </c>
      <c r="C6" t="s">
        <v>61</v>
      </c>
      <c r="E6" s="1" t="str">
        <f t="shared" si="1"/>
        <v>Home</v>
      </c>
      <c r="F6" s="3">
        <f t="shared" si="2"/>
        <v>7</v>
      </c>
      <c r="G6" s="3">
        <f t="shared" si="3"/>
        <v>3</v>
      </c>
      <c r="H6" s="3">
        <f t="shared" si="0"/>
        <v>10</v>
      </c>
      <c r="I6" s="3" t="str">
        <f t="shared" si="4"/>
        <v>W</v>
      </c>
      <c r="K6" s="4" t="s">
        <v>144</v>
      </c>
      <c r="L6" s="5">
        <f>N3/N4</f>
        <v>0.86759142496847408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319</v>
      </c>
      <c r="C7" t="s">
        <v>132</v>
      </c>
      <c r="E7" s="1" t="str">
        <f t="shared" si="1"/>
        <v>Away</v>
      </c>
      <c r="F7" s="3">
        <f t="shared" si="2"/>
        <v>3</v>
      </c>
      <c r="G7" s="3">
        <f t="shared" si="3"/>
        <v>6</v>
      </c>
      <c r="H7" s="3">
        <f t="shared" si="0"/>
        <v>9</v>
      </c>
      <c r="I7" s="3" t="str">
        <f t="shared" si="4"/>
        <v>L</v>
      </c>
      <c r="K7" s="7" t="s">
        <v>143</v>
      </c>
      <c r="L7" s="5">
        <f>(18.5 - O3)/(18.5-P4)</f>
        <v>0.98240244835501134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321</v>
      </c>
      <c r="C8" t="s">
        <v>220</v>
      </c>
      <c r="E8" s="1" t="str">
        <f t="shared" si="1"/>
        <v>Home</v>
      </c>
      <c r="F8" s="3">
        <f t="shared" si="2"/>
        <v>12</v>
      </c>
      <c r="G8" s="3">
        <f t="shared" si="3"/>
        <v>8</v>
      </c>
      <c r="H8" s="3">
        <f t="shared" si="0"/>
        <v>20</v>
      </c>
      <c r="I8" s="3" t="str">
        <f t="shared" si="4"/>
        <v>W</v>
      </c>
      <c r="K8" s="7" t="s">
        <v>146</v>
      </c>
      <c r="L8" s="5">
        <f>L6/L7</f>
        <v>0.8831323928612117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74</v>
      </c>
      <c r="C9" t="s">
        <v>351</v>
      </c>
      <c r="E9" s="1" t="str">
        <f t="shared" si="1"/>
        <v>Home</v>
      </c>
      <c r="F9" s="3">
        <f t="shared" si="2"/>
        <v>2</v>
      </c>
      <c r="G9" s="3">
        <f t="shared" si="3"/>
        <v>1</v>
      </c>
      <c r="H9" s="3">
        <f t="shared" si="0"/>
        <v>3</v>
      </c>
      <c r="I9" s="3" t="str">
        <f t="shared" si="4"/>
        <v>W</v>
      </c>
      <c r="K9" s="7" t="s">
        <v>145</v>
      </c>
      <c r="L9" s="5">
        <f>(P7)/(P7-1+L8)</f>
        <v>1.0098347475459413</v>
      </c>
      <c r="O9" s="4"/>
      <c r="P9" s="1"/>
    </row>
    <row r="10" spans="1:16" x14ac:dyDescent="0.25">
      <c r="A10" t="s">
        <v>193</v>
      </c>
      <c r="B10" t="s">
        <v>74</v>
      </c>
      <c r="C10" t="s">
        <v>269</v>
      </c>
      <c r="E10" s="1" t="str">
        <f t="shared" si="1"/>
        <v>Home</v>
      </c>
      <c r="F10" s="3">
        <f t="shared" si="2"/>
        <v>2</v>
      </c>
      <c r="G10" s="3">
        <f t="shared" si="3"/>
        <v>3</v>
      </c>
      <c r="H10" s="3">
        <f t="shared" si="0"/>
        <v>5</v>
      </c>
      <c r="I10" s="3" t="str">
        <f t="shared" si="4"/>
        <v>L</v>
      </c>
      <c r="K10" s="4" t="s">
        <v>149</v>
      </c>
      <c r="L10" s="5">
        <f>L8*L9</f>
        <v>0.89181777699464471</v>
      </c>
      <c r="O10" s="4"/>
      <c r="P10" s="1"/>
    </row>
    <row r="11" spans="1:16" x14ac:dyDescent="0.25">
      <c r="A11" t="s">
        <v>22</v>
      </c>
      <c r="B11" t="s">
        <v>333</v>
      </c>
      <c r="C11" t="s">
        <v>132</v>
      </c>
      <c r="E11" s="1" t="str">
        <f t="shared" si="1"/>
        <v>Home</v>
      </c>
      <c r="F11" s="3">
        <f t="shared" si="2"/>
        <v>3</v>
      </c>
      <c r="G11" s="3">
        <f t="shared" si="3"/>
        <v>6</v>
      </c>
      <c r="H11" s="3">
        <f t="shared" si="0"/>
        <v>9</v>
      </c>
      <c r="I11" s="3" t="str">
        <f t="shared" si="4"/>
        <v>L</v>
      </c>
      <c r="K11" s="4" t="s">
        <v>148</v>
      </c>
      <c r="L11" s="5">
        <f>1 - ((L10-1)/(P7-1))</f>
        <v>1.0098347475459415</v>
      </c>
      <c r="O11" s="4"/>
      <c r="P11" s="1"/>
    </row>
    <row r="12" spans="1:16" x14ac:dyDescent="0.25">
      <c r="A12" t="s">
        <v>196</v>
      </c>
      <c r="B12" t="s">
        <v>332</v>
      </c>
      <c r="C12" t="s">
        <v>128</v>
      </c>
      <c r="E12" s="1" t="str">
        <f t="shared" si="1"/>
        <v>Away</v>
      </c>
      <c r="F12" s="3">
        <f t="shared" si="2"/>
        <v>6</v>
      </c>
      <c r="G12" s="3">
        <f t="shared" si="3"/>
        <v>5</v>
      </c>
      <c r="H12" s="3">
        <f t="shared" si="0"/>
        <v>11</v>
      </c>
      <c r="I12" s="3" t="str">
        <f t="shared" si="4"/>
        <v>W</v>
      </c>
      <c r="K12" s="4" t="s">
        <v>150</v>
      </c>
      <c r="L12" s="5">
        <f>(($L4/$L11)+($L3/$L10)) * (1 + (L13-1)/($P7-1)) / $P8</f>
        <v>1.1188283994655699</v>
      </c>
      <c r="M12" s="5">
        <f t="shared" ref="M12:O12" si="5">(($L4/$L11)+($L3/$L10)) * (1 + (M13-1)/($P7-1)) / $P8</f>
        <v>1.0964714380954481</v>
      </c>
      <c r="N12" s="5">
        <f t="shared" si="5"/>
        <v>1.0963118772000442</v>
      </c>
      <c r="O12" s="8">
        <f t="shared" si="5"/>
        <v>1.0963107384191999</v>
      </c>
      <c r="P12" s="5"/>
    </row>
    <row r="13" spans="1:16" x14ac:dyDescent="0.25">
      <c r="A13" t="s">
        <v>25</v>
      </c>
      <c r="B13" t="s">
        <v>319</v>
      </c>
      <c r="C13" t="s">
        <v>290</v>
      </c>
      <c r="E13" s="1" t="str">
        <f t="shared" si="1"/>
        <v>Away</v>
      </c>
      <c r="F13" s="3">
        <f t="shared" si="2"/>
        <v>5</v>
      </c>
      <c r="G13" s="3">
        <f t="shared" si="3"/>
        <v>0</v>
      </c>
      <c r="H13" s="3">
        <f t="shared" si="0"/>
        <v>5</v>
      </c>
      <c r="I13" s="3" t="str">
        <f t="shared" si="4"/>
        <v>W</v>
      </c>
      <c r="K13" s="4" t="s">
        <v>182</v>
      </c>
      <c r="L13" s="5">
        <v>1</v>
      </c>
      <c r="M13" s="5">
        <f>(($M4/$L11)+($M3/$L10)) * (1 + (L12-1)/($P7-1)) / $P8</f>
        <v>0.78019276665768289</v>
      </c>
      <c r="N13" s="5">
        <f>(($M4/$L11)+($M3/$L10)) * (1 + (M12-1)/($P7-1)) / $P8</f>
        <v>0.77862400968808587</v>
      </c>
      <c r="O13" s="5">
        <f>(($M4/$L11)+($M3/$L10)) * (1 + (N12-1)/($P7-1)) / $P8</f>
        <v>0.77861281352137102</v>
      </c>
      <c r="P13" s="8">
        <f>(($M4/$L11)+($M3/$L10)) * (1 + (O12-1)/($P7-1)) / $P8</f>
        <v>0.77861273361469874</v>
      </c>
    </row>
    <row r="14" spans="1:16" x14ac:dyDescent="0.25">
      <c r="A14" t="s">
        <v>27</v>
      </c>
      <c r="B14" t="s">
        <v>321</v>
      </c>
      <c r="C14" t="s">
        <v>6</v>
      </c>
      <c r="E14" s="1" t="str">
        <f t="shared" si="1"/>
        <v>Home</v>
      </c>
      <c r="F14" s="3">
        <f t="shared" si="2"/>
        <v>2</v>
      </c>
      <c r="G14" s="3">
        <f t="shared" si="3"/>
        <v>6</v>
      </c>
      <c r="H14" s="3">
        <f t="shared" si="0"/>
        <v>8</v>
      </c>
      <c r="I14" s="3" t="str">
        <f t="shared" si="4"/>
        <v>L</v>
      </c>
      <c r="K14" s="4" t="s">
        <v>183</v>
      </c>
      <c r="L14" s="5">
        <f xml:space="preserve"> (L10+L11) / (2 * (1 + ((P13-1)/(P7-1))))</f>
        <v>0.97035575388611994</v>
      </c>
      <c r="N14" s="5"/>
    </row>
    <row r="15" spans="1:16" x14ac:dyDescent="0.25">
      <c r="A15" t="s">
        <v>29</v>
      </c>
      <c r="B15" t="s">
        <v>314</v>
      </c>
      <c r="C15" t="s">
        <v>197</v>
      </c>
      <c r="E15" s="1" t="str">
        <f t="shared" si="1"/>
        <v>Home</v>
      </c>
      <c r="F15" s="3">
        <f t="shared" si="2"/>
        <v>0</v>
      </c>
      <c r="G15" s="3">
        <f t="shared" si="3"/>
        <v>1</v>
      </c>
      <c r="H15" s="3">
        <f t="shared" si="0"/>
        <v>1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0.94257353921788634</v>
      </c>
    </row>
    <row r="16" spans="1:16" ht="15.75" thickBot="1" x14ac:dyDescent="0.3">
      <c r="A16" t="s">
        <v>32</v>
      </c>
      <c r="B16" t="s">
        <v>314</v>
      </c>
      <c r="C16" t="s">
        <v>338</v>
      </c>
      <c r="E16" s="1" t="str">
        <f t="shared" si="1"/>
        <v>Home</v>
      </c>
      <c r="F16" s="3">
        <f t="shared" si="2"/>
        <v>0</v>
      </c>
      <c r="G16" s="3">
        <f t="shared" si="3"/>
        <v>11</v>
      </c>
      <c r="H16" s="3">
        <f t="shared" si="0"/>
        <v>11</v>
      </c>
      <c r="I16" s="3" t="str">
        <f t="shared" si="4"/>
        <v>L</v>
      </c>
    </row>
    <row r="17" spans="1:14" x14ac:dyDescent="0.25">
      <c r="A17" t="s">
        <v>34</v>
      </c>
      <c r="B17" t="s">
        <v>321</v>
      </c>
      <c r="C17" t="s">
        <v>217</v>
      </c>
      <c r="E17" s="1" t="str">
        <f t="shared" si="1"/>
        <v>Home</v>
      </c>
      <c r="F17" s="3">
        <f t="shared" si="2"/>
        <v>3</v>
      </c>
      <c r="G17" s="3">
        <f t="shared" si="3"/>
        <v>0</v>
      </c>
      <c r="H17" s="3">
        <f t="shared" si="0"/>
        <v>3</v>
      </c>
      <c r="I17" s="3" t="str">
        <f t="shared" si="4"/>
        <v>W</v>
      </c>
      <c r="K17" s="9" t="s">
        <v>185</v>
      </c>
      <c r="L17" s="10">
        <f>L14*100</f>
        <v>97.035575388611989</v>
      </c>
    </row>
    <row r="18" spans="1:14" ht="15.75" thickBot="1" x14ac:dyDescent="0.3">
      <c r="A18" t="s">
        <v>394</v>
      </c>
      <c r="B18" t="s">
        <v>319</v>
      </c>
      <c r="C18" t="s">
        <v>326</v>
      </c>
      <c r="E18" s="1" t="str">
        <f t="shared" si="1"/>
        <v>Away</v>
      </c>
      <c r="F18" s="3">
        <f t="shared" si="2"/>
        <v>10</v>
      </c>
      <c r="G18" s="3">
        <f t="shared" si="3"/>
        <v>9</v>
      </c>
      <c r="H18" s="3">
        <f t="shared" si="0"/>
        <v>19</v>
      </c>
      <c r="I18" s="3" t="str">
        <f t="shared" si="4"/>
        <v>W</v>
      </c>
      <c r="K18" s="11" t="s">
        <v>186</v>
      </c>
      <c r="L18" s="12">
        <f>L15*100</f>
        <v>94.257353921788635</v>
      </c>
    </row>
    <row r="19" spans="1:14" x14ac:dyDescent="0.25">
      <c r="A19" t="s">
        <v>39</v>
      </c>
      <c r="B19" t="s">
        <v>17</v>
      </c>
      <c r="C19" t="s">
        <v>402</v>
      </c>
      <c r="E19" s="1" t="str">
        <f t="shared" si="1"/>
        <v>Away</v>
      </c>
      <c r="F19" s="3">
        <f t="shared" si="2"/>
        <v>13</v>
      </c>
      <c r="G19" s="3">
        <f t="shared" si="3"/>
        <v>2</v>
      </c>
      <c r="H19" s="3">
        <f t="shared" si="0"/>
        <v>15</v>
      </c>
      <c r="I19" s="3" t="str">
        <f t="shared" si="4"/>
        <v>W</v>
      </c>
    </row>
    <row r="20" spans="1:14" x14ac:dyDescent="0.25">
      <c r="A20" t="s">
        <v>41</v>
      </c>
      <c r="B20" t="s">
        <v>17</v>
      </c>
      <c r="C20" t="s">
        <v>59</v>
      </c>
      <c r="E20" s="1" t="str">
        <f t="shared" si="1"/>
        <v>Away</v>
      </c>
      <c r="F20" s="3">
        <f t="shared" si="2"/>
        <v>11</v>
      </c>
      <c r="G20" s="3">
        <f t="shared" si="3"/>
        <v>7</v>
      </c>
      <c r="H20" s="3">
        <f t="shared" si="0"/>
        <v>18</v>
      </c>
      <c r="I20" s="3" t="str">
        <f t="shared" si="4"/>
        <v>W</v>
      </c>
    </row>
    <row r="21" spans="1:14" x14ac:dyDescent="0.25">
      <c r="A21" t="s">
        <v>43</v>
      </c>
      <c r="B21" t="s">
        <v>40</v>
      </c>
      <c r="C21" t="s">
        <v>48</v>
      </c>
      <c r="E21" s="1" t="str">
        <f t="shared" si="1"/>
        <v>Away</v>
      </c>
      <c r="F21" s="3">
        <f t="shared" si="2"/>
        <v>4</v>
      </c>
      <c r="G21" s="3">
        <f t="shared" si="3"/>
        <v>5</v>
      </c>
      <c r="H21" s="3">
        <f t="shared" si="0"/>
        <v>9</v>
      </c>
      <c r="I21" s="3" t="str">
        <f t="shared" si="4"/>
        <v>L</v>
      </c>
    </row>
    <row r="22" spans="1:14" x14ac:dyDescent="0.25">
      <c r="A22" t="s">
        <v>45</v>
      </c>
      <c r="B22" t="s">
        <v>40</v>
      </c>
      <c r="C22" t="s">
        <v>217</v>
      </c>
      <c r="E22" s="1" t="str">
        <f t="shared" si="1"/>
        <v>Away</v>
      </c>
      <c r="F22" s="3">
        <f t="shared" si="2"/>
        <v>3</v>
      </c>
      <c r="G22" s="3">
        <f t="shared" si="3"/>
        <v>0</v>
      </c>
      <c r="H22" s="3">
        <f t="shared" si="0"/>
        <v>3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314</v>
      </c>
      <c r="C23" t="s">
        <v>89</v>
      </c>
      <c r="E23" s="1" t="str">
        <f t="shared" si="1"/>
        <v>Home</v>
      </c>
      <c r="F23" s="3">
        <f t="shared" si="2"/>
        <v>1</v>
      </c>
      <c r="G23" s="3">
        <f t="shared" si="3"/>
        <v>6</v>
      </c>
      <c r="H23" s="3">
        <f t="shared" si="0"/>
        <v>7</v>
      </c>
      <c r="I23" s="3" t="str">
        <f t="shared" si="4"/>
        <v>L</v>
      </c>
      <c r="K23" s="1">
        <f>COUNTIFS(Table23[At], "Home",Table23[Result], "W")</f>
        <v>29</v>
      </c>
      <c r="L23" s="1">
        <f>COUNTIFS(Table23[At], "Home",Table23[Result], "L")</f>
        <v>7</v>
      </c>
      <c r="M23" s="1">
        <f>COUNTIFS(Table23[At], "Away",Table23[Result], "W")</f>
        <v>28</v>
      </c>
      <c r="N23" s="1">
        <f>COUNTIFS(Table23[At], "Away",Table23[Result], "L")</f>
        <v>8</v>
      </c>
    </row>
    <row r="24" spans="1:14" x14ac:dyDescent="0.25">
      <c r="A24" t="s">
        <v>49</v>
      </c>
      <c r="B24" t="s">
        <v>314</v>
      </c>
      <c r="C24" t="s">
        <v>244</v>
      </c>
      <c r="E24" s="1" t="str">
        <f t="shared" si="1"/>
        <v>Home</v>
      </c>
      <c r="F24" s="3">
        <f t="shared" si="2"/>
        <v>6</v>
      </c>
      <c r="G24" s="3">
        <f t="shared" si="3"/>
        <v>3</v>
      </c>
      <c r="H24" s="3">
        <f t="shared" si="0"/>
        <v>9</v>
      </c>
      <c r="I24" s="3" t="str">
        <f t="shared" si="4"/>
        <v>W</v>
      </c>
      <c r="K24" s="1"/>
      <c r="M24" s="1"/>
      <c r="N24" s="1"/>
    </row>
    <row r="25" spans="1:14" x14ac:dyDescent="0.25">
      <c r="A25" t="s">
        <v>51</v>
      </c>
      <c r="B25" t="s">
        <v>115</v>
      </c>
      <c r="C25" t="s">
        <v>389</v>
      </c>
      <c r="E25" s="1" t="str">
        <f t="shared" si="1"/>
        <v>Away</v>
      </c>
      <c r="F25" s="3">
        <f t="shared" si="2"/>
        <v>11</v>
      </c>
      <c r="G25" s="3">
        <f t="shared" si="3"/>
        <v>0</v>
      </c>
      <c r="H25" s="3">
        <f t="shared" si="0"/>
        <v>11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115</v>
      </c>
      <c r="C26" t="s">
        <v>48</v>
      </c>
      <c r="E26" s="1" t="str">
        <f t="shared" si="1"/>
        <v>Away</v>
      </c>
      <c r="F26" s="3">
        <f t="shared" si="2"/>
        <v>4</v>
      </c>
      <c r="G26" s="3">
        <f t="shared" si="3"/>
        <v>5</v>
      </c>
      <c r="H26" s="3">
        <f t="shared" si="0"/>
        <v>9</v>
      </c>
      <c r="I26" s="3" t="str">
        <f t="shared" si="4"/>
        <v>L</v>
      </c>
      <c r="K26" s="1">
        <f>COUNTIFS(Table23[oR/G], "&gt;0",Table23[Result], "W")</f>
        <v>30</v>
      </c>
      <c r="L26" s="1">
        <f>COUNTIFS(Table23[oR/G], "&gt;0",Table23[Result], "l")</f>
        <v>10</v>
      </c>
      <c r="M26" s="1">
        <f>COUNTIFS(Table23[oR/G], "&lt;0",Table23[Result], "W")</f>
        <v>27</v>
      </c>
      <c r="N26" s="1">
        <f>COUNTIFS(Table23[oR/G], "&lt;0",Table23[Result], "l")</f>
        <v>5</v>
      </c>
    </row>
    <row r="27" spans="1:14" x14ac:dyDescent="0.25">
      <c r="A27" t="s">
        <v>53</v>
      </c>
      <c r="B27" t="s">
        <v>74</v>
      </c>
      <c r="C27" t="s">
        <v>132</v>
      </c>
      <c r="E27" s="1" t="str">
        <f t="shared" si="1"/>
        <v>Home</v>
      </c>
      <c r="F27" s="3">
        <f t="shared" si="2"/>
        <v>3</v>
      </c>
      <c r="G27" s="3">
        <f t="shared" si="3"/>
        <v>6</v>
      </c>
      <c r="H27" s="3">
        <f t="shared" si="0"/>
        <v>9</v>
      </c>
      <c r="I27" s="3" t="str">
        <f t="shared" si="4"/>
        <v>L</v>
      </c>
    </row>
    <row r="28" spans="1:14" x14ac:dyDescent="0.25">
      <c r="A28" t="s">
        <v>208</v>
      </c>
      <c r="B28" t="s">
        <v>74</v>
      </c>
      <c r="C28" t="s">
        <v>269</v>
      </c>
      <c r="E28" s="1" t="str">
        <f t="shared" si="1"/>
        <v>Home</v>
      </c>
      <c r="F28" s="3">
        <f t="shared" si="2"/>
        <v>2</v>
      </c>
      <c r="G28" s="3">
        <f t="shared" si="3"/>
        <v>3</v>
      </c>
      <c r="H28" s="3">
        <f t="shared" si="0"/>
        <v>5</v>
      </c>
      <c r="I28" s="3" t="str">
        <f t="shared" si="4"/>
        <v>L</v>
      </c>
    </row>
    <row r="29" spans="1:14" x14ac:dyDescent="0.25">
      <c r="A29" t="s">
        <v>247</v>
      </c>
      <c r="B29" t="s">
        <v>332</v>
      </c>
      <c r="C29" t="s">
        <v>323</v>
      </c>
      <c r="E29" s="1" t="str">
        <f t="shared" si="1"/>
        <v>Away</v>
      </c>
      <c r="F29" s="3">
        <f t="shared" si="2"/>
        <v>7</v>
      </c>
      <c r="G29" s="3">
        <f t="shared" si="3"/>
        <v>6</v>
      </c>
      <c r="H29" s="3">
        <f t="shared" si="0"/>
        <v>13</v>
      </c>
      <c r="I29" s="3" t="str">
        <f t="shared" si="4"/>
        <v>W</v>
      </c>
    </row>
    <row r="30" spans="1:14" x14ac:dyDescent="0.25">
      <c r="A30" t="s">
        <v>54</v>
      </c>
      <c r="B30" t="s">
        <v>332</v>
      </c>
      <c r="C30" t="s">
        <v>61</v>
      </c>
      <c r="E30" s="1" t="str">
        <f t="shared" si="1"/>
        <v>Away</v>
      </c>
      <c r="F30" s="3">
        <f t="shared" si="2"/>
        <v>7</v>
      </c>
      <c r="G30" s="3">
        <f t="shared" si="3"/>
        <v>3</v>
      </c>
      <c r="H30" s="3">
        <f t="shared" si="0"/>
        <v>10</v>
      </c>
      <c r="I30" s="3" t="str">
        <f t="shared" si="4"/>
        <v>W</v>
      </c>
    </row>
    <row r="31" spans="1:14" x14ac:dyDescent="0.25">
      <c r="A31" t="s">
        <v>57</v>
      </c>
      <c r="B31" t="s">
        <v>321</v>
      </c>
      <c r="C31" t="s">
        <v>329</v>
      </c>
      <c r="E31" s="1" t="str">
        <f t="shared" si="1"/>
        <v>Home</v>
      </c>
      <c r="F31" s="3">
        <f t="shared" si="2"/>
        <v>5</v>
      </c>
      <c r="G31" s="3">
        <f t="shared" si="3"/>
        <v>2</v>
      </c>
      <c r="H31" s="3">
        <f t="shared" si="0"/>
        <v>7</v>
      </c>
      <c r="I31" s="3" t="str">
        <f t="shared" si="4"/>
        <v>W</v>
      </c>
    </row>
    <row r="32" spans="1:14" x14ac:dyDescent="0.25">
      <c r="A32" t="s">
        <v>60</v>
      </c>
      <c r="B32" t="s">
        <v>319</v>
      </c>
      <c r="C32" t="s">
        <v>303</v>
      </c>
      <c r="E32" s="1" t="str">
        <f t="shared" si="1"/>
        <v>Away</v>
      </c>
      <c r="F32" s="3">
        <f t="shared" si="2"/>
        <v>8</v>
      </c>
      <c r="G32" s="3">
        <f t="shared" si="3"/>
        <v>2</v>
      </c>
      <c r="H32" s="3">
        <f t="shared" si="0"/>
        <v>10</v>
      </c>
      <c r="I32" s="3" t="str">
        <f t="shared" si="4"/>
        <v>W</v>
      </c>
    </row>
    <row r="33" spans="1:9" x14ac:dyDescent="0.25">
      <c r="A33" t="s">
        <v>62</v>
      </c>
      <c r="B33" t="s">
        <v>314</v>
      </c>
      <c r="C33" t="s">
        <v>280</v>
      </c>
      <c r="E33" s="1" t="str">
        <f t="shared" si="1"/>
        <v>Home</v>
      </c>
      <c r="F33" s="3">
        <f t="shared" si="2"/>
        <v>8</v>
      </c>
      <c r="G33" s="3">
        <f t="shared" si="3"/>
        <v>3</v>
      </c>
      <c r="H33" s="3">
        <f t="shared" si="0"/>
        <v>11</v>
      </c>
      <c r="I33" s="3" t="str">
        <f t="shared" si="4"/>
        <v>W</v>
      </c>
    </row>
    <row r="34" spans="1:9" x14ac:dyDescent="0.25">
      <c r="A34" t="s">
        <v>64</v>
      </c>
      <c r="B34" t="s">
        <v>314</v>
      </c>
      <c r="C34" t="s">
        <v>6</v>
      </c>
      <c r="E34" s="1" t="str">
        <f t="shared" si="1"/>
        <v>Home</v>
      </c>
      <c r="F34" s="3">
        <f t="shared" si="2"/>
        <v>2</v>
      </c>
      <c r="G34" s="3">
        <f t="shared" si="3"/>
        <v>6</v>
      </c>
      <c r="H34" s="3">
        <f t="shared" si="0"/>
        <v>8</v>
      </c>
      <c r="I34" s="3" t="str">
        <f t="shared" si="4"/>
        <v>L</v>
      </c>
    </row>
    <row r="35" spans="1:9" x14ac:dyDescent="0.25">
      <c r="A35" t="s">
        <v>66</v>
      </c>
      <c r="B35" t="s">
        <v>332</v>
      </c>
      <c r="C35" t="s">
        <v>15</v>
      </c>
      <c r="E35" s="1" t="str">
        <f t="shared" si="1"/>
        <v>Away</v>
      </c>
      <c r="F35" s="3">
        <f t="shared" si="2"/>
        <v>3</v>
      </c>
      <c r="G35" s="3">
        <f t="shared" si="3"/>
        <v>1</v>
      </c>
      <c r="H35" s="3">
        <f t="shared" si="0"/>
        <v>4</v>
      </c>
      <c r="I35" s="3" t="str">
        <f t="shared" si="4"/>
        <v>W</v>
      </c>
    </row>
    <row r="36" spans="1:9" x14ac:dyDescent="0.25">
      <c r="A36" t="s">
        <v>67</v>
      </c>
      <c r="B36" t="s">
        <v>332</v>
      </c>
      <c r="C36" t="s">
        <v>48</v>
      </c>
      <c r="E36" s="1" t="str">
        <f t="shared" si="1"/>
        <v>Away</v>
      </c>
      <c r="F36" s="3">
        <f t="shared" si="2"/>
        <v>4</v>
      </c>
      <c r="G36" s="3">
        <f t="shared" si="3"/>
        <v>5</v>
      </c>
      <c r="H36" s="3">
        <f t="shared" si="0"/>
        <v>9</v>
      </c>
      <c r="I36" s="3" t="str">
        <f t="shared" si="4"/>
        <v>L</v>
      </c>
    </row>
    <row r="37" spans="1:9" x14ac:dyDescent="0.25">
      <c r="A37" t="s">
        <v>68</v>
      </c>
      <c r="B37" t="s">
        <v>98</v>
      </c>
      <c r="C37" t="s">
        <v>6</v>
      </c>
      <c r="E37" s="1" t="str">
        <f t="shared" si="1"/>
        <v>Home</v>
      </c>
      <c r="F37" s="3">
        <f t="shared" si="2"/>
        <v>2</v>
      </c>
      <c r="G37" s="3">
        <f t="shared" si="3"/>
        <v>6</v>
      </c>
      <c r="H37" s="3">
        <f t="shared" si="0"/>
        <v>8</v>
      </c>
      <c r="I37" s="3" t="str">
        <f t="shared" si="4"/>
        <v>L</v>
      </c>
    </row>
    <row r="38" spans="1:9" x14ac:dyDescent="0.25">
      <c r="A38" t="s">
        <v>71</v>
      </c>
      <c r="B38" t="s">
        <v>115</v>
      </c>
      <c r="C38" t="s">
        <v>266</v>
      </c>
      <c r="E38" s="1" t="str">
        <f t="shared" si="1"/>
        <v>Away</v>
      </c>
      <c r="F38" s="3">
        <f t="shared" si="2"/>
        <v>8</v>
      </c>
      <c r="G38" s="3">
        <f t="shared" si="3"/>
        <v>10</v>
      </c>
      <c r="H38" s="3">
        <f t="shared" si="0"/>
        <v>18</v>
      </c>
      <c r="I38" s="3" t="str">
        <f t="shared" si="4"/>
        <v>L</v>
      </c>
    </row>
    <row r="39" spans="1:9" x14ac:dyDescent="0.25">
      <c r="A39" t="s">
        <v>209</v>
      </c>
      <c r="B39" t="s">
        <v>23</v>
      </c>
      <c r="C39" t="s">
        <v>130</v>
      </c>
      <c r="E39" s="1" t="str">
        <f t="shared" si="1"/>
        <v>Home</v>
      </c>
      <c r="F39" s="3">
        <f t="shared" si="2"/>
        <v>9</v>
      </c>
      <c r="G39" s="3">
        <f t="shared" si="3"/>
        <v>2</v>
      </c>
      <c r="H39" s="3">
        <f t="shared" si="0"/>
        <v>11</v>
      </c>
      <c r="I39" s="3" t="str">
        <f t="shared" si="4"/>
        <v>W</v>
      </c>
    </row>
    <row r="40" spans="1:9" x14ac:dyDescent="0.25">
      <c r="A40" t="s">
        <v>209</v>
      </c>
      <c r="B40" t="s">
        <v>23</v>
      </c>
      <c r="C40" t="s">
        <v>224</v>
      </c>
      <c r="E40" s="1" t="str">
        <f t="shared" si="1"/>
        <v>Home</v>
      </c>
      <c r="F40" s="3">
        <f t="shared" si="2"/>
        <v>0</v>
      </c>
      <c r="G40" s="3">
        <f t="shared" si="3"/>
        <v>6</v>
      </c>
      <c r="H40" s="3">
        <f t="shared" si="0"/>
        <v>6</v>
      </c>
      <c r="I40" s="3" t="str">
        <f t="shared" si="4"/>
        <v>L</v>
      </c>
    </row>
    <row r="41" spans="1:9" x14ac:dyDescent="0.25">
      <c r="A41" t="s">
        <v>76</v>
      </c>
      <c r="B41" t="s">
        <v>315</v>
      </c>
      <c r="C41" t="s">
        <v>240</v>
      </c>
      <c r="E41" s="1" t="str">
        <f t="shared" si="1"/>
        <v>Away</v>
      </c>
      <c r="F41" s="3">
        <f t="shared" si="2"/>
        <v>1</v>
      </c>
      <c r="G41" s="3">
        <f t="shared" si="3"/>
        <v>3</v>
      </c>
      <c r="H41" s="3">
        <f t="shared" si="0"/>
        <v>4</v>
      </c>
      <c r="I41" s="3" t="str">
        <f t="shared" si="4"/>
        <v>L</v>
      </c>
    </row>
    <row r="42" spans="1:9" x14ac:dyDescent="0.25">
      <c r="A42" t="s">
        <v>78</v>
      </c>
      <c r="B42" t="s">
        <v>315</v>
      </c>
      <c r="C42" t="s">
        <v>240</v>
      </c>
      <c r="E42" s="1" t="str">
        <f t="shared" si="1"/>
        <v>Away</v>
      </c>
      <c r="F42" s="3">
        <f t="shared" si="2"/>
        <v>1</v>
      </c>
      <c r="G42" s="3">
        <f t="shared" si="3"/>
        <v>3</v>
      </c>
      <c r="H42" s="3">
        <f t="shared" si="0"/>
        <v>4</v>
      </c>
      <c r="I42" s="3" t="str">
        <f t="shared" si="4"/>
        <v>L</v>
      </c>
    </row>
    <row r="43" spans="1:9" x14ac:dyDescent="0.25">
      <c r="A43" t="s">
        <v>80</v>
      </c>
      <c r="B43" t="s">
        <v>98</v>
      </c>
      <c r="C43" t="s">
        <v>279</v>
      </c>
      <c r="E43" s="1" t="str">
        <f t="shared" si="1"/>
        <v>Home</v>
      </c>
      <c r="F43" s="3">
        <f t="shared" si="2"/>
        <v>7</v>
      </c>
      <c r="G43" s="3">
        <f t="shared" si="3"/>
        <v>2</v>
      </c>
      <c r="H43" s="3">
        <f t="shared" si="0"/>
        <v>9</v>
      </c>
      <c r="I43" s="3" t="str">
        <f t="shared" si="4"/>
        <v>W</v>
      </c>
    </row>
    <row r="44" spans="1:9" x14ac:dyDescent="0.25">
      <c r="A44" t="s">
        <v>81</v>
      </c>
      <c r="B44" t="s">
        <v>98</v>
      </c>
      <c r="C44" t="s">
        <v>50</v>
      </c>
      <c r="E44" s="1" t="str">
        <f t="shared" si="1"/>
        <v>Home</v>
      </c>
      <c r="F44" s="3">
        <f t="shared" si="2"/>
        <v>3</v>
      </c>
      <c r="G44" s="3">
        <f t="shared" si="3"/>
        <v>4</v>
      </c>
      <c r="H44" s="3">
        <f t="shared" si="0"/>
        <v>7</v>
      </c>
      <c r="I44" s="3" t="str">
        <f t="shared" si="4"/>
        <v>L</v>
      </c>
    </row>
    <row r="45" spans="1:9" x14ac:dyDescent="0.25">
      <c r="A45" t="s">
        <v>82</v>
      </c>
      <c r="B45" t="s">
        <v>321</v>
      </c>
      <c r="C45" t="s">
        <v>270</v>
      </c>
      <c r="E45" s="1" t="str">
        <f t="shared" si="1"/>
        <v>Home</v>
      </c>
      <c r="F45" s="3">
        <f t="shared" si="2"/>
        <v>4</v>
      </c>
      <c r="G45" s="3">
        <f t="shared" si="3"/>
        <v>3</v>
      </c>
      <c r="H45" s="3">
        <f t="shared" si="0"/>
        <v>7</v>
      </c>
      <c r="I45" s="3" t="str">
        <f t="shared" si="4"/>
        <v>W</v>
      </c>
    </row>
    <row r="46" spans="1:9" x14ac:dyDescent="0.25">
      <c r="A46" t="s">
        <v>84</v>
      </c>
      <c r="B46" t="s">
        <v>319</v>
      </c>
      <c r="C46" t="s">
        <v>322</v>
      </c>
      <c r="E46" s="1" t="str">
        <f t="shared" si="1"/>
        <v>Away</v>
      </c>
      <c r="F46" s="3">
        <f t="shared" si="2"/>
        <v>6</v>
      </c>
      <c r="G46" s="3">
        <f t="shared" si="3"/>
        <v>7</v>
      </c>
      <c r="H46" s="3">
        <f t="shared" si="0"/>
        <v>13</v>
      </c>
      <c r="I46" s="3" t="str">
        <f t="shared" si="4"/>
        <v>L</v>
      </c>
    </row>
    <row r="47" spans="1:9" x14ac:dyDescent="0.25">
      <c r="A47" t="s">
        <v>86</v>
      </c>
      <c r="B47" t="s">
        <v>333</v>
      </c>
      <c r="C47" t="s">
        <v>36</v>
      </c>
      <c r="E47" s="1" t="str">
        <f t="shared" si="1"/>
        <v>Home</v>
      </c>
      <c r="F47" s="3">
        <f t="shared" si="2"/>
        <v>1</v>
      </c>
      <c r="G47" s="3">
        <f t="shared" si="3"/>
        <v>5</v>
      </c>
      <c r="H47" s="3">
        <f t="shared" si="0"/>
        <v>6</v>
      </c>
      <c r="I47" s="3" t="str">
        <f t="shared" si="4"/>
        <v>L</v>
      </c>
    </row>
    <row r="48" spans="1:9" x14ac:dyDescent="0.25">
      <c r="A48" t="s">
        <v>88</v>
      </c>
      <c r="B48" t="s">
        <v>315</v>
      </c>
      <c r="C48" t="s">
        <v>269</v>
      </c>
      <c r="E48" s="1" t="str">
        <f t="shared" si="1"/>
        <v>Away</v>
      </c>
      <c r="F48" s="3">
        <f t="shared" si="2"/>
        <v>2</v>
      </c>
      <c r="G48" s="3">
        <f t="shared" si="3"/>
        <v>3</v>
      </c>
      <c r="H48" s="3">
        <f t="shared" si="0"/>
        <v>5</v>
      </c>
      <c r="I48" s="3" t="str">
        <f t="shared" si="4"/>
        <v>L</v>
      </c>
    </row>
    <row r="49" spans="1:9" x14ac:dyDescent="0.25">
      <c r="A49" t="s">
        <v>91</v>
      </c>
      <c r="B49" t="s">
        <v>315</v>
      </c>
      <c r="C49" t="s">
        <v>269</v>
      </c>
      <c r="E49" s="1" t="str">
        <f t="shared" si="1"/>
        <v>Away</v>
      </c>
      <c r="F49" s="3">
        <f t="shared" si="2"/>
        <v>2</v>
      </c>
      <c r="G49" s="3">
        <f t="shared" si="3"/>
        <v>3</v>
      </c>
      <c r="H49" s="3">
        <f t="shared" si="0"/>
        <v>5</v>
      </c>
      <c r="I49" s="3" t="str">
        <f t="shared" si="4"/>
        <v>L</v>
      </c>
    </row>
    <row r="50" spans="1:9" x14ac:dyDescent="0.25">
      <c r="A50" t="s">
        <v>93</v>
      </c>
      <c r="B50" t="s">
        <v>120</v>
      </c>
      <c r="C50" t="s">
        <v>132</v>
      </c>
      <c r="E50" s="1" t="str">
        <f t="shared" si="1"/>
        <v>Away</v>
      </c>
      <c r="F50" s="3">
        <f t="shared" si="2"/>
        <v>3</v>
      </c>
      <c r="G50" s="3">
        <f t="shared" si="3"/>
        <v>6</v>
      </c>
      <c r="H50" s="3">
        <f t="shared" si="0"/>
        <v>9</v>
      </c>
      <c r="I50" s="3" t="str">
        <f t="shared" si="4"/>
        <v>L</v>
      </c>
    </row>
    <row r="51" spans="1:9" x14ac:dyDescent="0.25">
      <c r="A51" t="s">
        <v>96</v>
      </c>
      <c r="B51" t="s">
        <v>120</v>
      </c>
      <c r="C51" t="s">
        <v>48</v>
      </c>
      <c r="E51" s="1" t="str">
        <f t="shared" si="1"/>
        <v>Away</v>
      </c>
      <c r="F51" s="3">
        <f t="shared" si="2"/>
        <v>4</v>
      </c>
      <c r="G51" s="3">
        <f t="shared" si="3"/>
        <v>5</v>
      </c>
      <c r="H51" s="3">
        <f t="shared" si="0"/>
        <v>9</v>
      </c>
      <c r="I51" s="3" t="str">
        <f t="shared" si="4"/>
        <v>L</v>
      </c>
    </row>
    <row r="52" spans="1:9" x14ac:dyDescent="0.25">
      <c r="A52" t="s">
        <v>97</v>
      </c>
      <c r="B52" t="s">
        <v>333</v>
      </c>
      <c r="C52" t="s">
        <v>335</v>
      </c>
      <c r="E52" s="1" t="str">
        <f t="shared" si="1"/>
        <v>Home</v>
      </c>
      <c r="F52" s="3">
        <f t="shared" si="2"/>
        <v>6</v>
      </c>
      <c r="G52" s="3">
        <f t="shared" si="3"/>
        <v>4</v>
      </c>
      <c r="H52" s="3">
        <f t="shared" si="0"/>
        <v>10</v>
      </c>
      <c r="I52" s="3" t="str">
        <f t="shared" si="4"/>
        <v>W</v>
      </c>
    </row>
    <row r="53" spans="1:9" x14ac:dyDescent="0.25">
      <c r="A53" t="s">
        <v>97</v>
      </c>
      <c r="B53" t="s">
        <v>333</v>
      </c>
      <c r="C53" t="s">
        <v>279</v>
      </c>
      <c r="E53" s="1" t="str">
        <f t="shared" si="1"/>
        <v>Home</v>
      </c>
      <c r="F53" s="3">
        <f t="shared" si="2"/>
        <v>7</v>
      </c>
      <c r="G53" s="3">
        <f t="shared" si="3"/>
        <v>2</v>
      </c>
      <c r="H53" s="3">
        <f t="shared" si="0"/>
        <v>9</v>
      </c>
      <c r="I53" s="3" t="str">
        <f t="shared" si="4"/>
        <v>W</v>
      </c>
    </row>
    <row r="54" spans="1:9" x14ac:dyDescent="0.25">
      <c r="A54" t="s">
        <v>100</v>
      </c>
      <c r="B54" t="s">
        <v>333</v>
      </c>
      <c r="C54" t="s">
        <v>125</v>
      </c>
      <c r="E54" s="1" t="str">
        <f t="shared" si="1"/>
        <v>Home</v>
      </c>
      <c r="F54" s="3">
        <f t="shared" si="2"/>
        <v>0</v>
      </c>
      <c r="G54" s="3">
        <f t="shared" si="3"/>
        <v>4</v>
      </c>
      <c r="H54" s="3">
        <f t="shared" si="0"/>
        <v>4</v>
      </c>
      <c r="I54" s="3" t="str">
        <f t="shared" si="4"/>
        <v>L</v>
      </c>
    </row>
    <row r="55" spans="1:9" x14ac:dyDescent="0.25">
      <c r="A55" t="s">
        <v>102</v>
      </c>
      <c r="B55" t="s">
        <v>341</v>
      </c>
      <c r="C55" t="s">
        <v>276</v>
      </c>
      <c r="E55" s="1" t="str">
        <f t="shared" si="1"/>
        <v>Away</v>
      </c>
      <c r="F55" s="3">
        <f t="shared" si="2"/>
        <v>2</v>
      </c>
      <c r="G55" s="3">
        <f t="shared" si="3"/>
        <v>4</v>
      </c>
      <c r="H55" s="3">
        <f t="shared" si="0"/>
        <v>6</v>
      </c>
      <c r="I55" s="3" t="str">
        <f t="shared" si="4"/>
        <v>L</v>
      </c>
    </row>
    <row r="56" spans="1:9" x14ac:dyDescent="0.25">
      <c r="A56" t="s">
        <v>102</v>
      </c>
      <c r="B56" t="s">
        <v>341</v>
      </c>
      <c r="C56" t="s">
        <v>409</v>
      </c>
      <c r="E56" s="1" t="str">
        <f t="shared" si="1"/>
        <v>Away</v>
      </c>
      <c r="F56" s="3">
        <f t="shared" si="2"/>
        <v>9</v>
      </c>
      <c r="G56" s="3">
        <f t="shared" si="3"/>
        <v>0</v>
      </c>
      <c r="H56" s="3">
        <f t="shared" si="0"/>
        <v>9</v>
      </c>
      <c r="I56" s="3" t="str">
        <f t="shared" si="4"/>
        <v>W</v>
      </c>
    </row>
    <row r="57" spans="1:9" x14ac:dyDescent="0.25">
      <c r="A57" t="s">
        <v>105</v>
      </c>
      <c r="B57" t="s">
        <v>315</v>
      </c>
      <c r="C57" t="s">
        <v>200</v>
      </c>
      <c r="E57" s="1" t="str">
        <f t="shared" si="1"/>
        <v>Away</v>
      </c>
      <c r="F57" s="3">
        <f t="shared" si="2"/>
        <v>8</v>
      </c>
      <c r="G57" s="3">
        <f t="shared" si="3"/>
        <v>0</v>
      </c>
      <c r="H57" s="3">
        <f t="shared" si="0"/>
        <v>8</v>
      </c>
      <c r="I57" s="3" t="str">
        <f t="shared" si="4"/>
        <v>W</v>
      </c>
    </row>
    <row r="58" spans="1:9" x14ac:dyDescent="0.25">
      <c r="A58" t="s">
        <v>107</v>
      </c>
      <c r="B58" t="s">
        <v>315</v>
      </c>
      <c r="C58" t="s">
        <v>269</v>
      </c>
      <c r="E58" s="1" t="str">
        <f t="shared" si="1"/>
        <v>Away</v>
      </c>
      <c r="F58" s="3">
        <f t="shared" si="2"/>
        <v>2</v>
      </c>
      <c r="G58" s="3">
        <f t="shared" si="3"/>
        <v>3</v>
      </c>
      <c r="H58" s="3">
        <f t="shared" si="0"/>
        <v>5</v>
      </c>
      <c r="I58" s="3" t="str">
        <f t="shared" si="4"/>
        <v>L</v>
      </c>
    </row>
    <row r="59" spans="1:9" x14ac:dyDescent="0.25">
      <c r="A59" t="s">
        <v>108</v>
      </c>
      <c r="B59" t="s">
        <v>319</v>
      </c>
      <c r="C59" t="s">
        <v>368</v>
      </c>
      <c r="E59" s="1" t="str">
        <f t="shared" si="1"/>
        <v>Away</v>
      </c>
      <c r="F59" s="3">
        <f t="shared" si="2"/>
        <v>7</v>
      </c>
      <c r="G59" s="3">
        <f t="shared" si="3"/>
        <v>11</v>
      </c>
      <c r="H59" s="3">
        <f t="shared" si="0"/>
        <v>18</v>
      </c>
      <c r="I59" s="3" t="str">
        <f t="shared" si="4"/>
        <v>L</v>
      </c>
    </row>
    <row r="60" spans="1:9" x14ac:dyDescent="0.25">
      <c r="A60" t="s">
        <v>110</v>
      </c>
      <c r="B60" t="s">
        <v>321</v>
      </c>
      <c r="C60" t="s">
        <v>217</v>
      </c>
      <c r="E60" s="1" t="str">
        <f t="shared" si="1"/>
        <v>Home</v>
      </c>
      <c r="F60" s="3">
        <f t="shared" si="2"/>
        <v>3</v>
      </c>
      <c r="G60" s="3">
        <f t="shared" si="3"/>
        <v>0</v>
      </c>
      <c r="H60" s="3">
        <f t="shared" si="0"/>
        <v>3</v>
      </c>
      <c r="I60" s="3" t="str">
        <f t="shared" si="4"/>
        <v>W</v>
      </c>
    </row>
    <row r="61" spans="1:9" x14ac:dyDescent="0.25">
      <c r="A61" t="s">
        <v>111</v>
      </c>
      <c r="B61" t="s">
        <v>333</v>
      </c>
      <c r="C61" t="s">
        <v>83</v>
      </c>
      <c r="E61" s="1" t="str">
        <f t="shared" si="1"/>
        <v>Home</v>
      </c>
      <c r="F61" s="3">
        <f t="shared" si="2"/>
        <v>4</v>
      </c>
      <c r="G61" s="3">
        <f t="shared" si="3"/>
        <v>7</v>
      </c>
      <c r="H61" s="3">
        <f t="shared" si="0"/>
        <v>11</v>
      </c>
      <c r="I61" s="3" t="str">
        <f t="shared" si="4"/>
        <v>L</v>
      </c>
    </row>
    <row r="62" spans="1:9" x14ac:dyDescent="0.25">
      <c r="A62" t="s">
        <v>112</v>
      </c>
      <c r="B62" t="s">
        <v>332</v>
      </c>
      <c r="C62" t="s">
        <v>33</v>
      </c>
      <c r="E62" s="1" t="str">
        <f t="shared" si="1"/>
        <v>Away</v>
      </c>
      <c r="F62" s="3">
        <f t="shared" si="2"/>
        <v>7</v>
      </c>
      <c r="G62" s="3">
        <f t="shared" si="3"/>
        <v>4</v>
      </c>
      <c r="H62" s="3">
        <f t="shared" si="0"/>
        <v>11</v>
      </c>
      <c r="I62" s="3" t="str">
        <f t="shared" si="4"/>
        <v>W</v>
      </c>
    </row>
    <row r="63" spans="1:9" x14ac:dyDescent="0.25">
      <c r="A63" t="s">
        <v>114</v>
      </c>
      <c r="B63" t="s">
        <v>5</v>
      </c>
      <c r="C63" t="s">
        <v>28</v>
      </c>
      <c r="E63" s="1" t="str">
        <f t="shared" si="1"/>
        <v>Home</v>
      </c>
      <c r="F63" s="3">
        <f t="shared" si="2"/>
        <v>4</v>
      </c>
      <c r="G63" s="3">
        <f t="shared" si="3"/>
        <v>2</v>
      </c>
      <c r="H63" s="3">
        <f t="shared" si="0"/>
        <v>6</v>
      </c>
      <c r="I63" s="3" t="str">
        <f t="shared" si="4"/>
        <v>W</v>
      </c>
    </row>
    <row r="64" spans="1:9" x14ac:dyDescent="0.25">
      <c r="A64" t="s">
        <v>117</v>
      </c>
      <c r="B64" t="s">
        <v>5</v>
      </c>
      <c r="C64" t="s">
        <v>445</v>
      </c>
      <c r="E64" s="1" t="str">
        <f t="shared" si="1"/>
        <v>Home</v>
      </c>
      <c r="F64" s="3">
        <f t="shared" si="2"/>
        <v>17</v>
      </c>
      <c r="G64" s="3">
        <f t="shared" si="3"/>
        <v>2</v>
      </c>
      <c r="H64" s="3">
        <f t="shared" si="0"/>
        <v>19</v>
      </c>
      <c r="I64" s="3" t="str">
        <f t="shared" si="4"/>
        <v>W</v>
      </c>
    </row>
    <row r="65" spans="1:10" x14ac:dyDescent="0.25">
      <c r="A65" t="s">
        <v>119</v>
      </c>
      <c r="B65" t="s">
        <v>115</v>
      </c>
      <c r="C65" t="s">
        <v>280</v>
      </c>
      <c r="E65" s="1" t="str">
        <f t="shared" si="1"/>
        <v>Away</v>
      </c>
      <c r="F65" s="3">
        <f t="shared" si="2"/>
        <v>8</v>
      </c>
      <c r="G65" s="3">
        <f t="shared" si="3"/>
        <v>3</v>
      </c>
      <c r="H65" s="3">
        <f t="shared" si="0"/>
        <v>11</v>
      </c>
      <c r="I65" s="3" t="str">
        <f t="shared" si="4"/>
        <v>W</v>
      </c>
    </row>
    <row r="66" spans="1:10" x14ac:dyDescent="0.25">
      <c r="A66" t="s">
        <v>122</v>
      </c>
      <c r="B66" t="s">
        <v>98</v>
      </c>
      <c r="C66" t="s">
        <v>118</v>
      </c>
      <c r="E66" s="1" t="str">
        <f t="shared" si="1"/>
        <v>Home</v>
      </c>
      <c r="F66" s="3">
        <f t="shared" si="2"/>
        <v>9</v>
      </c>
      <c r="G66" s="3">
        <f t="shared" si="3"/>
        <v>8</v>
      </c>
      <c r="H66" s="3">
        <f t="shared" si="0"/>
        <v>17</v>
      </c>
      <c r="I66" s="3" t="str">
        <f t="shared" si="4"/>
        <v>W</v>
      </c>
    </row>
    <row r="67" spans="1:10" x14ac:dyDescent="0.25">
      <c r="A67" t="s">
        <v>123</v>
      </c>
      <c r="B67" t="s">
        <v>343</v>
      </c>
      <c r="C67" t="s">
        <v>253</v>
      </c>
      <c r="E67" s="1" t="str">
        <f t="shared" si="1"/>
        <v>Home</v>
      </c>
      <c r="F67" s="3">
        <f t="shared" si="2"/>
        <v>4</v>
      </c>
      <c r="G67" s="3">
        <f t="shared" si="3"/>
        <v>0</v>
      </c>
      <c r="H67" s="3">
        <f t="shared" ref="H67:H74" si="6">F67+G67</f>
        <v>4</v>
      </c>
      <c r="I67" s="3" t="str">
        <f t="shared" si="4"/>
        <v>W</v>
      </c>
    </row>
    <row r="68" spans="1:10" x14ac:dyDescent="0.25">
      <c r="A68" t="s">
        <v>123</v>
      </c>
      <c r="B68" t="s">
        <v>343</v>
      </c>
      <c r="C68" t="s">
        <v>236</v>
      </c>
      <c r="E68" s="1" t="str">
        <f t="shared" ref="E68:E74" si="7">IF(LEFT(B68,1)="@","Away","Home")</f>
        <v>Home</v>
      </c>
      <c r="F68" s="3">
        <f t="shared" ref="F68:F74" si="8">_xlfn.NUMBERVALUE(MID(LEFT(C68,FIND("-",C68)-1),FIND(" ",C68)+1,LEN(C68)))</f>
        <v>7</v>
      </c>
      <c r="G68" s="3">
        <f t="shared" ref="G68:G74" si="9">_xlfn.NUMBERVALUE(RIGHT(C68,LEN(C68)-FIND("-",C68)))</f>
        <v>0</v>
      </c>
      <c r="H68" s="3">
        <f t="shared" si="6"/>
        <v>7</v>
      </c>
      <c r="I68" s="3" t="str">
        <f t="shared" ref="I68:I74" si="10">LEFT(C68,1)</f>
        <v>W</v>
      </c>
    </row>
    <row r="69" spans="1:10" x14ac:dyDescent="0.25">
      <c r="A69" t="s">
        <v>126</v>
      </c>
      <c r="B69" t="s">
        <v>120</v>
      </c>
      <c r="C69" t="s">
        <v>195</v>
      </c>
      <c r="E69" s="1" t="str">
        <f t="shared" si="7"/>
        <v>Away</v>
      </c>
      <c r="F69" s="3">
        <f t="shared" si="8"/>
        <v>8</v>
      </c>
      <c r="G69" s="3">
        <f t="shared" si="9"/>
        <v>1</v>
      </c>
      <c r="H69" s="3">
        <f t="shared" si="6"/>
        <v>9</v>
      </c>
      <c r="I69" s="3" t="str">
        <f t="shared" si="10"/>
        <v>W</v>
      </c>
    </row>
    <row r="70" spans="1:10" x14ac:dyDescent="0.25">
      <c r="A70" t="s">
        <v>127</v>
      </c>
      <c r="B70" t="s">
        <v>120</v>
      </c>
      <c r="C70" t="s">
        <v>297</v>
      </c>
      <c r="E70" s="1" t="str">
        <f t="shared" si="7"/>
        <v>Away</v>
      </c>
      <c r="F70" s="3">
        <f t="shared" si="8"/>
        <v>2</v>
      </c>
      <c r="G70" s="3">
        <f t="shared" si="9"/>
        <v>10</v>
      </c>
      <c r="H70" s="3">
        <f t="shared" si="6"/>
        <v>12</v>
      </c>
      <c r="I70" s="3" t="str">
        <f t="shared" si="10"/>
        <v>L</v>
      </c>
    </row>
    <row r="71" spans="1:10" x14ac:dyDescent="0.25">
      <c r="A71" t="s">
        <v>129</v>
      </c>
      <c r="B71" t="s">
        <v>115</v>
      </c>
      <c r="C71" t="s">
        <v>257</v>
      </c>
      <c r="E71" s="1" t="str">
        <f t="shared" si="7"/>
        <v>Away</v>
      </c>
      <c r="F71" s="3">
        <f t="shared" si="8"/>
        <v>13</v>
      </c>
      <c r="G71" s="3">
        <f t="shared" si="9"/>
        <v>4</v>
      </c>
      <c r="H71" s="3">
        <f t="shared" si="6"/>
        <v>17</v>
      </c>
      <c r="I71" s="3" t="str">
        <f t="shared" si="10"/>
        <v>W</v>
      </c>
    </row>
    <row r="72" spans="1:10" x14ac:dyDescent="0.25">
      <c r="A72" t="s">
        <v>131</v>
      </c>
      <c r="B72" t="s">
        <v>98</v>
      </c>
      <c r="C72" t="s">
        <v>226</v>
      </c>
      <c r="E72" s="1" t="str">
        <f t="shared" si="7"/>
        <v>Home</v>
      </c>
      <c r="F72" s="3">
        <f t="shared" si="8"/>
        <v>3</v>
      </c>
      <c r="G72" s="3">
        <f t="shared" si="9"/>
        <v>2</v>
      </c>
      <c r="H72" s="3">
        <f t="shared" si="6"/>
        <v>5</v>
      </c>
      <c r="I72" s="3" t="str">
        <f t="shared" si="10"/>
        <v>W</v>
      </c>
    </row>
    <row r="73" spans="1:10" x14ac:dyDescent="0.25">
      <c r="A73" t="s">
        <v>133</v>
      </c>
      <c r="B73" t="s">
        <v>120</v>
      </c>
      <c r="C73" t="s">
        <v>228</v>
      </c>
      <c r="E73" s="1" t="str">
        <f t="shared" si="7"/>
        <v>Away</v>
      </c>
      <c r="F73" s="3">
        <f t="shared" si="8"/>
        <v>10</v>
      </c>
      <c r="G73" s="3">
        <f t="shared" si="9"/>
        <v>3</v>
      </c>
      <c r="H73" s="3">
        <f t="shared" si="6"/>
        <v>13</v>
      </c>
      <c r="I73" s="3" t="str">
        <f t="shared" si="10"/>
        <v>W</v>
      </c>
    </row>
    <row r="74" spans="1:10" x14ac:dyDescent="0.25">
      <c r="A74" t="s">
        <v>134</v>
      </c>
      <c r="B74" t="s">
        <v>74</v>
      </c>
      <c r="C74" t="s">
        <v>276</v>
      </c>
      <c r="E74" s="1" t="str">
        <f t="shared" si="7"/>
        <v>Home</v>
      </c>
      <c r="F74" s="3">
        <f t="shared" si="8"/>
        <v>2</v>
      </c>
      <c r="G74" s="3">
        <f t="shared" si="9"/>
        <v>4</v>
      </c>
      <c r="H74" s="3">
        <f t="shared" si="6"/>
        <v>6</v>
      </c>
      <c r="I74" s="3" t="str">
        <f t="shared" si="10"/>
        <v>L</v>
      </c>
    </row>
    <row r="76" spans="1:10" x14ac:dyDescent="0.25">
      <c r="A76" t="s">
        <v>1</v>
      </c>
      <c r="B76" t="s">
        <v>2</v>
      </c>
      <c r="C76" t="s">
        <v>469</v>
      </c>
      <c r="D76" t="s">
        <v>135</v>
      </c>
      <c r="E76" t="s">
        <v>136</v>
      </c>
      <c r="F76" t="s">
        <v>137</v>
      </c>
      <c r="G76" t="s">
        <v>138</v>
      </c>
      <c r="H76" t="s">
        <v>3</v>
      </c>
      <c r="I76" t="s">
        <v>494</v>
      </c>
      <c r="J76" t="s">
        <v>495</v>
      </c>
    </row>
    <row r="77" spans="1:10" x14ac:dyDescent="0.25">
      <c r="A77" t="s">
        <v>448</v>
      </c>
      <c r="B77" t="s">
        <v>98</v>
      </c>
      <c r="C77" t="s">
        <v>205</v>
      </c>
      <c r="D77" t="str">
        <f>IF(LEFT(Table23[[#This Row],[Opponent]],1)="@","Away","Home")</f>
        <v>Home</v>
      </c>
      <c r="E77">
        <f>_xlfn.NUMBERVALUE(MID(LEFT(Table23[[#This Row],[Score]],FIND("-",Table23[[#This Row],[Score]])-1),FIND(" ",Table23[[#This Row],[Score]])+1,LEN(Table23[[#This Row],[Score]])))</f>
        <v>5</v>
      </c>
      <c r="F77">
        <f>_xlfn.NUMBERVALUE(RIGHT(Table23[[#This Row],[Score]],LEN(Table23[[#This Row],[Score]])-FIND("-",Table23[[#This Row],[Score]])))</f>
        <v>6</v>
      </c>
      <c r="G77">
        <f t="shared" ref="G77" si="11">E77+F77</f>
        <v>11</v>
      </c>
      <c r="H77" t="str">
        <f>LEFT(Table23[[#This Row],[Score]],1)</f>
        <v>L</v>
      </c>
      <c r="I77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77" s="33">
        <f>VLOOKUP(Table23[[#This Row],[OPP]],Raw!$L$2:$S$23,7,FALSE)-Raw!$U$2</f>
        <v>-1.4060978308986276</v>
      </c>
    </row>
    <row r="78" spans="1:10" x14ac:dyDescent="0.25">
      <c r="A78" t="s">
        <v>449</v>
      </c>
      <c r="B78" t="s">
        <v>115</v>
      </c>
      <c r="C78" t="s">
        <v>217</v>
      </c>
      <c r="D78" t="str">
        <f>IF(LEFT(Table23[[#This Row],[Opponent]],1)="@","Away","Home")</f>
        <v>Away</v>
      </c>
      <c r="E78">
        <f>_xlfn.NUMBERVALUE(MID(LEFT(Table23[[#This Row],[Score]],FIND("-",Table23[[#This Row],[Score]])-1),FIND(" ",Table23[[#This Row],[Score]])+1,LEN(Table23[[#This Row],[Score]])))</f>
        <v>3</v>
      </c>
      <c r="F78">
        <f>_xlfn.NUMBERVALUE(RIGHT(Table23[[#This Row],[Score]],LEN(Table23[[#This Row],[Score]])-FIND("-",Table23[[#This Row],[Score]])))</f>
        <v>0</v>
      </c>
      <c r="G78">
        <f t="shared" ref="G78:G98" si="12">E78+F78</f>
        <v>3</v>
      </c>
      <c r="H78" t="str">
        <f>LEFT(Table23[[#This Row],[Score]],1)</f>
        <v>W</v>
      </c>
      <c r="I78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78" s="33">
        <f>VLOOKUP(Table23[[#This Row],[OPP]],Raw!$L$2:$S$23,7,FALSE)-Raw!$U$2</f>
        <v>-1.4060978308986276</v>
      </c>
    </row>
    <row r="79" spans="1:10" x14ac:dyDescent="0.25">
      <c r="A79" t="s">
        <v>450</v>
      </c>
      <c r="B79" t="s">
        <v>321</v>
      </c>
      <c r="C79" t="s">
        <v>323</v>
      </c>
      <c r="D79" t="str">
        <f>IF(LEFT(Table23[[#This Row],[Opponent]],1)="@","Away","Home")</f>
        <v>Home</v>
      </c>
      <c r="E79">
        <f>_xlfn.NUMBERVALUE(MID(LEFT(Table23[[#This Row],[Score]],FIND("-",Table23[[#This Row],[Score]])-1),FIND(" ",Table23[[#This Row],[Score]])+1,LEN(Table23[[#This Row],[Score]])))</f>
        <v>7</v>
      </c>
      <c r="F79">
        <f>_xlfn.NUMBERVALUE(RIGHT(Table23[[#This Row],[Score]],LEN(Table23[[#This Row],[Score]])-FIND("-",Table23[[#This Row],[Score]])))</f>
        <v>6</v>
      </c>
      <c r="G79">
        <f t="shared" si="12"/>
        <v>13</v>
      </c>
      <c r="H79" t="str">
        <f>LEFT(Table23[[#This Row],[Score]],1)</f>
        <v>W</v>
      </c>
      <c r="I79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79" s="33">
        <f>VLOOKUP(Table23[[#This Row],[OPP]],Raw!$L$2:$S$23,7,FALSE)-Raw!$U$2</f>
        <v>-1.5172089420097388</v>
      </c>
    </row>
    <row r="80" spans="1:10" x14ac:dyDescent="0.25">
      <c r="A80" t="s">
        <v>451</v>
      </c>
      <c r="B80" t="s">
        <v>321</v>
      </c>
      <c r="C80" t="s">
        <v>232</v>
      </c>
      <c r="D80" t="str">
        <f>IF(LEFT(Table23[[#This Row],[Opponent]],1)="@","Away","Home")</f>
        <v>Home</v>
      </c>
      <c r="E80">
        <f>_xlfn.NUMBERVALUE(MID(LEFT(Table23[[#This Row],[Score]],FIND("-",Table23[[#This Row],[Score]])-1),FIND(" ",Table23[[#This Row],[Score]])+1,LEN(Table23[[#This Row],[Score]])))</f>
        <v>8</v>
      </c>
      <c r="F80">
        <f>_xlfn.NUMBERVALUE(RIGHT(Table23[[#This Row],[Score]],LEN(Table23[[#This Row],[Score]])-FIND("-",Table23[[#This Row],[Score]])))</f>
        <v>6</v>
      </c>
      <c r="G80">
        <f t="shared" si="12"/>
        <v>14</v>
      </c>
      <c r="H80" t="str">
        <f>LEFT(Table23[[#This Row],[Score]],1)</f>
        <v>W</v>
      </c>
      <c r="I80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80" s="33">
        <f>VLOOKUP(Table23[[#This Row],[OPP]],Raw!$L$2:$S$23,7,FALSE)-Raw!$U$2</f>
        <v>-1.5172089420097388</v>
      </c>
    </row>
    <row r="81" spans="1:10" x14ac:dyDescent="0.25">
      <c r="A81" t="s">
        <v>453</v>
      </c>
      <c r="B81" t="s">
        <v>315</v>
      </c>
      <c r="C81" t="s">
        <v>244</v>
      </c>
      <c r="D81" t="str">
        <f>IF(LEFT(Table23[[#This Row],[Opponent]],1)="@","Away","Home")</f>
        <v>Away</v>
      </c>
      <c r="E81">
        <f>_xlfn.NUMBERVALUE(MID(LEFT(Table23[[#This Row],[Score]],FIND("-",Table23[[#This Row],[Score]])-1),FIND(" ",Table23[[#This Row],[Score]])+1,LEN(Table23[[#This Row],[Score]])))</f>
        <v>6</v>
      </c>
      <c r="F81">
        <f>_xlfn.NUMBERVALUE(RIGHT(Table23[[#This Row],[Score]],LEN(Table23[[#This Row],[Score]])-FIND("-",Table23[[#This Row],[Score]])))</f>
        <v>3</v>
      </c>
      <c r="G81">
        <f t="shared" si="12"/>
        <v>9</v>
      </c>
      <c r="H81" t="str">
        <f>LEFT(Table23[[#This Row],[Score]],1)</f>
        <v>W</v>
      </c>
      <c r="I81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81" s="33">
        <f>VLOOKUP(Table23[[#This Row],[OPP]],Raw!$L$2:$S$23,7,FALSE)-Raw!$U$2</f>
        <v>0.13556883576803896</v>
      </c>
    </row>
    <row r="82" spans="1:10" x14ac:dyDescent="0.25">
      <c r="A82" t="s">
        <v>454</v>
      </c>
      <c r="B82" t="s">
        <v>315</v>
      </c>
      <c r="C82" t="s">
        <v>335</v>
      </c>
      <c r="D82" t="str">
        <f>IF(LEFT(Table23[[#This Row],[Opponent]],1)="@","Away","Home")</f>
        <v>Away</v>
      </c>
      <c r="E82">
        <f>_xlfn.NUMBERVALUE(MID(LEFT(Table23[[#This Row],[Score]],FIND("-",Table23[[#This Row],[Score]])-1),FIND(" ",Table23[[#This Row],[Score]])+1,LEN(Table23[[#This Row],[Score]])))</f>
        <v>6</v>
      </c>
      <c r="F82">
        <f>_xlfn.NUMBERVALUE(RIGHT(Table23[[#This Row],[Score]],LEN(Table23[[#This Row],[Score]])-FIND("-",Table23[[#This Row],[Score]])))</f>
        <v>4</v>
      </c>
      <c r="G82">
        <f t="shared" si="12"/>
        <v>10</v>
      </c>
      <c r="H82" t="str">
        <f>LEFT(Table23[[#This Row],[Score]],1)</f>
        <v>W</v>
      </c>
      <c r="I82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82" s="33">
        <f>VLOOKUP(Table23[[#This Row],[OPP]],Raw!$L$2:$S$23,7,FALSE)-Raw!$U$2</f>
        <v>0.13556883576803896</v>
      </c>
    </row>
    <row r="83" spans="1:10" x14ac:dyDescent="0.25">
      <c r="A83" t="s">
        <v>455</v>
      </c>
      <c r="B83" t="s">
        <v>74</v>
      </c>
      <c r="C83" t="s">
        <v>402</v>
      </c>
      <c r="D83" t="str">
        <f>IF(LEFT(Table23[[#This Row],[Opponent]],1)="@","Away","Home")</f>
        <v>Home</v>
      </c>
      <c r="E83">
        <f>_xlfn.NUMBERVALUE(MID(LEFT(Table23[[#This Row],[Score]],FIND("-",Table23[[#This Row],[Score]])-1),FIND(" ",Table23[[#This Row],[Score]])+1,LEN(Table23[[#This Row],[Score]])))</f>
        <v>13</v>
      </c>
      <c r="F83">
        <f>_xlfn.NUMBERVALUE(RIGHT(Table23[[#This Row],[Score]],LEN(Table23[[#This Row],[Score]])-FIND("-",Table23[[#This Row],[Score]])))</f>
        <v>2</v>
      </c>
      <c r="G83">
        <f t="shared" si="12"/>
        <v>15</v>
      </c>
      <c r="H83" t="str">
        <f>LEFT(Table23[[#This Row],[Score]],1)</f>
        <v>W</v>
      </c>
      <c r="I83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83" s="33">
        <f>VLOOKUP(Table23[[#This Row],[OPP]],Raw!$L$2:$S$23,7,FALSE)-Raw!$U$2</f>
        <v>0.17977853842844585</v>
      </c>
    </row>
    <row r="84" spans="1:10" x14ac:dyDescent="0.25">
      <c r="A84" t="s">
        <v>456</v>
      </c>
      <c r="B84" t="s">
        <v>120</v>
      </c>
      <c r="C84" t="s">
        <v>15</v>
      </c>
      <c r="D84" t="str">
        <f>IF(LEFT(Table23[[#This Row],[Opponent]],1)="@","Away","Home")</f>
        <v>Away</v>
      </c>
      <c r="E84">
        <f>_xlfn.NUMBERVALUE(MID(LEFT(Table23[[#This Row],[Score]],FIND("-",Table23[[#This Row],[Score]])-1),FIND(" ",Table23[[#This Row],[Score]])+1,LEN(Table23[[#This Row],[Score]])))</f>
        <v>3</v>
      </c>
      <c r="F84">
        <f>_xlfn.NUMBERVALUE(RIGHT(Table23[[#This Row],[Score]],LEN(Table23[[#This Row],[Score]])-FIND("-",Table23[[#This Row],[Score]])))</f>
        <v>1</v>
      </c>
      <c r="G84">
        <f t="shared" si="12"/>
        <v>4</v>
      </c>
      <c r="H84" t="str">
        <f>LEFT(Table23[[#This Row],[Score]],1)</f>
        <v>W</v>
      </c>
      <c r="I84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84" s="33">
        <f>VLOOKUP(Table23[[#This Row],[OPP]],Raw!$L$2:$S$23,7,FALSE)-Raw!$U$2</f>
        <v>0.17977853842844585</v>
      </c>
    </row>
    <row r="85" spans="1:10" x14ac:dyDescent="0.25">
      <c r="A85" t="s">
        <v>470</v>
      </c>
      <c r="B85" t="s">
        <v>74</v>
      </c>
      <c r="C85" t="s">
        <v>270</v>
      </c>
      <c r="D85" t="str">
        <f>IF(LEFT(Table23[[#This Row],[Opponent]],1)="@","Away","Home")</f>
        <v>Home</v>
      </c>
      <c r="E85">
        <f>_xlfn.NUMBERVALUE(MID(LEFT(Table23[[#This Row],[Score]],FIND("-",Table23[[#This Row],[Score]])-1),FIND(" ",Table23[[#This Row],[Score]])+1,LEN(Table23[[#This Row],[Score]])))</f>
        <v>4</v>
      </c>
      <c r="F85">
        <f>_xlfn.NUMBERVALUE(RIGHT(Table23[[#This Row],[Score]],LEN(Table23[[#This Row],[Score]])-FIND("-",Table23[[#This Row],[Score]])))</f>
        <v>3</v>
      </c>
      <c r="G85">
        <f t="shared" si="12"/>
        <v>7</v>
      </c>
      <c r="H85" t="str">
        <f>LEFT(Table23[[#This Row],[Score]],1)</f>
        <v>W</v>
      </c>
      <c r="I85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85" s="33">
        <f>VLOOKUP(Table23[[#This Row],[OPP]],Raw!$L$2:$S$23,7,FALSE)-Raw!$U$2</f>
        <v>0.17977853842844585</v>
      </c>
    </row>
    <row r="86" spans="1:10" x14ac:dyDescent="0.25">
      <c r="A86" t="s">
        <v>457</v>
      </c>
      <c r="B86" t="s">
        <v>120</v>
      </c>
      <c r="C86" t="s">
        <v>327</v>
      </c>
      <c r="D86" t="str">
        <f>IF(LEFT(Table23[[#This Row],[Opponent]],1)="@","Away","Home")</f>
        <v>Away</v>
      </c>
      <c r="E86">
        <f>_xlfn.NUMBERVALUE(MID(LEFT(Table23[[#This Row],[Score]],FIND("-",Table23[[#This Row],[Score]])-1),FIND(" ",Table23[[#This Row],[Score]])+1,LEN(Table23[[#This Row],[Score]])))</f>
        <v>9</v>
      </c>
      <c r="F86">
        <f>_xlfn.NUMBERVALUE(RIGHT(Table23[[#This Row],[Score]],LEN(Table23[[#This Row],[Score]])-FIND("-",Table23[[#This Row],[Score]])))</f>
        <v>7</v>
      </c>
      <c r="G86">
        <f t="shared" si="12"/>
        <v>16</v>
      </c>
      <c r="H86" t="str">
        <f>LEFT(Table23[[#This Row],[Score]],1)</f>
        <v>W</v>
      </c>
      <c r="I86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86" s="33">
        <f>VLOOKUP(Table23[[#This Row],[OPP]],Raw!$L$2:$S$23,7,FALSE)-Raw!$U$2</f>
        <v>0.17977853842844585</v>
      </c>
    </row>
    <row r="87" spans="1:10" x14ac:dyDescent="0.25">
      <c r="A87" t="s">
        <v>458</v>
      </c>
      <c r="B87" t="s">
        <v>115</v>
      </c>
      <c r="C87" t="s">
        <v>283</v>
      </c>
      <c r="D87" t="str">
        <f>IF(LEFT(Table23[[#This Row],[Opponent]],1)="@","Away","Home")</f>
        <v>Away</v>
      </c>
      <c r="E87">
        <f>_xlfn.NUMBERVALUE(MID(LEFT(Table23[[#This Row],[Score]],FIND("-",Table23[[#This Row],[Score]])-1),FIND(" ",Table23[[#This Row],[Score]])+1,LEN(Table23[[#This Row],[Score]])))</f>
        <v>10</v>
      </c>
      <c r="F87">
        <f>_xlfn.NUMBERVALUE(RIGHT(Table23[[#This Row],[Score]],LEN(Table23[[#This Row],[Score]])-FIND("-",Table23[[#This Row],[Score]])))</f>
        <v>8</v>
      </c>
      <c r="G87">
        <f t="shared" si="12"/>
        <v>18</v>
      </c>
      <c r="H87" t="str">
        <f>LEFT(Table23[[#This Row],[Score]],1)</f>
        <v>W</v>
      </c>
      <c r="I87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87" s="33">
        <f>VLOOKUP(Table23[[#This Row],[OPP]],Raw!$L$2:$S$23,7,FALSE)-Raw!$U$2</f>
        <v>-1.4060978308986276</v>
      </c>
    </row>
    <row r="88" spans="1:10" x14ac:dyDescent="0.25">
      <c r="A88" t="s">
        <v>459</v>
      </c>
      <c r="B88" t="s">
        <v>115</v>
      </c>
      <c r="C88" t="s">
        <v>318</v>
      </c>
      <c r="D88" t="str">
        <f>IF(LEFT(Table23[[#This Row],[Opponent]],1)="@","Away","Home")</f>
        <v>Away</v>
      </c>
      <c r="E88">
        <f>_xlfn.NUMBERVALUE(MID(LEFT(Table23[[#This Row],[Score]],FIND("-",Table23[[#This Row],[Score]])-1),FIND(" ",Table23[[#This Row],[Score]])+1,LEN(Table23[[#This Row],[Score]])))</f>
        <v>11</v>
      </c>
      <c r="F88">
        <f>_xlfn.NUMBERVALUE(RIGHT(Table23[[#This Row],[Score]],LEN(Table23[[#This Row],[Score]])-FIND("-",Table23[[#This Row],[Score]])))</f>
        <v>4</v>
      </c>
      <c r="G88">
        <f t="shared" si="12"/>
        <v>15</v>
      </c>
      <c r="H88" t="str">
        <f>LEFT(Table23[[#This Row],[Score]],1)</f>
        <v>W</v>
      </c>
      <c r="I88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88" s="33">
        <f>VLOOKUP(Table23[[#This Row],[OPP]],Raw!$L$2:$S$23,7,FALSE)-Raw!$U$2</f>
        <v>-1.4060978308986276</v>
      </c>
    </row>
    <row r="89" spans="1:10" x14ac:dyDescent="0.25">
      <c r="A89" t="s">
        <v>460</v>
      </c>
      <c r="B89" t="s">
        <v>52</v>
      </c>
      <c r="C89" t="s">
        <v>351</v>
      </c>
      <c r="D89" t="str">
        <f>IF(LEFT(Table23[[#This Row],[Opponent]],1)="@","Away","Home")</f>
        <v>Home</v>
      </c>
      <c r="E89">
        <f>_xlfn.NUMBERVALUE(MID(LEFT(Table23[[#This Row],[Score]],FIND("-",Table23[[#This Row],[Score]])-1),FIND(" ",Table23[[#This Row],[Score]])+1,LEN(Table23[[#This Row],[Score]])))</f>
        <v>2</v>
      </c>
      <c r="F89">
        <f>_xlfn.NUMBERVALUE(RIGHT(Table23[[#This Row],[Score]],LEN(Table23[[#This Row],[Score]])-FIND("-",Table23[[#This Row],[Score]])))</f>
        <v>1</v>
      </c>
      <c r="G89">
        <f t="shared" si="12"/>
        <v>3</v>
      </c>
      <c r="H89" t="str">
        <f>LEFT(Table23[[#This Row],[Score]],1)</f>
        <v>W</v>
      </c>
      <c r="I89" s="17" t="str">
        <f>VLOOKUP(IF(Table23[[#This Row],[At]]="Home",Table23[[#This Row],[Opponent]],RIGHT(Table23[[#This Row],[Opponent]],LEN(Table23[[#This Row],[Opponent]])-1)),CHOOSE({1,2},[1]StandingsRAW!$J$1:$J$22,[1]StandingsRAW!$L$1:$L$22),2,FALSE)</f>
        <v>KEN</v>
      </c>
      <c r="J89" s="33">
        <f>VLOOKUP(Table23[[#This Row],[OPP]],Raw!$L$2:$S$23,7,FALSE)-Raw!$U$2</f>
        <v>-3.3200531208499337E-3</v>
      </c>
    </row>
    <row r="90" spans="1:10" x14ac:dyDescent="0.25">
      <c r="A90" t="s">
        <v>471</v>
      </c>
      <c r="B90" t="s">
        <v>52</v>
      </c>
      <c r="C90" t="s">
        <v>128</v>
      </c>
      <c r="D90" t="str">
        <f>IF(LEFT(Table23[[#This Row],[Opponent]],1)="@","Away","Home")</f>
        <v>Home</v>
      </c>
      <c r="E90">
        <f>_xlfn.NUMBERVALUE(MID(LEFT(Table23[[#This Row],[Score]],FIND("-",Table23[[#This Row],[Score]])-1),FIND(" ",Table23[[#This Row],[Score]])+1,LEN(Table23[[#This Row],[Score]])))</f>
        <v>6</v>
      </c>
      <c r="F90">
        <f>_xlfn.NUMBERVALUE(RIGHT(Table23[[#This Row],[Score]],LEN(Table23[[#This Row],[Score]])-FIND("-",Table23[[#This Row],[Score]])))</f>
        <v>5</v>
      </c>
      <c r="G90">
        <f t="shared" si="12"/>
        <v>11</v>
      </c>
      <c r="H90" t="str">
        <f>LEFT(Table23[[#This Row],[Score]],1)</f>
        <v>W</v>
      </c>
      <c r="I90" s="17" t="str">
        <f>VLOOKUP(IF(Table23[[#This Row],[At]]="Home",Table23[[#This Row],[Opponent]],RIGHT(Table23[[#This Row],[Opponent]],LEN(Table23[[#This Row],[Opponent]])-1)),CHOOSE({1,2},[1]StandingsRAW!$J$1:$J$22,[1]StandingsRAW!$L$1:$L$22),2,FALSE)</f>
        <v>KEN</v>
      </c>
      <c r="J90" s="33">
        <f>VLOOKUP(Table23[[#This Row],[OPP]],Raw!$L$2:$S$23,7,FALSE)-Raw!$U$2</f>
        <v>-3.3200531208499337E-3</v>
      </c>
    </row>
    <row r="91" spans="1:10" x14ac:dyDescent="0.25">
      <c r="A91" t="s">
        <v>461</v>
      </c>
      <c r="B91" t="s">
        <v>332</v>
      </c>
      <c r="C91" t="s">
        <v>445</v>
      </c>
      <c r="D91" t="str">
        <f>IF(LEFT(Table23[[#This Row],[Opponent]],1)="@","Away","Home")</f>
        <v>Away</v>
      </c>
      <c r="E91">
        <f>_xlfn.NUMBERVALUE(MID(LEFT(Table23[[#This Row],[Score]],FIND("-",Table23[[#This Row],[Score]])-1),FIND(" ",Table23[[#This Row],[Score]])+1,LEN(Table23[[#This Row],[Score]])))</f>
        <v>17</v>
      </c>
      <c r="F91">
        <f>_xlfn.NUMBERVALUE(RIGHT(Table23[[#This Row],[Score]],LEN(Table23[[#This Row],[Score]])-FIND("-",Table23[[#This Row],[Score]])))</f>
        <v>2</v>
      </c>
      <c r="G91">
        <f t="shared" si="12"/>
        <v>19</v>
      </c>
      <c r="H91" t="str">
        <f>LEFT(Table23[[#This Row],[Score]],1)</f>
        <v>W</v>
      </c>
      <c r="I91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91" s="33">
        <f>VLOOKUP(Table23[[#This Row],[OPP]],Raw!$L$2:$S$23,7,FALSE)-Raw!$U$2</f>
        <v>0.7572433271608402</v>
      </c>
    </row>
    <row r="92" spans="1:10" x14ac:dyDescent="0.25">
      <c r="A92" t="s">
        <v>463</v>
      </c>
      <c r="B92" t="s">
        <v>74</v>
      </c>
      <c r="C92" t="s">
        <v>205</v>
      </c>
      <c r="D92" t="str">
        <f>IF(LEFT(Table23[[#This Row],[Opponent]],1)="@","Away","Home")</f>
        <v>Home</v>
      </c>
      <c r="E92">
        <f>_xlfn.NUMBERVALUE(MID(LEFT(Table23[[#This Row],[Score]],FIND("-",Table23[[#This Row],[Score]])-1),FIND(" ",Table23[[#This Row],[Score]])+1,LEN(Table23[[#This Row],[Score]])))</f>
        <v>5</v>
      </c>
      <c r="F92">
        <f>_xlfn.NUMBERVALUE(RIGHT(Table23[[#This Row],[Score]],LEN(Table23[[#This Row],[Score]])-FIND("-",Table23[[#This Row],[Score]])))</f>
        <v>6</v>
      </c>
      <c r="G92">
        <f t="shared" si="12"/>
        <v>11</v>
      </c>
      <c r="H92" t="str">
        <f>LEFT(Table23[[#This Row],[Score]],1)</f>
        <v>L</v>
      </c>
      <c r="I92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92" s="33">
        <f>VLOOKUP(Table23[[#This Row],[OPP]],Raw!$L$2:$S$23,7,FALSE)-Raw!$U$2</f>
        <v>0.17977853842844585</v>
      </c>
    </row>
    <row r="93" spans="1:10" x14ac:dyDescent="0.25">
      <c r="A93" t="s">
        <v>463</v>
      </c>
      <c r="B93" t="s">
        <v>74</v>
      </c>
      <c r="C93" t="s">
        <v>21</v>
      </c>
      <c r="D93" t="str">
        <f>IF(LEFT(Table23[[#This Row],[Opponent]],1)="@","Away","Home")</f>
        <v>Home</v>
      </c>
      <c r="E93">
        <f>_xlfn.NUMBERVALUE(MID(LEFT(Table23[[#This Row],[Score]],FIND("-",Table23[[#This Row],[Score]])-1),FIND(" ",Table23[[#This Row],[Score]])+1,LEN(Table23[[#This Row],[Score]])))</f>
        <v>6</v>
      </c>
      <c r="F93">
        <f>_xlfn.NUMBERVALUE(RIGHT(Table23[[#This Row],[Score]],LEN(Table23[[#This Row],[Score]])-FIND("-",Table23[[#This Row],[Score]])))</f>
        <v>1</v>
      </c>
      <c r="G93">
        <f t="shared" si="12"/>
        <v>7</v>
      </c>
      <c r="H93" t="str">
        <f>LEFT(Table23[[#This Row],[Score]],1)</f>
        <v>W</v>
      </c>
      <c r="I93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93" s="33">
        <f>VLOOKUP(Table23[[#This Row],[OPP]],Raw!$L$2:$S$23,7,FALSE)-Raw!$U$2</f>
        <v>0.17977853842844585</v>
      </c>
    </row>
    <row r="94" spans="1:10" x14ac:dyDescent="0.25">
      <c r="A94" t="s">
        <v>464</v>
      </c>
      <c r="B94" t="s">
        <v>319</v>
      </c>
      <c r="C94" t="s">
        <v>191</v>
      </c>
      <c r="D94" t="str">
        <f>IF(LEFT(Table23[[#This Row],[Opponent]],1)="@","Away","Home")</f>
        <v>Away</v>
      </c>
      <c r="E94">
        <f>_xlfn.NUMBERVALUE(MID(LEFT(Table23[[#This Row],[Score]],FIND("-",Table23[[#This Row],[Score]])-1),FIND(" ",Table23[[#This Row],[Score]])+1,LEN(Table23[[#This Row],[Score]])))</f>
        <v>12</v>
      </c>
      <c r="F94">
        <f>_xlfn.NUMBERVALUE(RIGHT(Table23[[#This Row],[Score]],LEN(Table23[[#This Row],[Score]])-FIND("-",Table23[[#This Row],[Score]])))</f>
        <v>4</v>
      </c>
      <c r="G94">
        <f t="shared" si="12"/>
        <v>16</v>
      </c>
      <c r="H94" t="str">
        <f>LEFT(Table23[[#This Row],[Score]],1)</f>
        <v>W</v>
      </c>
      <c r="I94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94" s="33">
        <f>VLOOKUP(Table23[[#This Row],[OPP]],Raw!$L$2:$S$23,7,FALSE)-Raw!$U$2</f>
        <v>-1.5172089420097388</v>
      </c>
    </row>
    <row r="95" spans="1:10" x14ac:dyDescent="0.25">
      <c r="A95" t="s">
        <v>465</v>
      </c>
      <c r="B95" t="s">
        <v>321</v>
      </c>
      <c r="C95" t="s">
        <v>270</v>
      </c>
      <c r="D95" t="str">
        <f>IF(LEFT(Table23[[#This Row],[Opponent]],1)="@","Away","Home")</f>
        <v>Home</v>
      </c>
      <c r="E95">
        <f>_xlfn.NUMBERVALUE(MID(LEFT(Table23[[#This Row],[Score]],FIND("-",Table23[[#This Row],[Score]])-1),FIND(" ",Table23[[#This Row],[Score]])+1,LEN(Table23[[#This Row],[Score]])))</f>
        <v>4</v>
      </c>
      <c r="F95">
        <f>_xlfn.NUMBERVALUE(RIGHT(Table23[[#This Row],[Score]],LEN(Table23[[#This Row],[Score]])-FIND("-",Table23[[#This Row],[Score]])))</f>
        <v>3</v>
      </c>
      <c r="G95">
        <f t="shared" si="12"/>
        <v>7</v>
      </c>
      <c r="H95" t="str">
        <f>LEFT(Table23[[#This Row],[Score]],1)</f>
        <v>W</v>
      </c>
      <c r="I95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95" s="33">
        <f>VLOOKUP(Table23[[#This Row],[OPP]],Raw!$L$2:$S$23,7,FALSE)-Raw!$U$2</f>
        <v>-1.5172089420097388</v>
      </c>
    </row>
    <row r="96" spans="1:10" x14ac:dyDescent="0.25">
      <c r="A96" t="s">
        <v>466</v>
      </c>
      <c r="B96" t="s">
        <v>20</v>
      </c>
      <c r="C96" t="s">
        <v>254</v>
      </c>
      <c r="D96" t="str">
        <f>IF(LEFT(Table23[[#This Row],[Opponent]],1)="@","Away","Home")</f>
        <v>Home</v>
      </c>
      <c r="E96">
        <f>_xlfn.NUMBERVALUE(MID(LEFT(Table23[[#This Row],[Score]],FIND("-",Table23[[#This Row],[Score]])-1),FIND(" ",Table23[[#This Row],[Score]])+1,LEN(Table23[[#This Row],[Score]])))</f>
        <v>5</v>
      </c>
      <c r="F96">
        <f>_xlfn.NUMBERVALUE(RIGHT(Table23[[#This Row],[Score]],LEN(Table23[[#This Row],[Score]])-FIND("-",Table23[[#This Row],[Score]])))</f>
        <v>4</v>
      </c>
      <c r="G96">
        <f t="shared" si="12"/>
        <v>9</v>
      </c>
      <c r="H96" t="str">
        <f>LEFT(Table23[[#This Row],[Score]],1)</f>
        <v>W</v>
      </c>
      <c r="I96" s="17" t="str">
        <f>VLOOKUP(IF(Table23[[#This Row],[At]]="Home",Table23[[#This Row],[Opponent]],RIGHT(Table23[[#This Row],[Opponent]],LEN(Table23[[#This Row],[Opponent]])-1)),CHOOSE({1,2},[1]StandingsRAW!$J$1:$J$22,[1]StandingsRAW!$L$1:$L$22),2,FALSE)</f>
        <v>RFD</v>
      </c>
      <c r="J96" s="33">
        <f>VLOOKUP(Table23[[#This Row],[OPP]],Raw!$L$2:$S$23,7,FALSE)-Raw!$U$2</f>
        <v>0.83001328021248344</v>
      </c>
    </row>
    <row r="97" spans="1:10" x14ac:dyDescent="0.25">
      <c r="A97" t="s">
        <v>467</v>
      </c>
      <c r="B97" t="s">
        <v>20</v>
      </c>
      <c r="C97" t="s">
        <v>226</v>
      </c>
      <c r="D97" t="str">
        <f>IF(LEFT(Table23[[#This Row],[Opponent]],1)="@","Away","Home")</f>
        <v>Home</v>
      </c>
      <c r="E97">
        <f>_xlfn.NUMBERVALUE(MID(LEFT(Table23[[#This Row],[Score]],FIND("-",Table23[[#This Row],[Score]])-1),FIND(" ",Table23[[#This Row],[Score]])+1,LEN(Table23[[#This Row],[Score]])))</f>
        <v>3</v>
      </c>
      <c r="F97">
        <f>_xlfn.NUMBERVALUE(RIGHT(Table23[[#This Row],[Score]],LEN(Table23[[#This Row],[Score]])-FIND("-",Table23[[#This Row],[Score]])))</f>
        <v>2</v>
      </c>
      <c r="G97">
        <f t="shared" si="12"/>
        <v>5</v>
      </c>
      <c r="H97" t="str">
        <f>LEFT(Table23[[#This Row],[Score]],1)</f>
        <v>W</v>
      </c>
      <c r="I97" s="17" t="str">
        <f>VLOOKUP(IF(Table23[[#This Row],[At]]="Home",Table23[[#This Row],[Opponent]],RIGHT(Table23[[#This Row],[Opponent]],LEN(Table23[[#This Row],[Opponent]])-1)),CHOOSE({1,2},[1]StandingsRAW!$J$1:$J$22,[1]StandingsRAW!$L$1:$L$22),2,FALSE)</f>
        <v>RFD</v>
      </c>
      <c r="J97" s="33">
        <f>VLOOKUP(Table23[[#This Row],[OPP]],Raw!$L$2:$S$23,7,FALSE)-Raw!$U$2</f>
        <v>0.83001328021248344</v>
      </c>
    </row>
    <row r="98" spans="1:10" x14ac:dyDescent="0.25">
      <c r="A98" t="s">
        <v>468</v>
      </c>
      <c r="B98" t="s">
        <v>333</v>
      </c>
      <c r="C98" t="s">
        <v>254</v>
      </c>
      <c r="D98" t="str">
        <f>IF(LEFT(Table23[[#This Row],[Opponent]],1)="@","Away","Home")</f>
        <v>Home</v>
      </c>
      <c r="E98">
        <f>_xlfn.NUMBERVALUE(MID(LEFT(Table23[[#This Row],[Score]],FIND("-",Table23[[#This Row],[Score]])-1),FIND(" ",Table23[[#This Row],[Score]])+1,LEN(Table23[[#This Row],[Score]])))</f>
        <v>5</v>
      </c>
      <c r="F98">
        <f>_xlfn.NUMBERVALUE(RIGHT(Table23[[#This Row],[Score]],LEN(Table23[[#This Row],[Score]])-FIND("-",Table23[[#This Row],[Score]])))</f>
        <v>4</v>
      </c>
      <c r="G98">
        <f t="shared" si="12"/>
        <v>9</v>
      </c>
      <c r="H98" t="str">
        <f>LEFT(Table23[[#This Row],[Score]],1)</f>
        <v>W</v>
      </c>
      <c r="I98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98" s="33">
        <f>VLOOKUP(Table23[[#This Row],[OPP]],Raw!$L$2:$S$23,7,FALSE)-Raw!$U$2</f>
        <v>0.7572433271608402</v>
      </c>
    </row>
    <row r="99" spans="1:10" x14ac:dyDescent="0.25">
      <c r="A99" t="s">
        <v>498</v>
      </c>
      <c r="B99" t="s">
        <v>333</v>
      </c>
      <c r="C99" t="s">
        <v>279</v>
      </c>
      <c r="D99" t="str">
        <f>IF(LEFT(Table23[[#This Row],[Opponent]],1)="@","Away","Home")</f>
        <v>Home</v>
      </c>
      <c r="E99">
        <f>_xlfn.NUMBERVALUE(MID(LEFT(Table23[[#This Row],[Score]],FIND("-",Table23[[#This Row],[Score]])-1),FIND(" ",Table23[[#This Row],[Score]])+1,LEN(Table23[[#This Row],[Score]])))</f>
        <v>7</v>
      </c>
      <c r="F99">
        <f>_xlfn.NUMBERVALUE(RIGHT(Table23[[#This Row],[Score]],LEN(Table23[[#This Row],[Score]])-FIND("-",Table23[[#This Row],[Score]])))</f>
        <v>2</v>
      </c>
      <c r="G99">
        <f t="shared" ref="G99:G101" si="13">E99+F99</f>
        <v>9</v>
      </c>
      <c r="H99" t="str">
        <f>LEFT(Table23[[#This Row],[Score]],1)</f>
        <v>W</v>
      </c>
      <c r="I99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99" s="33">
        <f>VLOOKUP(Table23[[#This Row],[OPP]],Raw!$L$2:$S$23,7,FALSE)-Raw!$U$2</f>
        <v>0.7572433271608402</v>
      </c>
    </row>
    <row r="100" spans="1:10" x14ac:dyDescent="0.25">
      <c r="A100" t="s">
        <v>499</v>
      </c>
      <c r="B100" t="s">
        <v>315</v>
      </c>
      <c r="C100" t="s">
        <v>335</v>
      </c>
      <c r="D100" t="str">
        <f>IF(LEFT(Table23[[#This Row],[Opponent]],1)="@","Away","Home")</f>
        <v>Away</v>
      </c>
      <c r="E100">
        <f>_xlfn.NUMBERVALUE(MID(LEFT(Table23[[#This Row],[Score]],FIND("-",Table23[[#This Row],[Score]])-1),FIND(" ",Table23[[#This Row],[Score]])+1,LEN(Table23[[#This Row],[Score]])))</f>
        <v>6</v>
      </c>
      <c r="F100">
        <f>_xlfn.NUMBERVALUE(RIGHT(Table23[[#This Row],[Score]],LEN(Table23[[#This Row],[Score]])-FIND("-",Table23[[#This Row],[Score]])))</f>
        <v>4</v>
      </c>
      <c r="G100">
        <f t="shared" si="13"/>
        <v>10</v>
      </c>
      <c r="H100" t="str">
        <f>LEFT(Table23[[#This Row],[Score]],1)</f>
        <v>W</v>
      </c>
      <c r="I100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100" s="33">
        <f>VLOOKUP(Table23[[#This Row],[OPP]],Raw!$L$2:$S$23,7,FALSE)-Raw!$U$2</f>
        <v>0.13556883576803896</v>
      </c>
    </row>
    <row r="101" spans="1:10" x14ac:dyDescent="0.25">
      <c r="A101" t="s">
        <v>500</v>
      </c>
      <c r="B101" t="s">
        <v>315</v>
      </c>
      <c r="C101" t="s">
        <v>259</v>
      </c>
      <c r="D101" t="str">
        <f>IF(LEFT(Table23[[#This Row],[Opponent]],1)="@","Away","Home")</f>
        <v>Away</v>
      </c>
      <c r="E101">
        <f>_xlfn.NUMBERVALUE(MID(LEFT(Table23[[#This Row],[Score]],FIND("-",Table23[[#This Row],[Score]])-1),FIND(" ",Table23[[#This Row],[Score]])+1,LEN(Table23[[#This Row],[Score]])))</f>
        <v>0</v>
      </c>
      <c r="F101">
        <f>_xlfn.NUMBERVALUE(RIGHT(Table23[[#This Row],[Score]],LEN(Table23[[#This Row],[Score]])-FIND("-",Table23[[#This Row],[Score]])))</f>
        <v>5</v>
      </c>
      <c r="G101">
        <f t="shared" si="13"/>
        <v>5</v>
      </c>
      <c r="H101" t="str">
        <f>LEFT(Table23[[#This Row],[Score]],1)</f>
        <v>L</v>
      </c>
      <c r="I101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101" s="33">
        <f>VLOOKUP(Table23[[#This Row],[OPP]],Raw!$L$2:$S$23,7,FALSE)-Raw!$U$2</f>
        <v>0.13556883576803896</v>
      </c>
    </row>
    <row r="102" spans="1:10" x14ac:dyDescent="0.25">
      <c r="A102" t="s">
        <v>501</v>
      </c>
      <c r="B102" t="s">
        <v>98</v>
      </c>
      <c r="C102" t="s">
        <v>48</v>
      </c>
      <c r="D102" t="str">
        <f>IF(LEFT(Table23[[#This Row],[Opponent]],1)="@","Away","Home")</f>
        <v>Home</v>
      </c>
      <c r="E102">
        <f>_xlfn.NUMBERVALUE(MID(LEFT(Table23[[#This Row],[Score]],FIND("-",Table23[[#This Row],[Score]])-1),FIND(" ",Table23[[#This Row],[Score]])+1,LEN(Table23[[#This Row],[Score]])))</f>
        <v>4</v>
      </c>
      <c r="F102">
        <f>_xlfn.NUMBERVALUE(RIGHT(Table23[[#This Row],[Score]],LEN(Table23[[#This Row],[Score]])-FIND("-",Table23[[#This Row],[Score]])))</f>
        <v>5</v>
      </c>
      <c r="G102">
        <f t="shared" ref="G102:G103" si="14">E102+F102</f>
        <v>9</v>
      </c>
      <c r="H102" t="str">
        <f>LEFT(Table23[[#This Row],[Score]],1)</f>
        <v>L</v>
      </c>
      <c r="I102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102" s="33">
        <f>VLOOKUP(Table23[[#This Row],[OPP]],Raw!$L$2:$S$23,7,FALSE)-Raw!$U$2</f>
        <v>-1.4060978308986276</v>
      </c>
    </row>
    <row r="103" spans="1:10" x14ac:dyDescent="0.25">
      <c r="A103" t="s">
        <v>502</v>
      </c>
      <c r="B103" t="s">
        <v>115</v>
      </c>
      <c r="C103" t="s">
        <v>279</v>
      </c>
      <c r="D103" t="str">
        <f>IF(LEFT(Table23[[#This Row],[Opponent]],1)="@","Away","Home")</f>
        <v>Away</v>
      </c>
      <c r="E103">
        <f>_xlfn.NUMBERVALUE(MID(LEFT(Table23[[#This Row],[Score]],FIND("-",Table23[[#This Row],[Score]])-1),FIND(" ",Table23[[#This Row],[Score]])+1,LEN(Table23[[#This Row],[Score]])))</f>
        <v>7</v>
      </c>
      <c r="F103">
        <f>_xlfn.NUMBERVALUE(RIGHT(Table23[[#This Row],[Score]],LEN(Table23[[#This Row],[Score]])-FIND("-",Table23[[#This Row],[Score]])))</f>
        <v>2</v>
      </c>
      <c r="G103">
        <f t="shared" si="14"/>
        <v>9</v>
      </c>
      <c r="H103" t="str">
        <f>LEFT(Table23[[#This Row],[Score]],1)</f>
        <v>W</v>
      </c>
      <c r="I103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103" s="33">
        <f>VLOOKUP(Table23[[#This Row],[OPP]],Raw!$L$2:$S$23,7,FALSE)-Raw!$U$2</f>
        <v>-1.4060978308986276</v>
      </c>
    </row>
    <row r="104" spans="1:10" x14ac:dyDescent="0.25">
      <c r="A104" t="s">
        <v>505</v>
      </c>
      <c r="B104" t="s">
        <v>30</v>
      </c>
      <c r="C104" t="s">
        <v>384</v>
      </c>
      <c r="D104" t="str">
        <f>IF(LEFT(Table23[[#This Row],[Opponent]],1)="@","Away","Home")</f>
        <v>Away</v>
      </c>
      <c r="E104">
        <f>_xlfn.NUMBERVALUE(MID(LEFT(Table23[[#This Row],[Score]],FIND("-",Table23[[#This Row],[Score]])-1),FIND(" ",Table23[[#This Row],[Score]])+1,LEN(Table23[[#This Row],[Score]])))</f>
        <v>7</v>
      </c>
      <c r="F104">
        <f>_xlfn.NUMBERVALUE(RIGHT(Table23[[#This Row],[Score]],LEN(Table23[[#This Row],[Score]])-FIND("-",Table23[[#This Row],[Score]])))</f>
        <v>5</v>
      </c>
      <c r="G104">
        <f>E104+F104</f>
        <v>12</v>
      </c>
      <c r="H104" t="str">
        <f>LEFT(Table23[[#This Row],[Score]],1)</f>
        <v>W</v>
      </c>
      <c r="I104" s="17" t="str">
        <f>VLOOKUP(IF(Table23[[#This Row],[At]]="Home",Table23[[#This Row],[Opponent]],RIGHT(Table23[[#This Row],[Opponent]],LEN(Table23[[#This Row],[Opponent]])-1)),CHOOSE({1,2},[1]StandingsRAW!$J$1:$J$22,[1]StandingsRAW!$L$1:$L$22),2,FALSE)</f>
        <v>KEN</v>
      </c>
      <c r="J104" s="33">
        <f>VLOOKUP(Table23[[#This Row],[OPP]],Raw!$L$2:$S$23,7,FALSE)-Raw!$U$2</f>
        <v>-3.3200531208499337E-3</v>
      </c>
    </row>
    <row r="105" spans="1:10" x14ac:dyDescent="0.25">
      <c r="A105" t="s">
        <v>508</v>
      </c>
      <c r="B105" t="s">
        <v>30</v>
      </c>
      <c r="C105" t="s">
        <v>514</v>
      </c>
      <c r="D105" t="str">
        <f>IF(LEFT(Table23[[#This Row],[Opponent]],1)="@","Away","Home")</f>
        <v>Away</v>
      </c>
      <c r="E105">
        <f>_xlfn.NUMBERVALUE(MID(LEFT(Table23[[#This Row],[Score]],FIND("-",Table23[[#This Row],[Score]])-1),FIND(" ",Table23[[#This Row],[Score]])+1,LEN(Table23[[#This Row],[Score]])))</f>
        <v>15</v>
      </c>
      <c r="F105">
        <f>_xlfn.NUMBERVALUE(RIGHT(Table23[[#This Row],[Score]],LEN(Table23[[#This Row],[Score]])-FIND("-",Table23[[#This Row],[Score]])))</f>
        <v>3</v>
      </c>
      <c r="G105">
        <f t="shared" ref="G105:G107" si="15">E105+F105</f>
        <v>18</v>
      </c>
      <c r="H105" t="str">
        <f>LEFT(Table23[[#This Row],[Score]],1)</f>
        <v>W</v>
      </c>
      <c r="I105" s="17" t="str">
        <f>VLOOKUP(IF(Table23[[#This Row],[At]]="Home",Table23[[#This Row],[Opponent]],RIGHT(Table23[[#This Row],[Opponent]],LEN(Table23[[#This Row],[Opponent]])-1)),CHOOSE({1,2},[1]StandingsRAW!$J$1:$J$22,[1]StandingsRAW!$L$1:$L$22),2,FALSE)</f>
        <v>KEN</v>
      </c>
      <c r="J105" s="33">
        <f>VLOOKUP(Table23[[#This Row],[OPP]],Raw!$L$2:$S$23,7,FALSE)-Raw!$U$2</f>
        <v>-3.3200531208499337E-3</v>
      </c>
    </row>
    <row r="106" spans="1:10" x14ac:dyDescent="0.25">
      <c r="A106" t="s">
        <v>509</v>
      </c>
      <c r="B106" t="s">
        <v>10</v>
      </c>
      <c r="C106" t="s">
        <v>276</v>
      </c>
      <c r="D106" t="str">
        <f>IF(LEFT(Table23[[#This Row],[Opponent]],1)="@","Away","Home")</f>
        <v>Away</v>
      </c>
      <c r="E106">
        <f>_xlfn.NUMBERVALUE(MID(LEFT(Table23[[#This Row],[Score]],FIND("-",Table23[[#This Row],[Score]])-1),FIND(" ",Table23[[#This Row],[Score]])+1,LEN(Table23[[#This Row],[Score]])))</f>
        <v>2</v>
      </c>
      <c r="F106">
        <f>_xlfn.NUMBERVALUE(RIGHT(Table23[[#This Row],[Score]],LEN(Table23[[#This Row],[Score]])-FIND("-",Table23[[#This Row],[Score]])))</f>
        <v>4</v>
      </c>
      <c r="G106">
        <f t="shared" si="15"/>
        <v>6</v>
      </c>
      <c r="H106" t="str">
        <f>LEFT(Table23[[#This Row],[Score]],1)</f>
        <v>L</v>
      </c>
      <c r="I106" s="17" t="str">
        <f>VLOOKUP(IF(Table23[[#This Row],[At]]="Home",Table23[[#This Row],[Opponent]],RIGHT(Table23[[#This Row],[Opponent]],LEN(Table23[[#This Row],[Opponent]])-1)),CHOOSE({1,2},[1]StandingsRAW!$J$1:$J$22,[1]StandingsRAW!$L$1:$L$22),2,FALSE)</f>
        <v>KMO</v>
      </c>
      <c r="J106" s="33">
        <f>VLOOKUP(Table23[[#This Row],[OPP]],Raw!$L$2:$S$23,7,FALSE)-Raw!$U$2</f>
        <v>-3.1019116024166244</v>
      </c>
    </row>
    <row r="107" spans="1:10" x14ac:dyDescent="0.25">
      <c r="A107" t="s">
        <v>510</v>
      </c>
      <c r="B107" t="s">
        <v>10</v>
      </c>
      <c r="C107" t="s">
        <v>279</v>
      </c>
      <c r="D107" t="str">
        <f>IF(LEFT(Table23[[#This Row],[Opponent]],1)="@","Away","Home")</f>
        <v>Away</v>
      </c>
      <c r="E107">
        <f>_xlfn.NUMBERVALUE(MID(LEFT(Table23[[#This Row],[Score]],FIND("-",Table23[[#This Row],[Score]])-1),FIND(" ",Table23[[#This Row],[Score]])+1,LEN(Table23[[#This Row],[Score]])))</f>
        <v>7</v>
      </c>
      <c r="F107">
        <f>_xlfn.NUMBERVALUE(RIGHT(Table23[[#This Row],[Score]],LEN(Table23[[#This Row],[Score]])-FIND("-",Table23[[#This Row],[Score]])))</f>
        <v>2</v>
      </c>
      <c r="G107">
        <f t="shared" si="15"/>
        <v>9</v>
      </c>
      <c r="H107" t="str">
        <f>LEFT(Table23[[#This Row],[Score]],1)</f>
        <v>W</v>
      </c>
      <c r="I107" s="17" t="str">
        <f>VLOOKUP(IF(Table23[[#This Row],[At]]="Home",Table23[[#This Row],[Opponent]],RIGHT(Table23[[#This Row],[Opponent]],LEN(Table23[[#This Row],[Opponent]])-1)),CHOOSE({1,2},[1]StandingsRAW!$J$1:$J$22,[1]StandingsRAW!$L$1:$L$22),2,FALSE)</f>
        <v>KMO</v>
      </c>
      <c r="J107" s="33">
        <f>VLOOKUP(Table23[[#This Row],[OPP]],Raw!$L$2:$S$23,7,FALSE)-Raw!$U$2</f>
        <v>-3.1019116024166244</v>
      </c>
    </row>
    <row r="108" spans="1:10" x14ac:dyDescent="0.25">
      <c r="A108" t="s">
        <v>515</v>
      </c>
      <c r="B108" t="s">
        <v>314</v>
      </c>
      <c r="C108" t="s">
        <v>517</v>
      </c>
      <c r="D108" t="str">
        <f>IF(LEFT(Table23[[#This Row],[Opponent]],1)="@","Away","Home")</f>
        <v>Home</v>
      </c>
      <c r="E108">
        <f>_xlfn.NUMBERVALUE(MID(LEFT(Table23[[#This Row],[Score]],FIND("-",Table23[[#This Row],[Score]])-1),FIND(" ",Table23[[#This Row],[Score]])+1,LEN(Table23[[#This Row],[Score]])))</f>
        <v>15</v>
      </c>
      <c r="F108">
        <f>_xlfn.NUMBERVALUE(RIGHT(Table23[[#This Row],[Score]],LEN(Table23[[#This Row],[Score]])-FIND("-",Table23[[#This Row],[Score]])))</f>
        <v>1</v>
      </c>
      <c r="G108">
        <f>E108+F108</f>
        <v>16</v>
      </c>
      <c r="H108" t="str">
        <f>LEFT(Table23[[#This Row],[Score]],1)</f>
        <v>W</v>
      </c>
      <c r="I108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108" s="33">
        <f>VLOOKUP(Table23[[#This Row],[OPP]],Raw!$L$2:$S$23,7,FALSE)-Raw!$U$2</f>
        <v>0.13556883576803896</v>
      </c>
    </row>
    <row r="109" spans="1:10" x14ac:dyDescent="0.25">
      <c r="A109" t="s">
        <v>518</v>
      </c>
      <c r="B109" t="s">
        <v>314</v>
      </c>
      <c r="C109" t="s">
        <v>55</v>
      </c>
      <c r="D109" t="str">
        <f>IF(LEFT(Table23[[#This Row],[Opponent]],1)="@","Away","Home")</f>
        <v>Home</v>
      </c>
      <c r="E109">
        <f>_xlfn.NUMBERVALUE(MID(LEFT(Table23[[#This Row],[Score]],FIND("-",Table23[[#This Row],[Score]])-1),FIND(" ",Table23[[#This Row],[Score]])+1,LEN(Table23[[#This Row],[Score]])))</f>
        <v>5</v>
      </c>
      <c r="F109">
        <f>_xlfn.NUMBERVALUE(RIGHT(Table23[[#This Row],[Score]],LEN(Table23[[#This Row],[Score]])-FIND("-",Table23[[#This Row],[Score]])))</f>
        <v>7</v>
      </c>
      <c r="G109">
        <f t="shared" ref="G109:G112" si="16">E109+F109</f>
        <v>12</v>
      </c>
      <c r="H109" t="str">
        <f>LEFT(Table23[[#This Row],[Score]],1)</f>
        <v>L</v>
      </c>
      <c r="I109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109" s="33">
        <f>VLOOKUP(Table23[[#This Row],[OPP]],Raw!$L$2:$S$23,7,FALSE)-Raw!$U$2</f>
        <v>0.13556883576803896</v>
      </c>
    </row>
    <row r="110" spans="1:10" x14ac:dyDescent="0.25">
      <c r="A110" t="s">
        <v>519</v>
      </c>
      <c r="B110" t="s">
        <v>98</v>
      </c>
      <c r="C110" t="s">
        <v>316</v>
      </c>
      <c r="D110" t="str">
        <f>IF(LEFT(Table23[[#This Row],[Opponent]],1)="@","Away","Home")</f>
        <v>Home</v>
      </c>
      <c r="E110">
        <f>_xlfn.NUMBERVALUE(MID(LEFT(Table23[[#This Row],[Score]],FIND("-",Table23[[#This Row],[Score]])-1),FIND(" ",Table23[[#This Row],[Score]])+1,LEN(Table23[[#This Row],[Score]])))</f>
        <v>9</v>
      </c>
      <c r="F110">
        <f>_xlfn.NUMBERVALUE(RIGHT(Table23[[#This Row],[Score]],LEN(Table23[[#This Row],[Score]])-FIND("-",Table23[[#This Row],[Score]])))</f>
        <v>6</v>
      </c>
      <c r="G110">
        <f t="shared" si="16"/>
        <v>15</v>
      </c>
      <c r="H110" t="str">
        <f>LEFT(Table23[[#This Row],[Score]],1)</f>
        <v>W</v>
      </c>
      <c r="I110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110" s="33">
        <f>VLOOKUP(Table23[[#This Row],[OPP]],Raw!$L$2:$S$23,7,FALSE)-Raw!$U$2</f>
        <v>-1.4060978308986276</v>
      </c>
    </row>
    <row r="111" spans="1:10" x14ac:dyDescent="0.25">
      <c r="A111" t="s">
        <v>520</v>
      </c>
      <c r="B111" t="s">
        <v>115</v>
      </c>
      <c r="C111" t="s">
        <v>238</v>
      </c>
      <c r="D111" t="str">
        <f>IF(LEFT(Table23[[#This Row],[Opponent]],1)="@","Away","Home")</f>
        <v>Away</v>
      </c>
      <c r="E111">
        <f>_xlfn.NUMBERVALUE(MID(LEFT(Table23[[#This Row],[Score]],FIND("-",Table23[[#This Row],[Score]])-1),FIND(" ",Table23[[#This Row],[Score]])+1,LEN(Table23[[#This Row],[Score]])))</f>
        <v>10</v>
      </c>
      <c r="F111">
        <f>_xlfn.NUMBERVALUE(RIGHT(Table23[[#This Row],[Score]],LEN(Table23[[#This Row],[Score]])-FIND("-",Table23[[#This Row],[Score]])))</f>
        <v>2</v>
      </c>
      <c r="G111">
        <f t="shared" si="16"/>
        <v>12</v>
      </c>
      <c r="H111" t="str">
        <f>LEFT(Table23[[#This Row],[Score]],1)</f>
        <v>W</v>
      </c>
      <c r="I111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111" s="33">
        <f>VLOOKUP(Table23[[#This Row],[OPP]],Raw!$L$2:$S$23,7,FALSE)-Raw!$U$2</f>
        <v>-1.4060978308986276</v>
      </c>
    </row>
    <row r="112" spans="1:10" x14ac:dyDescent="0.25">
      <c r="A112" t="s">
        <v>521</v>
      </c>
      <c r="B112" t="s">
        <v>74</v>
      </c>
      <c r="C112" t="s">
        <v>351</v>
      </c>
      <c r="D112" t="str">
        <f>IF(LEFT(Table23[[#This Row],[Opponent]],1)="@","Away","Home")</f>
        <v>Home</v>
      </c>
      <c r="E112">
        <f>_xlfn.NUMBERVALUE(MID(LEFT(Table23[[#This Row],[Score]],FIND("-",Table23[[#This Row],[Score]])-1),FIND(" ",Table23[[#This Row],[Score]])+1,LEN(Table23[[#This Row],[Score]])))</f>
        <v>2</v>
      </c>
      <c r="F112">
        <f>_xlfn.NUMBERVALUE(RIGHT(Table23[[#This Row],[Score]],LEN(Table23[[#This Row],[Score]])-FIND("-",Table23[[#This Row],[Score]])))</f>
        <v>1</v>
      </c>
      <c r="G112">
        <f t="shared" si="16"/>
        <v>3</v>
      </c>
      <c r="H112" t="str">
        <f>LEFT(Table23[[#This Row],[Score]],1)</f>
        <v>W</v>
      </c>
      <c r="I112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112" s="33">
        <f>VLOOKUP(Table23[[#This Row],[OPP]],Raw!$L$2:$S$23,7,FALSE)-Raw!$U$2</f>
        <v>0.17977853842844585</v>
      </c>
    </row>
    <row r="113" spans="1:10" x14ac:dyDescent="0.25">
      <c r="A113" t="s">
        <v>524</v>
      </c>
      <c r="B113" t="s">
        <v>120</v>
      </c>
      <c r="C113" t="s">
        <v>391</v>
      </c>
      <c r="D113" t="str">
        <f>IF(LEFT(Table23[[#This Row],[Opponent]],1)="@","Away","Home")</f>
        <v>Away</v>
      </c>
      <c r="E113">
        <f>_xlfn.NUMBERVALUE(MID(LEFT(Table23[[#This Row],[Score]],FIND("-",Table23[[#This Row],[Score]])-1),FIND(" ",Table23[[#This Row],[Score]])+1,LEN(Table23[[#This Row],[Score]])))</f>
        <v>11</v>
      </c>
      <c r="F113">
        <f>_xlfn.NUMBERVALUE(RIGHT(Table23[[#This Row],[Score]],LEN(Table23[[#This Row],[Score]])-FIND("-",Table23[[#This Row],[Score]])))</f>
        <v>5</v>
      </c>
      <c r="G113">
        <f t="shared" ref="G113:G120" si="17">E113+F113</f>
        <v>16</v>
      </c>
      <c r="H113" t="str">
        <f>LEFT(Table23[[#This Row],[Score]],1)</f>
        <v>W</v>
      </c>
      <c r="I113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113" s="33">
        <f>VLOOKUP(Table23[[#This Row],[OPP]],Raw!$L$2:$S$23,7,FALSE)-Raw!$U$2</f>
        <v>0.17977853842844585</v>
      </c>
    </row>
    <row r="114" spans="1:10" x14ac:dyDescent="0.25">
      <c r="A114" t="s">
        <v>525</v>
      </c>
      <c r="B114" t="s">
        <v>58</v>
      </c>
      <c r="C114" t="s">
        <v>329</v>
      </c>
      <c r="D114" t="str">
        <f>IF(LEFT(Table23[[#This Row],[Opponent]],1)="@","Away","Home")</f>
        <v>Away</v>
      </c>
      <c r="E114">
        <f>_xlfn.NUMBERVALUE(MID(LEFT(Table23[[#This Row],[Score]],FIND("-",Table23[[#This Row],[Score]])-1),FIND(" ",Table23[[#This Row],[Score]])+1,LEN(Table23[[#This Row],[Score]])))</f>
        <v>5</v>
      </c>
      <c r="F114">
        <f>_xlfn.NUMBERVALUE(RIGHT(Table23[[#This Row],[Score]],LEN(Table23[[#This Row],[Score]])-FIND("-",Table23[[#This Row],[Score]])))</f>
        <v>2</v>
      </c>
      <c r="G114">
        <f t="shared" si="17"/>
        <v>7</v>
      </c>
      <c r="H114" t="str">
        <f>LEFT(Table23[[#This Row],[Score]],1)</f>
        <v>W</v>
      </c>
      <c r="I114" s="17" t="str">
        <f>VLOOKUP(IF(Table23[[#This Row],[At]]="Home",Table23[[#This Row],[Opponent]],RIGHT(Table23[[#This Row],[Opponent]],LEN(Table23[[#This Row],[Opponent]])-1)),CHOOSE({1,2},[1]StandingsRAW!$J$1:$J$22,[1]StandingsRAW!$L$1:$L$22),2,FALSE)</f>
        <v>RFD</v>
      </c>
      <c r="J114" s="33">
        <f>VLOOKUP(Table23[[#This Row],[OPP]],Raw!$L$2:$S$23,7,FALSE)-Raw!$U$2</f>
        <v>0.83001328021248344</v>
      </c>
    </row>
    <row r="115" spans="1:10" x14ac:dyDescent="0.25">
      <c r="A115" t="s">
        <v>526</v>
      </c>
      <c r="B115" t="s">
        <v>58</v>
      </c>
      <c r="C115" t="s">
        <v>298</v>
      </c>
      <c r="D115" t="str">
        <f>IF(LEFT(Table23[[#This Row],[Opponent]],1)="@","Away","Home")</f>
        <v>Away</v>
      </c>
      <c r="E115">
        <f>_xlfn.NUMBERVALUE(MID(LEFT(Table23[[#This Row],[Score]],FIND("-",Table23[[#This Row],[Score]])-1),FIND(" ",Table23[[#This Row],[Score]])+1,LEN(Table23[[#This Row],[Score]])))</f>
        <v>1</v>
      </c>
      <c r="F115">
        <f>_xlfn.NUMBERVALUE(RIGHT(Table23[[#This Row],[Score]],LEN(Table23[[#This Row],[Score]])-FIND("-",Table23[[#This Row],[Score]])))</f>
        <v>2</v>
      </c>
      <c r="G115">
        <f t="shared" si="17"/>
        <v>3</v>
      </c>
      <c r="H115" t="str">
        <f>LEFT(Table23[[#This Row],[Score]],1)</f>
        <v>L</v>
      </c>
      <c r="I115" s="17" t="str">
        <f>VLOOKUP(IF(Table23[[#This Row],[At]]="Home",Table23[[#This Row],[Opponent]],RIGHT(Table23[[#This Row],[Opponent]],LEN(Table23[[#This Row],[Opponent]])-1)),CHOOSE({1,2},[1]StandingsRAW!$J$1:$J$22,[1]StandingsRAW!$L$1:$L$22),2,FALSE)</f>
        <v>RFD</v>
      </c>
      <c r="J115" s="33">
        <f>VLOOKUP(Table23[[#This Row],[OPP]],Raw!$L$2:$S$23,7,FALSE)-Raw!$U$2</f>
        <v>0.83001328021248344</v>
      </c>
    </row>
    <row r="116" spans="1:10" x14ac:dyDescent="0.25">
      <c r="A116" t="s">
        <v>527</v>
      </c>
      <c r="B116" t="s">
        <v>332</v>
      </c>
      <c r="C116" t="s">
        <v>26</v>
      </c>
      <c r="D116" t="str">
        <f>IF(LEFT(Table23[[#This Row],[Opponent]],1)="@","Away","Home")</f>
        <v>Away</v>
      </c>
      <c r="E116">
        <f>_xlfn.NUMBERVALUE(MID(LEFT(Table23[[#This Row],[Score]],FIND("-",Table23[[#This Row],[Score]])-1),FIND(" ",Table23[[#This Row],[Score]])+1,LEN(Table23[[#This Row],[Score]])))</f>
        <v>10</v>
      </c>
      <c r="F116">
        <f>_xlfn.NUMBERVALUE(RIGHT(Table23[[#This Row],[Score]],LEN(Table23[[#This Row],[Score]])-FIND("-",Table23[[#This Row],[Score]])))</f>
        <v>6</v>
      </c>
      <c r="G116">
        <f t="shared" si="17"/>
        <v>16</v>
      </c>
      <c r="H116" t="str">
        <f>LEFT(Table23[[#This Row],[Score]],1)</f>
        <v>W</v>
      </c>
      <c r="I116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116" s="33">
        <f>VLOOKUP(Table23[[#This Row],[OPP]],Raw!$L$2:$S$23,7,FALSE)-Raw!$U$2</f>
        <v>0.7572433271608402</v>
      </c>
    </row>
    <row r="117" spans="1:10" x14ac:dyDescent="0.25">
      <c r="A117" t="s">
        <v>527</v>
      </c>
      <c r="B117" t="s">
        <v>332</v>
      </c>
      <c r="C117" t="s">
        <v>116</v>
      </c>
      <c r="D117" t="str">
        <f>IF(LEFT(Table23[[#This Row],[Opponent]],1)="@","Away","Home")</f>
        <v>Away</v>
      </c>
      <c r="E117">
        <f>_xlfn.NUMBERVALUE(MID(LEFT(Table23[[#This Row],[Score]],FIND("-",Table23[[#This Row],[Score]])-1),FIND(" ",Table23[[#This Row],[Score]])+1,LEN(Table23[[#This Row],[Score]])))</f>
        <v>9</v>
      </c>
      <c r="F117">
        <f>_xlfn.NUMBERVALUE(RIGHT(Table23[[#This Row],[Score]],LEN(Table23[[#This Row],[Score]])-FIND("-",Table23[[#This Row],[Score]])))</f>
        <v>3</v>
      </c>
      <c r="G117">
        <f t="shared" si="17"/>
        <v>12</v>
      </c>
      <c r="H117" t="str">
        <f>LEFT(Table23[[#This Row],[Score]],1)</f>
        <v>W</v>
      </c>
      <c r="I117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117" s="33">
        <f>VLOOKUP(Table23[[#This Row],[OPP]],Raw!$L$2:$S$23,7,FALSE)-Raw!$U$2</f>
        <v>0.7572433271608402</v>
      </c>
    </row>
    <row r="118" spans="1:10" x14ac:dyDescent="0.25">
      <c r="A118" t="s">
        <v>528</v>
      </c>
      <c r="B118" t="s">
        <v>333</v>
      </c>
      <c r="C118" t="s">
        <v>353</v>
      </c>
      <c r="D118" t="str">
        <f>IF(LEFT(Table23[[#This Row],[Opponent]],1)="@","Away","Home")</f>
        <v>Home</v>
      </c>
      <c r="E118">
        <f>_xlfn.NUMBERVALUE(MID(LEFT(Table23[[#This Row],[Score]],FIND("-",Table23[[#This Row],[Score]])-1),FIND(" ",Table23[[#This Row],[Score]])+1,LEN(Table23[[#This Row],[Score]])))</f>
        <v>17</v>
      </c>
      <c r="F118">
        <f>_xlfn.NUMBERVALUE(RIGHT(Table23[[#This Row],[Score]],LEN(Table23[[#This Row],[Score]])-FIND("-",Table23[[#This Row],[Score]])))</f>
        <v>5</v>
      </c>
      <c r="G118">
        <f t="shared" si="17"/>
        <v>22</v>
      </c>
      <c r="H118" t="str">
        <f>LEFT(Table23[[#This Row],[Score]],1)</f>
        <v>W</v>
      </c>
      <c r="I118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118" s="33">
        <f>VLOOKUP(Table23[[#This Row],[OPP]],Raw!$L$2:$S$23,7,FALSE)-Raw!$U$2</f>
        <v>0.7572433271608402</v>
      </c>
    </row>
    <row r="119" spans="1:10" x14ac:dyDescent="0.25">
      <c r="A119" t="s">
        <v>529</v>
      </c>
      <c r="B119" t="s">
        <v>314</v>
      </c>
      <c r="C119" t="s">
        <v>335</v>
      </c>
      <c r="D119" t="str">
        <f>IF(LEFT(Table23[[#This Row],[Opponent]],1)="@","Away","Home")</f>
        <v>Home</v>
      </c>
      <c r="E119">
        <f>_xlfn.NUMBERVALUE(MID(LEFT(Table23[[#This Row],[Score]],FIND("-",Table23[[#This Row],[Score]])-1),FIND(" ",Table23[[#This Row],[Score]])+1,LEN(Table23[[#This Row],[Score]])))</f>
        <v>6</v>
      </c>
      <c r="F119">
        <f>_xlfn.NUMBERVALUE(RIGHT(Table23[[#This Row],[Score]],LEN(Table23[[#This Row],[Score]])-FIND("-",Table23[[#This Row],[Score]])))</f>
        <v>4</v>
      </c>
      <c r="G119">
        <f t="shared" si="17"/>
        <v>10</v>
      </c>
      <c r="H119" t="str">
        <f>LEFT(Table23[[#This Row],[Score]],1)</f>
        <v>W</v>
      </c>
      <c r="I119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119" s="33">
        <f>VLOOKUP(Table23[[#This Row],[OPP]],Raw!$L$2:$S$23,7,FALSE)-Raw!$U$2</f>
        <v>0.13556883576803896</v>
      </c>
    </row>
    <row r="120" spans="1:10" x14ac:dyDescent="0.25">
      <c r="A120" t="s">
        <v>530</v>
      </c>
      <c r="B120" t="s">
        <v>314</v>
      </c>
      <c r="C120" t="s">
        <v>56</v>
      </c>
      <c r="D120" t="str">
        <f>IF(LEFT(Table23[[#This Row],[Opponent]],1)="@","Away","Home")</f>
        <v>Home</v>
      </c>
      <c r="E120">
        <f>_xlfn.NUMBERVALUE(MID(LEFT(Table23[[#This Row],[Score]],FIND("-",Table23[[#This Row],[Score]])-1),FIND(" ",Table23[[#This Row],[Score]])+1,LEN(Table23[[#This Row],[Score]])))</f>
        <v>1</v>
      </c>
      <c r="F120">
        <f>_xlfn.NUMBERVALUE(RIGHT(Table23[[#This Row],[Score]],LEN(Table23[[#This Row],[Score]])-FIND("-",Table23[[#This Row],[Score]])))</f>
        <v>7</v>
      </c>
      <c r="G120">
        <f t="shared" si="17"/>
        <v>8</v>
      </c>
      <c r="H120" t="str">
        <f>LEFT(Table23[[#This Row],[Score]],1)</f>
        <v>L</v>
      </c>
      <c r="I120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120" s="33">
        <f>VLOOKUP(Table23[[#This Row],[OPP]],Raw!$L$2:$S$23,7,FALSE)-Raw!$U$2</f>
        <v>0.13556883576803896</v>
      </c>
    </row>
    <row r="121" spans="1:10" x14ac:dyDescent="0.25">
      <c r="A121" t="s">
        <v>541</v>
      </c>
      <c r="B121" t="s">
        <v>74</v>
      </c>
      <c r="C121" t="s">
        <v>226</v>
      </c>
      <c r="D121" t="str">
        <f>IF(LEFT(Table23[[#This Row],[Opponent]],1)="@","Away","Home")</f>
        <v>Home</v>
      </c>
      <c r="E121">
        <f>_xlfn.NUMBERVALUE(MID(LEFT(Table23[[#This Row],[Score]],FIND("-",Table23[[#This Row],[Score]])-1),FIND(" ",Table23[[#This Row],[Score]])+1,LEN(Table23[[#This Row],[Score]])))</f>
        <v>3</v>
      </c>
      <c r="F121">
        <f>_xlfn.NUMBERVALUE(RIGHT(Table23[[#This Row],[Score]],LEN(Table23[[#This Row],[Score]])-FIND("-",Table23[[#This Row],[Score]])))</f>
        <v>2</v>
      </c>
      <c r="G121">
        <f>E121+F121</f>
        <v>5</v>
      </c>
      <c r="H121" t="str">
        <f>LEFT(Table23[[#This Row],[Score]],1)</f>
        <v>W</v>
      </c>
      <c r="I121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121" s="33">
        <f>VLOOKUP(Table23[[#This Row],[OPP]],Raw!$L$2:$S$23,7,FALSE)-Raw!$U$2</f>
        <v>0.17977853842844585</v>
      </c>
    </row>
    <row r="122" spans="1:10" x14ac:dyDescent="0.25">
      <c r="A122" t="s">
        <v>542</v>
      </c>
      <c r="B122" t="s">
        <v>120</v>
      </c>
      <c r="C122" t="s">
        <v>11</v>
      </c>
      <c r="D122" t="str">
        <f>IF(LEFT(Table23[[#This Row],[Opponent]],1)="@","Away","Home")</f>
        <v>Away</v>
      </c>
      <c r="E122">
        <f>_xlfn.NUMBERVALUE(MID(LEFT(Table23[[#This Row],[Score]],FIND("-",Table23[[#This Row],[Score]])-1),FIND(" ",Table23[[#This Row],[Score]])+1,LEN(Table23[[#This Row],[Score]])))</f>
        <v>3</v>
      </c>
      <c r="F122">
        <f>_xlfn.NUMBERVALUE(RIGHT(Table23[[#This Row],[Score]],LEN(Table23[[#This Row],[Score]])-FIND("-",Table23[[#This Row],[Score]])))</f>
        <v>12</v>
      </c>
      <c r="G122">
        <f>E122+F122</f>
        <v>15</v>
      </c>
      <c r="H122" t="str">
        <f>LEFT(Table23[[#This Row],[Score]],1)</f>
        <v>L</v>
      </c>
      <c r="I122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122" s="33">
        <f>VLOOKUP(Table23[[#This Row],[OPP]],Raw!$L$2:$S$23,7,FALSE)-Raw!$U$2</f>
        <v>0.17977853842844585</v>
      </c>
    </row>
    <row r="123" spans="1:10" x14ac:dyDescent="0.25">
      <c r="A123" t="s">
        <v>543</v>
      </c>
      <c r="B123" t="s">
        <v>319</v>
      </c>
      <c r="C123" t="s">
        <v>389</v>
      </c>
      <c r="D123" t="str">
        <f>IF(LEFT(Table23[[#This Row],[Opponent]],1)="@","Away","Home")</f>
        <v>Away</v>
      </c>
      <c r="E123">
        <f>_xlfn.NUMBERVALUE(MID(LEFT(Table23[[#This Row],[Score]],FIND("-",Table23[[#This Row],[Score]])-1),FIND(" ",Table23[[#This Row],[Score]])+1,LEN(Table23[[#This Row],[Score]])))</f>
        <v>11</v>
      </c>
      <c r="F123">
        <f>_xlfn.NUMBERVALUE(RIGHT(Table23[[#This Row],[Score]],LEN(Table23[[#This Row],[Score]])-FIND("-",Table23[[#This Row],[Score]])))</f>
        <v>0</v>
      </c>
      <c r="G123">
        <f>E123+F123</f>
        <v>11</v>
      </c>
      <c r="H123" t="str">
        <f>LEFT(Table23[[#This Row],[Score]],1)</f>
        <v>W</v>
      </c>
      <c r="I123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123" s="33">
        <f>VLOOKUP(Table23[[#This Row],[OPP]],Raw!$L$2:$S$23,7,FALSE)-Raw!$U$2</f>
        <v>-1.5172089420097388</v>
      </c>
    </row>
    <row r="124" spans="1:10" x14ac:dyDescent="0.25">
      <c r="A124" t="s">
        <v>546</v>
      </c>
      <c r="B124" t="s">
        <v>319</v>
      </c>
      <c r="C124" t="s">
        <v>300</v>
      </c>
      <c r="D124" t="str">
        <f>IF(LEFT(Table23[[#This Row],[Opponent]],1)="@","Away","Home")</f>
        <v>Away</v>
      </c>
      <c r="E124">
        <f>_xlfn.NUMBERVALUE(MID(LEFT(Table23[[#This Row],[Score]],FIND("-",Table23[[#This Row],[Score]])-1),FIND(" ",Table23[[#This Row],[Score]])+1,LEN(Table23[[#This Row],[Score]])))</f>
        <v>9</v>
      </c>
      <c r="F124">
        <f>_xlfn.NUMBERVALUE(RIGHT(Table23[[#This Row],[Score]],LEN(Table23[[#This Row],[Score]])-FIND("-",Table23[[#This Row],[Score]])))</f>
        <v>4</v>
      </c>
      <c r="G124">
        <f>E124+F124</f>
        <v>13</v>
      </c>
      <c r="H124" t="str">
        <f>LEFT(Table23[[#This Row],[Score]],1)</f>
        <v>W</v>
      </c>
      <c r="I124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124" s="33">
        <f>VLOOKUP(Table23[[#This Row],[OPP]],Raw!$L$2:$S$23,7,FALSE)-Raw!$U$2</f>
        <v>-1.5172089420097388</v>
      </c>
    </row>
    <row r="125" spans="1:10" x14ac:dyDescent="0.25">
      <c r="A125" t="s">
        <v>549</v>
      </c>
      <c r="B125" t="s">
        <v>332</v>
      </c>
      <c r="C125" t="s">
        <v>128</v>
      </c>
      <c r="D125" t="str">
        <f>IF(LEFT(Table23[[#This Row],[Opponent]],1)="@","Away","Home")</f>
        <v>Away</v>
      </c>
      <c r="E125">
        <f>_xlfn.NUMBERVALUE(MID(LEFT(Table23[[#This Row],[Score]],FIND("-",Table23[[#This Row],[Score]])-1),FIND(" ",Table23[[#This Row],[Score]])+1,LEN(Table23[[#This Row],[Score]])))</f>
        <v>6</v>
      </c>
      <c r="F125">
        <f>_xlfn.NUMBERVALUE(RIGHT(Table23[[#This Row],[Score]],LEN(Table23[[#This Row],[Score]])-FIND("-",Table23[[#This Row],[Score]])))</f>
        <v>5</v>
      </c>
      <c r="G125">
        <f t="shared" ref="G125:G128" si="18">E125+F125</f>
        <v>11</v>
      </c>
      <c r="H125" t="str">
        <f>LEFT(Table23[[#This Row],[Score]],1)</f>
        <v>W</v>
      </c>
      <c r="I125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125" s="33">
        <f>VLOOKUP(Table23[[#This Row],[OPP]],Raw!$L$2:$S$23,7,FALSE)-Raw!$U$2</f>
        <v>0.7572433271608402</v>
      </c>
    </row>
    <row r="126" spans="1:10" x14ac:dyDescent="0.25">
      <c r="A126" t="s">
        <v>550</v>
      </c>
      <c r="B126" t="s">
        <v>332</v>
      </c>
      <c r="C126" t="s">
        <v>298</v>
      </c>
      <c r="D126" t="str">
        <f>IF(LEFT(Table23[[#This Row],[Opponent]],1)="@","Away","Home")</f>
        <v>Away</v>
      </c>
      <c r="E126">
        <f>_xlfn.NUMBERVALUE(MID(LEFT(Table23[[#This Row],[Score]],FIND("-",Table23[[#This Row],[Score]])-1),FIND(" ",Table23[[#This Row],[Score]])+1,LEN(Table23[[#This Row],[Score]])))</f>
        <v>1</v>
      </c>
      <c r="F126">
        <f>_xlfn.NUMBERVALUE(RIGHT(Table23[[#This Row],[Score]],LEN(Table23[[#This Row],[Score]])-FIND("-",Table23[[#This Row],[Score]])))</f>
        <v>2</v>
      </c>
      <c r="G126">
        <f t="shared" si="18"/>
        <v>3</v>
      </c>
      <c r="H126" t="str">
        <f>LEFT(Table23[[#This Row],[Score]],1)</f>
        <v>L</v>
      </c>
      <c r="I126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126" s="33">
        <f>VLOOKUP(Table23[[#This Row],[OPP]],Raw!$L$2:$S$23,7,FALSE)-Raw!$U$2</f>
        <v>0.7572433271608402</v>
      </c>
    </row>
    <row r="127" spans="1:10" x14ac:dyDescent="0.25">
      <c r="A127" t="s">
        <v>551</v>
      </c>
      <c r="B127" t="s">
        <v>321</v>
      </c>
      <c r="C127" t="s">
        <v>33</v>
      </c>
      <c r="D127" t="str">
        <f>IF(LEFT(Table23[[#This Row],[Opponent]],1)="@","Away","Home")</f>
        <v>Home</v>
      </c>
      <c r="E127">
        <f>_xlfn.NUMBERVALUE(MID(LEFT(Table23[[#This Row],[Score]],FIND("-",Table23[[#This Row],[Score]])-1),FIND(" ",Table23[[#This Row],[Score]])+1,LEN(Table23[[#This Row],[Score]])))</f>
        <v>7</v>
      </c>
      <c r="F127">
        <f>_xlfn.NUMBERVALUE(RIGHT(Table23[[#This Row],[Score]],LEN(Table23[[#This Row],[Score]])-FIND("-",Table23[[#This Row],[Score]])))</f>
        <v>4</v>
      </c>
      <c r="G127">
        <f t="shared" si="18"/>
        <v>11</v>
      </c>
      <c r="H127" t="str">
        <f>LEFT(Table23[[#This Row],[Score]],1)</f>
        <v>W</v>
      </c>
      <c r="I127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127" s="33">
        <f>VLOOKUP(Table23[[#This Row],[OPP]],Raw!$L$2:$S$23,7,FALSE)-Raw!$U$2</f>
        <v>-1.5172089420097388</v>
      </c>
    </row>
    <row r="128" spans="1:10" x14ac:dyDescent="0.25">
      <c r="A128" t="s">
        <v>552</v>
      </c>
      <c r="B128" t="s">
        <v>319</v>
      </c>
      <c r="C128" t="s">
        <v>270</v>
      </c>
      <c r="D128" t="str">
        <f>IF(LEFT(Table23[[#This Row],[Opponent]],1)="@","Away","Home")</f>
        <v>Away</v>
      </c>
      <c r="E128">
        <f>_xlfn.NUMBERVALUE(MID(LEFT(Table23[[#This Row],[Score]],FIND("-",Table23[[#This Row],[Score]])-1),FIND(" ",Table23[[#This Row],[Score]])+1,LEN(Table23[[#This Row],[Score]])))</f>
        <v>4</v>
      </c>
      <c r="F128">
        <f>_xlfn.NUMBERVALUE(RIGHT(Table23[[#This Row],[Score]],LEN(Table23[[#This Row],[Score]])-FIND("-",Table23[[#This Row],[Score]])))</f>
        <v>3</v>
      </c>
      <c r="G128">
        <f t="shared" si="18"/>
        <v>7</v>
      </c>
      <c r="H128" t="str">
        <f>LEFT(Table23[[#This Row],[Score]],1)</f>
        <v>W</v>
      </c>
      <c r="I128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128" s="33">
        <f>VLOOKUP(Table23[[#This Row],[OPP]],Raw!$L$2:$S$23,7,FALSE)-Raw!$U$2</f>
        <v>-1.5172089420097388</v>
      </c>
    </row>
    <row r="129" spans="1:10" x14ac:dyDescent="0.25">
      <c r="A129" t="s">
        <v>555</v>
      </c>
      <c r="B129" t="s">
        <v>315</v>
      </c>
      <c r="C129" t="s">
        <v>50</v>
      </c>
      <c r="D129" t="str">
        <f>IF(LEFT(Table23[[#This Row],[Opponent]],1)="@","Away","Home")</f>
        <v>Away</v>
      </c>
      <c r="E129">
        <f>_xlfn.NUMBERVALUE(MID(LEFT(Table23[[#This Row],[Score]],FIND("-",Table23[[#This Row],[Score]])-1),FIND(" ",Table23[[#This Row],[Score]])+1,LEN(Table23[[#This Row],[Score]])))</f>
        <v>3</v>
      </c>
      <c r="F129">
        <f>_xlfn.NUMBERVALUE(RIGHT(Table23[[#This Row],[Score]],LEN(Table23[[#This Row],[Score]])-FIND("-",Table23[[#This Row],[Score]])))</f>
        <v>4</v>
      </c>
      <c r="G129">
        <f>E129+F129</f>
        <v>7</v>
      </c>
      <c r="H129" t="str">
        <f>LEFT(Table23[[#This Row],[Score]],1)</f>
        <v>L</v>
      </c>
      <c r="I129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129" s="33">
        <f>VLOOKUP(Table23[[#This Row],[OPP]],Raw!$L$2:$S$23,7,FALSE)-Raw!$U$2</f>
        <v>0.13556883576803896</v>
      </c>
    </row>
    <row r="130" spans="1:10" x14ac:dyDescent="0.25">
      <c r="A130" t="s">
        <v>557</v>
      </c>
      <c r="B130" t="s">
        <v>315</v>
      </c>
      <c r="C130" t="s">
        <v>269</v>
      </c>
      <c r="D130" t="str">
        <f>IF(LEFT(Table23[[#This Row],[Opponent]],1)="@","Away","Home")</f>
        <v>Away</v>
      </c>
      <c r="E130">
        <f>_xlfn.NUMBERVALUE(MID(LEFT(Table23[[#This Row],[Score]],FIND("-",Table23[[#This Row],[Score]])-1),FIND(" ",Table23[[#This Row],[Score]])+1,LEN(Table23[[#This Row],[Score]])))</f>
        <v>2</v>
      </c>
      <c r="F130">
        <f>_xlfn.NUMBERVALUE(RIGHT(Table23[[#This Row],[Score]],LEN(Table23[[#This Row],[Score]])-FIND("-",Table23[[#This Row],[Score]])))</f>
        <v>3</v>
      </c>
      <c r="G130">
        <f>E130+F130</f>
        <v>5</v>
      </c>
      <c r="H130" t="str">
        <f>LEFT(Table23[[#This Row],[Score]],1)</f>
        <v>L</v>
      </c>
      <c r="I130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130" s="33">
        <f>VLOOKUP(Table23[[#This Row],[OPP]],Raw!$L$2:$S$23,7,FALSE)-Raw!$U$2</f>
        <v>0.13556883576803896</v>
      </c>
    </row>
    <row r="131" spans="1:10" x14ac:dyDescent="0.25">
      <c r="A131" t="s">
        <v>558</v>
      </c>
      <c r="B131" t="s">
        <v>120</v>
      </c>
      <c r="C131" t="s">
        <v>223</v>
      </c>
      <c r="D131" t="str">
        <f>IF(LEFT(Table23[[#This Row],[Opponent]],1)="@","Away","Home")</f>
        <v>Away</v>
      </c>
      <c r="E131">
        <f>_xlfn.NUMBERVALUE(MID(LEFT(Table23[[#This Row],[Score]],FIND("-",Table23[[#This Row],[Score]])-1),FIND(" ",Table23[[#This Row],[Score]])+1,LEN(Table23[[#This Row],[Score]])))</f>
        <v>10</v>
      </c>
      <c r="F131">
        <f>_xlfn.NUMBERVALUE(RIGHT(Table23[[#This Row],[Score]],LEN(Table23[[#This Row],[Score]])-FIND("-",Table23[[#This Row],[Score]])))</f>
        <v>4</v>
      </c>
      <c r="G131">
        <f t="shared" ref="G131:G132" si="19">E131+F131</f>
        <v>14</v>
      </c>
      <c r="H131" t="str">
        <f>LEFT(Table23[[#This Row],[Score]],1)</f>
        <v>W</v>
      </c>
      <c r="I131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131" s="33">
        <f>VLOOKUP(Table23[[#This Row],[OPP]],Raw!$L$2:$S$23,7,FALSE)-Raw!$U$2</f>
        <v>0.17977853842844585</v>
      </c>
    </row>
    <row r="132" spans="1:10" x14ac:dyDescent="0.25">
      <c r="A132" t="s">
        <v>558</v>
      </c>
      <c r="B132" t="s">
        <v>120</v>
      </c>
      <c r="C132" t="s">
        <v>275</v>
      </c>
      <c r="D132" t="str">
        <f>IF(LEFT(Table23[[#This Row],[Opponent]],1)="@","Away","Home")</f>
        <v>Away</v>
      </c>
      <c r="E132">
        <f>_xlfn.NUMBERVALUE(MID(LEFT(Table23[[#This Row],[Score]],FIND("-",Table23[[#This Row],[Score]])-1),FIND(" ",Table23[[#This Row],[Score]])+1,LEN(Table23[[#This Row],[Score]])))</f>
        <v>12</v>
      </c>
      <c r="F132">
        <f>_xlfn.NUMBERVALUE(RIGHT(Table23[[#This Row],[Score]],LEN(Table23[[#This Row],[Score]])-FIND("-",Table23[[#This Row],[Score]])))</f>
        <v>6</v>
      </c>
      <c r="G132">
        <f t="shared" si="19"/>
        <v>18</v>
      </c>
      <c r="H132" t="str">
        <f>LEFT(Table23[[#This Row],[Score]],1)</f>
        <v>W</v>
      </c>
      <c r="I132" s="17" t="str">
        <f>VLOOKUP(IF(Table23[[#This Row],[At]]="Home",Table23[[#This Row],[Opponent]],RIGHT(Table23[[#This Row],[Opponent]],LEN(Table23[[#This Row],[Opponent]])-1)),CHOOSE({1,2},[1]StandingsRAW!$J$1:$J$22,[1]StandingsRAW!$L$1:$L$22),2,FALSE)</f>
        <v>WAU</v>
      </c>
      <c r="J132" s="33">
        <f>VLOOKUP(Table23[[#This Row],[OPP]],Raw!$L$2:$S$23,7,FALSE)-Raw!$U$2</f>
        <v>0.17977853842844585</v>
      </c>
    </row>
    <row r="133" spans="1:10" x14ac:dyDescent="0.25">
      <c r="A133" t="s">
        <v>563</v>
      </c>
      <c r="B133" t="s">
        <v>314</v>
      </c>
      <c r="C133" t="s">
        <v>256</v>
      </c>
      <c r="D133" t="str">
        <f>IF(LEFT(Table23[[#This Row],[Opponent]],1)="@","Away","Home")</f>
        <v>Home</v>
      </c>
      <c r="E133">
        <f>_xlfn.NUMBERVALUE(MID(LEFT(Table23[[#This Row],[Score]],FIND("-",Table23[[#This Row],[Score]])-1),FIND(" ",Table23[[#This Row],[Score]])+1,LEN(Table23[[#This Row],[Score]])))</f>
        <v>11</v>
      </c>
      <c r="F133">
        <f>_xlfn.NUMBERVALUE(RIGHT(Table23[[#This Row],[Score]],LEN(Table23[[#This Row],[Score]])-FIND("-",Table23[[#This Row],[Score]])))</f>
        <v>6</v>
      </c>
      <c r="G133">
        <f>E133+F133</f>
        <v>17</v>
      </c>
      <c r="H133" t="str">
        <f>LEFT(Table23[[#This Row],[Score]],1)</f>
        <v>W</v>
      </c>
      <c r="I133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133" s="33">
        <f>VLOOKUP(Table23[[#This Row],[OPP]],Raw!$L$2:$S$23,7,FALSE)-Raw!$U$2</f>
        <v>0.13556883576803896</v>
      </c>
    </row>
    <row r="134" spans="1:10" x14ac:dyDescent="0.25">
      <c r="A134" t="s">
        <v>564</v>
      </c>
      <c r="B134" t="s">
        <v>314</v>
      </c>
      <c r="C134" t="s">
        <v>128</v>
      </c>
      <c r="D134" t="str">
        <f>IF(LEFT(Table23[[#This Row],[Opponent]],1)="@","Away","Home")</f>
        <v>Home</v>
      </c>
      <c r="E134">
        <f>_xlfn.NUMBERVALUE(MID(LEFT(Table23[[#This Row],[Score]],FIND("-",Table23[[#This Row],[Score]])-1),FIND(" ",Table23[[#This Row],[Score]])+1,LEN(Table23[[#This Row],[Score]])))</f>
        <v>6</v>
      </c>
      <c r="F134">
        <f>_xlfn.NUMBERVALUE(RIGHT(Table23[[#This Row],[Score]],LEN(Table23[[#This Row],[Score]])-FIND("-",Table23[[#This Row],[Score]])))</f>
        <v>5</v>
      </c>
      <c r="G134">
        <f t="shared" ref="G134:G137" si="20">E134+F134</f>
        <v>11</v>
      </c>
      <c r="H134" t="str">
        <f>LEFT(Table23[[#This Row],[Score]],1)</f>
        <v>W</v>
      </c>
      <c r="I134" s="17" t="str">
        <f>VLOOKUP(IF(Table23[[#This Row],[At]]="Home",Table23[[#This Row],[Opponent]],RIGHT(Table23[[#This Row],[Opponent]],LEN(Table23[[#This Row],[Opponent]])-1)),CHOOSE({1,2},[1]StandingsRAW!$J$1:$J$22,[1]StandingsRAW!$L$1:$L$22),2,FALSE)</f>
        <v>LAK</v>
      </c>
      <c r="J134" s="33">
        <f>VLOOKUP(Table23[[#This Row],[OPP]],Raw!$L$2:$S$23,7,FALSE)-Raw!$U$2</f>
        <v>0.13556883576803896</v>
      </c>
    </row>
    <row r="135" spans="1:10" x14ac:dyDescent="0.25">
      <c r="A135" t="s">
        <v>565</v>
      </c>
      <c r="B135" t="s">
        <v>98</v>
      </c>
      <c r="C135" t="s">
        <v>15</v>
      </c>
      <c r="D135" t="str">
        <f>IF(LEFT(Table23[[#This Row],[Opponent]],1)="@","Away","Home")</f>
        <v>Home</v>
      </c>
      <c r="E135">
        <f>_xlfn.NUMBERVALUE(MID(LEFT(Table23[[#This Row],[Score]],FIND("-",Table23[[#This Row],[Score]])-1),FIND(" ",Table23[[#This Row],[Score]])+1,LEN(Table23[[#This Row],[Score]])))</f>
        <v>3</v>
      </c>
      <c r="F135">
        <f>_xlfn.NUMBERVALUE(RIGHT(Table23[[#This Row],[Score]],LEN(Table23[[#This Row],[Score]])-FIND("-",Table23[[#This Row],[Score]])))</f>
        <v>1</v>
      </c>
      <c r="G135">
        <f t="shared" si="20"/>
        <v>4</v>
      </c>
      <c r="H135" t="str">
        <f>LEFT(Table23[[#This Row],[Score]],1)</f>
        <v>W</v>
      </c>
      <c r="I135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135" s="33">
        <f>VLOOKUP(Table23[[#This Row],[OPP]],Raw!$L$2:$S$23,7,FALSE)-Raw!$U$2</f>
        <v>-1.4060978308986276</v>
      </c>
    </row>
    <row r="136" spans="1:10" x14ac:dyDescent="0.25">
      <c r="A136" t="s">
        <v>566</v>
      </c>
      <c r="B136" t="s">
        <v>115</v>
      </c>
      <c r="C136" t="s">
        <v>299</v>
      </c>
      <c r="D136" t="str">
        <f>IF(LEFT(Table23[[#This Row],[Opponent]],1)="@","Away","Home")</f>
        <v>Away</v>
      </c>
      <c r="E136">
        <f>_xlfn.NUMBERVALUE(MID(LEFT(Table23[[#This Row],[Score]],FIND("-",Table23[[#This Row],[Score]])-1),FIND(" ",Table23[[#This Row],[Score]])+1,LEN(Table23[[#This Row],[Score]])))</f>
        <v>11</v>
      </c>
      <c r="F136">
        <f>_xlfn.NUMBERVALUE(RIGHT(Table23[[#This Row],[Score]],LEN(Table23[[#This Row],[Score]])-FIND("-",Table23[[#This Row],[Score]])))</f>
        <v>3</v>
      </c>
      <c r="G136">
        <f t="shared" si="20"/>
        <v>14</v>
      </c>
      <c r="H136" t="str">
        <f>LEFT(Table23[[#This Row],[Score]],1)</f>
        <v>W</v>
      </c>
      <c r="I136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136" s="33">
        <f>VLOOKUP(Table23[[#This Row],[OPP]],Raw!$L$2:$S$23,7,FALSE)-Raw!$U$2</f>
        <v>-1.4060978308986276</v>
      </c>
    </row>
    <row r="137" spans="1:10" x14ac:dyDescent="0.25">
      <c r="A137" t="s">
        <v>568</v>
      </c>
      <c r="B137" t="s">
        <v>69</v>
      </c>
      <c r="C137" t="s">
        <v>326</v>
      </c>
      <c r="D137" t="str">
        <f>IF(LEFT(Table23[[#This Row],[Opponent]],1)="@","Away","Home")</f>
        <v>Home</v>
      </c>
      <c r="E137">
        <f>_xlfn.NUMBERVALUE(MID(LEFT(Table23[[#This Row],[Score]],FIND("-",Table23[[#This Row],[Score]])-1),FIND(" ",Table23[[#This Row],[Score]])+1,LEN(Table23[[#This Row],[Score]])))</f>
        <v>10</v>
      </c>
      <c r="F137">
        <f>_xlfn.NUMBERVALUE(RIGHT(Table23[[#This Row],[Score]],LEN(Table23[[#This Row],[Score]])-FIND("-",Table23[[#This Row],[Score]])))</f>
        <v>9</v>
      </c>
      <c r="G137">
        <f t="shared" si="20"/>
        <v>19</v>
      </c>
      <c r="H137" t="str">
        <f>LEFT(Table23[[#This Row],[Score]],1)</f>
        <v>W</v>
      </c>
      <c r="I137" s="17" t="str">
        <f>VLOOKUP(IF(Table23[[#This Row],[At]]="Home",Table23[[#This Row],[Opponent]],RIGHT(Table23[[#This Row],[Opponent]],LEN(Table23[[#This Row],[Opponent]])-1)),CHOOSE({1,2},[1]StandingsRAW!$J$1:$J$22,[1]StandingsRAW!$L$1:$L$22),2,FALSE)</f>
        <v>KMO</v>
      </c>
      <c r="J137" s="33">
        <f>VLOOKUP(Table23[[#This Row],[OPP]],Raw!$L$2:$S$23,7,FALSE)-Raw!$U$2</f>
        <v>-3.1019116024166244</v>
      </c>
    </row>
    <row r="138" spans="1:10" x14ac:dyDescent="0.25">
      <c r="A138" t="s">
        <v>589</v>
      </c>
      <c r="B138" t="s">
        <v>69</v>
      </c>
      <c r="C138" t="s">
        <v>244</v>
      </c>
      <c r="D138" t="str">
        <f>IF(LEFT(Table23[[#This Row],[Opponent]],1)="@","Away","Home")</f>
        <v>Home</v>
      </c>
      <c r="E138">
        <f>_xlfn.NUMBERVALUE(MID(LEFT(Table23[[#This Row],[Score]],FIND("-",Table23[[#This Row],[Score]])-1),FIND(" ",Table23[[#This Row],[Score]])+1,LEN(Table23[[#This Row],[Score]])))</f>
        <v>6</v>
      </c>
      <c r="F138">
        <f>_xlfn.NUMBERVALUE(RIGHT(Table23[[#This Row],[Score]],LEN(Table23[[#This Row],[Score]])-FIND("-",Table23[[#This Row],[Score]])))</f>
        <v>3</v>
      </c>
      <c r="G138">
        <f>E138+F138</f>
        <v>9</v>
      </c>
      <c r="H138" t="str">
        <f>LEFT(Table23[[#This Row],[Score]],1)</f>
        <v>W</v>
      </c>
      <c r="I138" s="17" t="str">
        <f>VLOOKUP(IF(Table23[[#This Row],[At]]="Home",Table23[[#This Row],[Opponent]],RIGHT(Table23[[#This Row],[Opponent]],LEN(Table23[[#This Row],[Opponent]])-1)),CHOOSE({1,2},[1]StandingsRAW!$J$1:$J$22,[1]StandingsRAW!$L$1:$L$22),2,FALSE)</f>
        <v>KMO</v>
      </c>
      <c r="J138" s="33">
        <f>VLOOKUP(Table23[[#This Row],[OPP]],Raw!$L$2:$S$23,7,FALSE)-Raw!$U$2</f>
        <v>-3.1019116024166244</v>
      </c>
    </row>
    <row r="139" spans="1:10" x14ac:dyDescent="0.25">
      <c r="A139" t="s">
        <v>592</v>
      </c>
      <c r="B139" t="s">
        <v>319</v>
      </c>
      <c r="C139" t="s">
        <v>275</v>
      </c>
      <c r="D139" t="str">
        <f>IF(LEFT(Table23[[#This Row],[Opponent]],1)="@","Away","Home")</f>
        <v>Away</v>
      </c>
      <c r="E139">
        <f>_xlfn.NUMBERVALUE(MID(LEFT(Table23[[#This Row],[Score]],FIND("-",Table23[[#This Row],[Score]])-1),FIND(" ",Table23[[#This Row],[Score]])+1,LEN(Table23[[#This Row],[Score]])))</f>
        <v>12</v>
      </c>
      <c r="F139">
        <f>_xlfn.NUMBERVALUE(RIGHT(Table23[[#This Row],[Score]],LEN(Table23[[#This Row],[Score]])-FIND("-",Table23[[#This Row],[Score]])))</f>
        <v>6</v>
      </c>
      <c r="G139">
        <f>E139+F139</f>
        <v>18</v>
      </c>
      <c r="H139" t="str">
        <f>LEFT(Table23[[#This Row],[Score]],1)</f>
        <v>W</v>
      </c>
      <c r="I139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139" s="33">
        <f>VLOOKUP(Table23[[#This Row],[OPP]],Raw!$L$2:$S$23,7,FALSE)-Raw!$U$2</f>
        <v>-1.5172089420097388</v>
      </c>
    </row>
    <row r="140" spans="1:10" x14ac:dyDescent="0.25">
      <c r="A140" t="s">
        <v>595</v>
      </c>
      <c r="B140" t="s">
        <v>321</v>
      </c>
      <c r="C140" t="s">
        <v>429</v>
      </c>
      <c r="D140" t="str">
        <f>IF(LEFT(Table23[[#This Row],[Opponent]],1)="@","Away","Home")</f>
        <v>Home</v>
      </c>
      <c r="E140">
        <f>_xlfn.NUMBERVALUE(MID(LEFT(Table23[[#This Row],[Score]],FIND("-",Table23[[#This Row],[Score]])-1),FIND(" ",Table23[[#This Row],[Score]])+1,LEN(Table23[[#This Row],[Score]])))</f>
        <v>16</v>
      </c>
      <c r="F140">
        <f>_xlfn.NUMBERVALUE(RIGHT(Table23[[#This Row],[Score]],LEN(Table23[[#This Row],[Score]])-FIND("-",Table23[[#This Row],[Score]])))</f>
        <v>6</v>
      </c>
      <c r="G140">
        <f>E140+F140</f>
        <v>22</v>
      </c>
      <c r="H140" t="str">
        <f>LEFT(Table23[[#This Row],[Score]],1)</f>
        <v>W</v>
      </c>
      <c r="I140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140" s="33">
        <f>VLOOKUP(Table23[[#This Row],[OPP]],Raw!$L$2:$S$23,7,FALSE)-Raw!$U$2</f>
        <v>-1.5172089420097388</v>
      </c>
    </row>
    <row r="141" spans="1:10" x14ac:dyDescent="0.25">
      <c r="A141" t="s">
        <v>598</v>
      </c>
      <c r="B141" t="s">
        <v>98</v>
      </c>
      <c r="C141" t="s">
        <v>6</v>
      </c>
      <c r="D141" t="str">
        <f>IF(LEFT(Table23[[#This Row],[Opponent]],1)="@","Away","Home")</f>
        <v>Home</v>
      </c>
      <c r="E141">
        <f>_xlfn.NUMBERVALUE(MID(LEFT(Table23[[#This Row],[Score]],FIND("-",Table23[[#This Row],[Score]])-1),FIND(" ",Table23[[#This Row],[Score]])+1,LEN(Table23[[#This Row],[Score]])))</f>
        <v>2</v>
      </c>
      <c r="F141">
        <f>_xlfn.NUMBERVALUE(RIGHT(Table23[[#This Row],[Score]],LEN(Table23[[#This Row],[Score]])-FIND("-",Table23[[#This Row],[Score]])))</f>
        <v>6</v>
      </c>
      <c r="G141">
        <f>E141+F141</f>
        <v>8</v>
      </c>
      <c r="H141" t="str">
        <f>LEFT(Table23[[#This Row],[Score]],1)</f>
        <v>L</v>
      </c>
      <c r="I141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141" s="33">
        <f>VLOOKUP(Table23[[#This Row],[OPP]],Raw!$L$2:$S$23,7,FALSE)-Raw!$U$2</f>
        <v>-1.4060978308986276</v>
      </c>
    </row>
    <row r="142" spans="1:10" x14ac:dyDescent="0.25">
      <c r="A142" t="s">
        <v>599</v>
      </c>
      <c r="B142" t="s">
        <v>98</v>
      </c>
      <c r="C142" t="s">
        <v>212</v>
      </c>
      <c r="D142" t="str">
        <f>IF(LEFT(Table23[[#This Row],[Opponent]],1)="@","Away","Home")</f>
        <v>Home</v>
      </c>
      <c r="E142">
        <f>_xlfn.NUMBERVALUE(MID(LEFT(Table23[[#This Row],[Score]],FIND("-",Table23[[#This Row],[Score]])-1),FIND(" ",Table23[[#This Row],[Score]])+1,LEN(Table23[[#This Row],[Score]])))</f>
        <v>6</v>
      </c>
      <c r="F142">
        <f>_xlfn.NUMBERVALUE(RIGHT(Table23[[#This Row],[Score]],LEN(Table23[[#This Row],[Score]])-FIND("-",Table23[[#This Row],[Score]])))</f>
        <v>10</v>
      </c>
      <c r="G142">
        <f>E142+F142</f>
        <v>16</v>
      </c>
      <c r="H142" t="str">
        <f>LEFT(Table23[[#This Row],[Score]],1)</f>
        <v>L</v>
      </c>
      <c r="I142" s="17" t="str">
        <f>VLOOKUP(IF(Table23[[#This Row],[At]]="Home",Table23[[#This Row],[Opponent]],RIGHT(Table23[[#This Row],[Opponent]],LEN(Table23[[#This Row],[Opponent]])-1)),CHOOSE({1,2},[1]StandingsRAW!$J$1:$J$22,[1]StandingsRAW!$L$1:$L$22),2,FALSE)</f>
        <v>GB</v>
      </c>
      <c r="J142" s="33">
        <f>VLOOKUP(Table23[[#This Row],[OPP]],Raw!$L$2:$S$23,7,FALSE)-Raw!$U$2</f>
        <v>-1.4060978308986276</v>
      </c>
    </row>
    <row r="143" spans="1:10" x14ac:dyDescent="0.25">
      <c r="A143" t="s">
        <v>600</v>
      </c>
      <c r="B143" t="s">
        <v>333</v>
      </c>
      <c r="C143" t="s">
        <v>323</v>
      </c>
      <c r="D143" t="str">
        <f>IF(LEFT(Table23[[#This Row],[Opponent]],1)="@","Away","Home")</f>
        <v>Home</v>
      </c>
      <c r="E143">
        <f>_xlfn.NUMBERVALUE(MID(LEFT(Table23[[#This Row],[Score]],FIND("-",Table23[[#This Row],[Score]])-1),FIND(" ",Table23[[#This Row],[Score]])+1,LEN(Table23[[#This Row],[Score]])))</f>
        <v>7</v>
      </c>
      <c r="F143">
        <f>_xlfn.NUMBERVALUE(RIGHT(Table23[[#This Row],[Score]],LEN(Table23[[#This Row],[Score]])-FIND("-",Table23[[#This Row],[Score]])))</f>
        <v>6</v>
      </c>
      <c r="G143">
        <f t="shared" ref="G143:G146" si="21">E143+F143</f>
        <v>13</v>
      </c>
      <c r="H143" t="str">
        <f>LEFT(Table23[[#This Row],[Score]],1)</f>
        <v>W</v>
      </c>
      <c r="I143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143" s="33">
        <f>VLOOKUP(Table23[[#This Row],[OPP]],Raw!$L$2:$S$23,7,FALSE)-Raw!$U$2</f>
        <v>0.7572433271608402</v>
      </c>
    </row>
    <row r="144" spans="1:10" x14ac:dyDescent="0.25">
      <c r="A144" t="s">
        <v>601</v>
      </c>
      <c r="B144" t="s">
        <v>333</v>
      </c>
      <c r="C144" t="s">
        <v>275</v>
      </c>
      <c r="D144" t="str">
        <f>IF(LEFT(Table23[[#This Row],[Opponent]],1)="@","Away","Home")</f>
        <v>Home</v>
      </c>
      <c r="E144">
        <f>_xlfn.NUMBERVALUE(MID(LEFT(Table23[[#This Row],[Score]],FIND("-",Table23[[#This Row],[Score]])-1),FIND(" ",Table23[[#This Row],[Score]])+1,LEN(Table23[[#This Row],[Score]])))</f>
        <v>12</v>
      </c>
      <c r="F144">
        <f>_xlfn.NUMBERVALUE(RIGHT(Table23[[#This Row],[Score]],LEN(Table23[[#This Row],[Score]])-FIND("-",Table23[[#This Row],[Score]])))</f>
        <v>6</v>
      </c>
      <c r="G144">
        <f t="shared" si="21"/>
        <v>18</v>
      </c>
      <c r="H144" t="str">
        <f>LEFT(Table23[[#This Row],[Score]],1)</f>
        <v>W</v>
      </c>
      <c r="I144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144" s="33">
        <f>VLOOKUP(Table23[[#This Row],[OPP]],Raw!$L$2:$S$23,7,FALSE)-Raw!$U$2</f>
        <v>0.7572433271608402</v>
      </c>
    </row>
    <row r="145" spans="1:10" x14ac:dyDescent="0.25">
      <c r="A145" t="s">
        <v>602</v>
      </c>
      <c r="B145" t="s">
        <v>319</v>
      </c>
      <c r="C145" t="s">
        <v>507</v>
      </c>
      <c r="D145" t="str">
        <f>IF(LEFT(Table23[[#This Row],[Opponent]],1)="@","Away","Home")</f>
        <v>Away</v>
      </c>
      <c r="E145">
        <f>_xlfn.NUMBERVALUE(MID(LEFT(Table23[[#This Row],[Score]],FIND("-",Table23[[#This Row],[Score]])-1),FIND(" ",Table23[[#This Row],[Score]])+1,LEN(Table23[[#This Row],[Score]])))</f>
        <v>14</v>
      </c>
      <c r="F145">
        <f>_xlfn.NUMBERVALUE(RIGHT(Table23[[#This Row],[Score]],LEN(Table23[[#This Row],[Score]])-FIND("-",Table23[[#This Row],[Score]])))</f>
        <v>13</v>
      </c>
      <c r="G145">
        <f t="shared" si="21"/>
        <v>27</v>
      </c>
      <c r="H145" t="str">
        <f>LEFT(Table23[[#This Row],[Score]],1)</f>
        <v>W</v>
      </c>
      <c r="I145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145" s="33">
        <f>VLOOKUP(Table23[[#This Row],[OPP]],Raw!$L$2:$S$23,7,FALSE)-Raw!$U$2</f>
        <v>-1.5172089420097388</v>
      </c>
    </row>
    <row r="146" spans="1:10" x14ac:dyDescent="0.25">
      <c r="A146" t="s">
        <v>603</v>
      </c>
      <c r="B146" t="s">
        <v>321</v>
      </c>
      <c r="C146" t="s">
        <v>128</v>
      </c>
      <c r="D146" t="str">
        <f>IF(LEFT(Table23[[#This Row],[Opponent]],1)="@","Away","Home")</f>
        <v>Home</v>
      </c>
      <c r="E146">
        <f>_xlfn.NUMBERVALUE(MID(LEFT(Table23[[#This Row],[Score]],FIND("-",Table23[[#This Row],[Score]])-1),FIND(" ",Table23[[#This Row],[Score]])+1,LEN(Table23[[#This Row],[Score]])))</f>
        <v>6</v>
      </c>
      <c r="F146">
        <f>_xlfn.NUMBERVALUE(RIGHT(Table23[[#This Row],[Score]],LEN(Table23[[#This Row],[Score]])-FIND("-",Table23[[#This Row],[Score]])))</f>
        <v>5</v>
      </c>
      <c r="G146">
        <f t="shared" si="21"/>
        <v>11</v>
      </c>
      <c r="H146" t="str">
        <f>LEFT(Table23[[#This Row],[Score]],1)</f>
        <v>W</v>
      </c>
      <c r="I146" s="17" t="str">
        <f>VLOOKUP(IF(Table23[[#This Row],[At]]="Home",Table23[[#This Row],[Opponent]],RIGHT(Table23[[#This Row],[Opponent]],LEN(Table23[[#This Row],[Opponent]])-1)),CHOOSE({1,2},[1]StandingsRAW!$J$1:$J$22,[1]StandingsRAW!$L$1:$L$22),2,FALSE)</f>
        <v>MAD</v>
      </c>
      <c r="J146" s="33">
        <f>VLOOKUP(Table23[[#This Row],[OPP]],Raw!$L$2:$S$23,7,FALSE)-Raw!$U$2</f>
        <v>-1.5172089420097388</v>
      </c>
    </row>
    <row r="147" spans="1:10" x14ac:dyDescent="0.25">
      <c r="A147" t="s">
        <v>608</v>
      </c>
      <c r="B147" t="s">
        <v>333</v>
      </c>
      <c r="C147" t="s">
        <v>303</v>
      </c>
      <c r="D147" t="str">
        <f>IF(LEFT(Table23[[#This Row],[Opponent]],1)="@","Away","Home")</f>
        <v>Home</v>
      </c>
      <c r="E147">
        <f>_xlfn.NUMBERVALUE(MID(LEFT(Table23[[#This Row],[Score]],FIND("-",Table23[[#This Row],[Score]])-1),FIND(" ",Table23[[#This Row],[Score]])+1,LEN(Table23[[#This Row],[Score]])))</f>
        <v>8</v>
      </c>
      <c r="F147">
        <f>_xlfn.NUMBERVALUE(RIGHT(Table23[[#This Row],[Score]],LEN(Table23[[#This Row],[Score]])-FIND("-",Table23[[#This Row],[Score]])))</f>
        <v>2</v>
      </c>
      <c r="G147">
        <f t="shared" ref="G147:G148" si="22">E147+F147</f>
        <v>10</v>
      </c>
      <c r="H147" t="str">
        <f>LEFT(Table23[[#This Row],[Score]],1)</f>
        <v>W</v>
      </c>
      <c r="I147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147" s="33">
        <f>VLOOKUP(Table23[[#This Row],[OPP]],Raw!$L$2:$S$23,7,FALSE)-Raw!$U$2</f>
        <v>0.7572433271608402</v>
      </c>
    </row>
    <row r="148" spans="1:10" x14ac:dyDescent="0.25">
      <c r="A148" t="s">
        <v>609</v>
      </c>
      <c r="B148" t="s">
        <v>332</v>
      </c>
      <c r="C148" t="s">
        <v>255</v>
      </c>
      <c r="D148" t="str">
        <f>IF(LEFT(Table23[[#This Row],[Opponent]],1)="@","Away","Home")</f>
        <v>Away</v>
      </c>
      <c r="E148">
        <f>_xlfn.NUMBERVALUE(MID(LEFT(Table23[[#This Row],[Score]],FIND("-",Table23[[#This Row],[Score]])-1),FIND(" ",Table23[[#This Row],[Score]])+1,LEN(Table23[[#This Row],[Score]])))</f>
        <v>4</v>
      </c>
      <c r="F148">
        <f>_xlfn.NUMBERVALUE(RIGHT(Table23[[#This Row],[Score]],LEN(Table23[[#This Row],[Score]])-FIND("-",Table23[[#This Row],[Score]])))</f>
        <v>10</v>
      </c>
      <c r="G148">
        <f t="shared" si="22"/>
        <v>14</v>
      </c>
      <c r="H148" t="str">
        <f>LEFT(Table23[[#This Row],[Score]],1)</f>
        <v>L</v>
      </c>
      <c r="I148" s="17" t="str">
        <f>VLOOKUP(IF(Table23[[#This Row],[At]]="Home",Table23[[#This Row],[Opponent]],RIGHT(Table23[[#This Row],[Opponent]],LEN(Table23[[#This Row],[Opponent]])-1)),CHOOSE({1,2},[1]StandingsRAW!$J$1:$J$22,[1]StandingsRAW!$L$1:$L$22),2,FALSE)</f>
        <v>FDL</v>
      </c>
      <c r="J148" s="33">
        <f>VLOOKUP(Table23[[#This Row],[OPP]],Raw!$L$2:$S$23,7,FALSE)-Raw!$U$2</f>
        <v>0.7572433271608402</v>
      </c>
    </row>
  </sheetData>
  <conditionalFormatting sqref="L17">
    <cfRule type="cellIs" dxfId="4" priority="4" operator="greaterThan">
      <formula>100</formula>
    </cfRule>
    <cfRule type="cellIs" dxfId="3" priority="5" operator="lessThan">
      <formula>100</formula>
    </cfRule>
  </conditionalFormatting>
  <conditionalFormatting sqref="L18">
    <cfRule type="cellIs" dxfId="2" priority="2" operator="greaterThan">
      <formula>100</formula>
    </cfRule>
    <cfRule type="cellIs" dxfId="1" priority="3" operator="lessThan">
      <formula>100</formula>
    </cfRule>
  </conditionalFormatting>
  <conditionalFormatting sqref="L17:L18">
    <cfRule type="cellIs" dxfId="0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96A2-07CE-44D2-AFBB-7C46C9B1A16B}">
  <sheetPr codeName="Sheet3"/>
  <dimension ref="A1:P148"/>
  <sheetViews>
    <sheetView topLeftCell="A69" workbookViewId="0">
      <selection activeCell="A77" sqref="A77"/>
    </sheetView>
  </sheetViews>
  <sheetFormatPr defaultRowHeight="15" x14ac:dyDescent="0.25"/>
  <cols>
    <col min="2" max="2" width="27.42578125" customWidth="1"/>
    <col min="11" max="11" width="9.140625" style="4"/>
    <col min="12" max="12" width="9.140625" style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5</v>
      </c>
      <c r="C3" t="s">
        <v>6</v>
      </c>
      <c r="E3" s="1" t="str">
        <f>IF(LEFT(B3,1)="@","Away","Home")</f>
        <v>Home</v>
      </c>
      <c r="F3" s="3">
        <f>_xlfn.NUMBERVALUE(MID(LEFT(C3,FIND("-",C3)-1),FIND(" ",C3)+1,LEN(C3)))</f>
        <v>2</v>
      </c>
      <c r="G3" s="3">
        <f>_xlfn.NUMBERVALUE(RIGHT(C3,LEN(C3)-FIND("-",C3)))</f>
        <v>6</v>
      </c>
      <c r="H3" s="3">
        <f t="shared" ref="H3:H67" si="0">F3+G3</f>
        <v>8</v>
      </c>
      <c r="I3" s="3" t="str">
        <f>LEFT(C3,1)</f>
        <v>L</v>
      </c>
      <c r="K3" s="4" t="s">
        <v>139</v>
      </c>
      <c r="L3" s="5">
        <f>(SUMIF($E$3:$E$74,$K3,F$3:F$74) + SUMIF(Table1[At],$K3,Table1[Scored]))/(COUNTIF($E$3:$E$74,$K3) + COUNTIF(Table1[At],$K3))</f>
        <v>5.208333333333333</v>
      </c>
      <c r="M3" s="5">
        <f>(SUMIF($E$3:$E$74,$K3,G$3:G$74) + SUMIF(Table1[Scored],$K3,Table1[Allowed]))/(COUNTIF($E$3:$E$74,$K3) + COUNTIF(Table1[Scored],$K3))</f>
        <v>6.166666666666667</v>
      </c>
      <c r="N3" s="5">
        <f>L3+M3</f>
        <v>11.375</v>
      </c>
      <c r="O3" s="5">
        <f>(COUNTIFS($E$3:$E$74,$K3,$I$3:$I$74,O$2) + COUNTIFS(Table1[At],$K3,Table1[Result],O$2))/(COUNTIF($E$3:$E$74,$K3) + COUNTIF(Table1[At],$K3))</f>
        <v>0.40277777777777779</v>
      </c>
      <c r="P3" s="5">
        <f>(COUNTIFS($E$3:$E$74,$K3,$I$3:$I$74,P$2) + COUNTIFS(Table1[Scored],$K3,Table1[OPP],P$2))/(COUNTIF($E$3:$E$74,$K3) + COUNTIF(Table1[Scored],$K3))</f>
        <v>0.58333333333333337</v>
      </c>
    </row>
    <row r="4" spans="1:16" x14ac:dyDescent="0.25">
      <c r="A4" t="s">
        <v>7</v>
      </c>
      <c r="B4" t="s">
        <v>5</v>
      </c>
      <c r="C4" t="s">
        <v>8</v>
      </c>
      <c r="E4" s="1" t="str">
        <f t="shared" ref="E4:E67" si="1">IF(LEFT(B4,1)="@","Away","Home")</f>
        <v>Home</v>
      </c>
      <c r="F4" s="3">
        <f t="shared" ref="F4:F67" si="2">_xlfn.NUMBERVALUE(MID(LEFT(C4,FIND("-",C4)-1),FIND(" ",C4)+1,LEN(C4)))</f>
        <v>1</v>
      </c>
      <c r="G4" s="3">
        <f t="shared" ref="G4:G67" si="3">_xlfn.NUMBERVALUE(RIGHT(C4,LEN(C4)-FIND("-",C4)))</f>
        <v>13</v>
      </c>
      <c r="H4" s="3">
        <f t="shared" si="0"/>
        <v>14</v>
      </c>
      <c r="I4" s="3" t="str">
        <f t="shared" ref="I4:I67" si="4">LEFT(C4,1)</f>
        <v>L</v>
      </c>
      <c r="K4" s="4" t="s">
        <v>140</v>
      </c>
      <c r="L4" s="5">
        <f>(SUMIF($E$3:$E$74,$K4,F$3:F$74) + SUMIF(Table1[At],$K4,Table1[Scored]))/(COUNTIF($E$3:$E$74,$K4) + COUNTIF(Table1[At],$K4))</f>
        <v>5.4861111111111107</v>
      </c>
      <c r="M4" s="5">
        <f>(SUMIF($E$3:$E$74,$K4,G$3:G$74) + SUMIF(Table1[Scored],$K4,Table1[Allowed]))/(COUNTIF($E$3:$E$74,$K4) + COUNTIF(Table1[Scored],$K4))</f>
        <v>7.3888888888888893</v>
      </c>
      <c r="N4" s="5">
        <f>L4+M4</f>
        <v>12.875</v>
      </c>
      <c r="O4" s="5">
        <f>(COUNTIFS($E$3:$E$74,$K4,$I$3:$I$74,O$2) + COUNTIFS(Table1[At],$K4,Table1[Result],O$2))/(COUNTIF($E$3:$E$74,$K4) + COUNTIF(Table1[At],$K4))</f>
        <v>0.45833333333333331</v>
      </c>
      <c r="P4" s="5">
        <f>(COUNTIFS($E$3:$E$74,$K4,$I$3:$I$74,P$2) + COUNTIFS(Table1[Scored],$K4,Table1[OPP],P$2))/(COUNTIF($E$3:$E$74,$K4) + COUNTIF(Table1[Scored],$K4))</f>
        <v>0.66666666666666663</v>
      </c>
    </row>
    <row r="5" spans="1:16" x14ac:dyDescent="0.25">
      <c r="A5" t="s">
        <v>9</v>
      </c>
      <c r="B5" t="s">
        <v>10</v>
      </c>
      <c r="C5" t="s">
        <v>11</v>
      </c>
      <c r="E5" s="1" t="str">
        <f t="shared" si="1"/>
        <v>Away</v>
      </c>
      <c r="F5" s="3">
        <f t="shared" si="2"/>
        <v>3</v>
      </c>
      <c r="G5" s="3">
        <f t="shared" si="3"/>
        <v>12</v>
      </c>
      <c r="H5" s="3">
        <f t="shared" si="0"/>
        <v>15</v>
      </c>
      <c r="I5" s="3" t="str">
        <f t="shared" si="4"/>
        <v>L</v>
      </c>
    </row>
    <row r="6" spans="1:16" x14ac:dyDescent="0.25">
      <c r="A6" t="s">
        <v>12</v>
      </c>
      <c r="B6" t="s">
        <v>10</v>
      </c>
      <c r="C6" t="s">
        <v>13</v>
      </c>
      <c r="E6" s="1" t="str">
        <f t="shared" si="1"/>
        <v>Away</v>
      </c>
      <c r="F6" s="3">
        <f t="shared" si="2"/>
        <v>3</v>
      </c>
      <c r="G6" s="3">
        <f t="shared" si="3"/>
        <v>17</v>
      </c>
      <c r="H6" s="3">
        <f t="shared" si="0"/>
        <v>20</v>
      </c>
      <c r="I6" s="3" t="str">
        <f t="shared" si="4"/>
        <v>L</v>
      </c>
      <c r="K6" s="4" t="s">
        <v>144</v>
      </c>
      <c r="L6" s="5">
        <f>N3/N4</f>
        <v>0.88349514563106801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5</v>
      </c>
      <c r="C7" t="s">
        <v>15</v>
      </c>
      <c r="E7" s="1" t="str">
        <f t="shared" si="1"/>
        <v>Home</v>
      </c>
      <c r="F7" s="3">
        <f t="shared" si="2"/>
        <v>3</v>
      </c>
      <c r="G7" s="3">
        <f t="shared" si="3"/>
        <v>1</v>
      </c>
      <c r="H7" s="3">
        <f t="shared" si="0"/>
        <v>4</v>
      </c>
      <c r="I7" s="3" t="str">
        <f t="shared" si="4"/>
        <v>W</v>
      </c>
      <c r="K7" s="7" t="s">
        <v>143</v>
      </c>
      <c r="L7" s="5">
        <f>(18.5 - O3)/(18.5-P4)</f>
        <v>1.0147975077881619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17</v>
      </c>
      <c r="C8" t="s">
        <v>18</v>
      </c>
      <c r="E8" s="1" t="str">
        <f t="shared" si="1"/>
        <v>Away</v>
      </c>
      <c r="F8" s="3">
        <f t="shared" si="2"/>
        <v>8</v>
      </c>
      <c r="G8" s="3">
        <f t="shared" si="3"/>
        <v>9</v>
      </c>
      <c r="H8" s="3">
        <f t="shared" si="0"/>
        <v>17</v>
      </c>
      <c r="I8" s="3" t="str">
        <f t="shared" si="4"/>
        <v>L</v>
      </c>
      <c r="K8" s="7" t="s">
        <v>146</v>
      </c>
      <c r="L8" s="5">
        <f>L6/L7</f>
        <v>0.87061225402171249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20</v>
      </c>
      <c r="C9" t="s">
        <v>21</v>
      </c>
      <c r="E9" s="1" t="str">
        <f t="shared" si="1"/>
        <v>Home</v>
      </c>
      <c r="F9" s="3">
        <f t="shared" si="2"/>
        <v>6</v>
      </c>
      <c r="G9" s="3">
        <f t="shared" si="3"/>
        <v>1</v>
      </c>
      <c r="H9" s="3">
        <f t="shared" si="0"/>
        <v>7</v>
      </c>
      <c r="I9" s="3" t="str">
        <f t="shared" si="4"/>
        <v>W</v>
      </c>
      <c r="K9" s="7" t="s">
        <v>145</v>
      </c>
      <c r="L9" s="5">
        <f>(P7)/(P7-1+L8)</f>
        <v>1.0108998376165856</v>
      </c>
      <c r="O9" s="4"/>
      <c r="P9" s="1"/>
    </row>
    <row r="10" spans="1:16" x14ac:dyDescent="0.25">
      <c r="A10" t="s">
        <v>22</v>
      </c>
      <c r="B10" t="s">
        <v>23</v>
      </c>
      <c r="C10" t="s">
        <v>24</v>
      </c>
      <c r="E10" s="1" t="str">
        <f t="shared" si="1"/>
        <v>Home</v>
      </c>
      <c r="F10" s="3">
        <f t="shared" si="2"/>
        <v>10</v>
      </c>
      <c r="G10" s="3">
        <f t="shared" si="3"/>
        <v>5</v>
      </c>
      <c r="H10" s="3">
        <f t="shared" si="0"/>
        <v>15</v>
      </c>
      <c r="I10" s="3" t="str">
        <f t="shared" si="4"/>
        <v>W</v>
      </c>
      <c r="K10" s="4" t="s">
        <v>149</v>
      </c>
      <c r="L10" s="5">
        <f>L8*L9</f>
        <v>0.88010178621755875</v>
      </c>
      <c r="O10" s="4"/>
      <c r="P10" s="1"/>
    </row>
    <row r="11" spans="1:16" x14ac:dyDescent="0.25">
      <c r="A11" t="s">
        <v>25</v>
      </c>
      <c r="B11" t="s">
        <v>10</v>
      </c>
      <c r="C11" t="s">
        <v>26</v>
      </c>
      <c r="E11" s="1" t="str">
        <f t="shared" si="1"/>
        <v>Away</v>
      </c>
      <c r="F11" s="3">
        <f t="shared" si="2"/>
        <v>10</v>
      </c>
      <c r="G11" s="3">
        <f t="shared" si="3"/>
        <v>6</v>
      </c>
      <c r="H11" s="3">
        <f t="shared" si="0"/>
        <v>16</v>
      </c>
      <c r="I11" s="3" t="str">
        <f t="shared" si="4"/>
        <v>W</v>
      </c>
      <c r="K11" s="4" t="s">
        <v>148</v>
      </c>
      <c r="L11" s="5">
        <f>1 - ((L10-1)/(P7-1))</f>
        <v>1.0108998376165856</v>
      </c>
      <c r="O11" s="4"/>
      <c r="P11" s="1"/>
    </row>
    <row r="12" spans="1:16" x14ac:dyDescent="0.25">
      <c r="A12" t="s">
        <v>27</v>
      </c>
      <c r="B12" t="s">
        <v>10</v>
      </c>
      <c r="C12" t="s">
        <v>28</v>
      </c>
      <c r="E12" s="1" t="str">
        <f t="shared" si="1"/>
        <v>Away</v>
      </c>
      <c r="F12" s="3">
        <f t="shared" si="2"/>
        <v>4</v>
      </c>
      <c r="G12" s="3">
        <f t="shared" si="3"/>
        <v>2</v>
      </c>
      <c r="H12" s="3">
        <f t="shared" si="0"/>
        <v>6</v>
      </c>
      <c r="I12" s="3" t="str">
        <f t="shared" si="4"/>
        <v>W</v>
      </c>
      <c r="K12" s="4" t="s">
        <v>150</v>
      </c>
      <c r="L12" s="5">
        <f>(($L4/$L11)+($L3/$L10)) * (1 + (L13-1)/($P7-1)) / $P8</f>
        <v>0.99205260388268046</v>
      </c>
      <c r="M12" s="5">
        <f t="shared" ref="M12:O12" si="5">(($L4/$L11)+($L3/$L10)) * (1 + (M13-1)/($P7-1)) / $P8</f>
        <v>1.0146859544750884</v>
      </c>
      <c r="N12" s="5">
        <f t="shared" si="5"/>
        <v>1.0149182580853044</v>
      </c>
      <c r="O12" s="8">
        <f t="shared" si="5"/>
        <v>1.0149206423972117</v>
      </c>
      <c r="P12" s="5"/>
    </row>
    <row r="13" spans="1:16" x14ac:dyDescent="0.25">
      <c r="A13" t="s">
        <v>29</v>
      </c>
      <c r="B13" t="s">
        <v>30</v>
      </c>
      <c r="C13" t="s">
        <v>31</v>
      </c>
      <c r="E13" s="1" t="str">
        <f t="shared" si="1"/>
        <v>Away</v>
      </c>
      <c r="F13" s="3">
        <f t="shared" si="2"/>
        <v>5</v>
      </c>
      <c r="G13" s="3">
        <f t="shared" si="3"/>
        <v>9</v>
      </c>
      <c r="H13" s="3">
        <f t="shared" si="0"/>
        <v>14</v>
      </c>
      <c r="I13" s="3" t="str">
        <f t="shared" si="4"/>
        <v>L</v>
      </c>
      <c r="K13" s="4" t="s">
        <v>182</v>
      </c>
      <c r="L13" s="5">
        <v>1</v>
      </c>
      <c r="M13" s="5">
        <f>(($M4/$L11)+($M3/$L10)) * (1 + (L12-1)/($P7-1)) / $P8</f>
        <v>1.2509613457412294</v>
      </c>
      <c r="N13" s="5">
        <f>(($M4/$L11)+($M3/$L10)) * (1 + (M12-1)/($P7-1)) / $P8</f>
        <v>1.2535371564415632</v>
      </c>
      <c r="O13" s="5">
        <f>(($M4/$L11)+($M3/$L10)) * (1 + (N12-1)/($P7-1)) / $P8</f>
        <v>1.2535635939821508</v>
      </c>
      <c r="P13" s="8">
        <f>(($M4/$L11)+($M3/$L10)) * (1 + (O12-1)/($P7-1)) / $P8</f>
        <v>1.2535638653311099</v>
      </c>
    </row>
    <row r="14" spans="1:16" x14ac:dyDescent="0.25">
      <c r="A14" t="s">
        <v>32</v>
      </c>
      <c r="B14" t="s">
        <v>30</v>
      </c>
      <c r="C14" t="s">
        <v>33</v>
      </c>
      <c r="E14" s="1" t="str">
        <f t="shared" si="1"/>
        <v>Away</v>
      </c>
      <c r="F14" s="3">
        <f t="shared" si="2"/>
        <v>7</v>
      </c>
      <c r="G14" s="3">
        <f t="shared" si="3"/>
        <v>4</v>
      </c>
      <c r="H14" s="3">
        <f t="shared" si="0"/>
        <v>11</v>
      </c>
      <c r="I14" s="3" t="str">
        <f t="shared" si="4"/>
        <v>W</v>
      </c>
      <c r="K14" s="4" t="s">
        <v>183</v>
      </c>
      <c r="L14" s="5">
        <f xml:space="preserve"> (L10+L11) / (2 * (1 + ((P13-1)/(P7-1))))</f>
        <v>0.9241969082459891</v>
      </c>
      <c r="N14" s="5"/>
    </row>
    <row r="15" spans="1:16" x14ac:dyDescent="0.25">
      <c r="A15" t="s">
        <v>34</v>
      </c>
      <c r="B15" t="s">
        <v>20</v>
      </c>
      <c r="C15" t="s">
        <v>35</v>
      </c>
      <c r="E15" s="1" t="str">
        <f t="shared" si="1"/>
        <v>Home</v>
      </c>
      <c r="F15" s="3">
        <f t="shared" si="2"/>
        <v>4</v>
      </c>
      <c r="G15" s="3">
        <f t="shared" si="3"/>
        <v>1</v>
      </c>
      <c r="H15" s="3">
        <f t="shared" si="0"/>
        <v>5</v>
      </c>
      <c r="I15" s="3" t="str">
        <f t="shared" si="4"/>
        <v>W</v>
      </c>
      <c r="K15" s="4" t="s">
        <v>184</v>
      </c>
      <c r="L15" s="5">
        <f xml:space="preserve"> (L10+L11) / (2 * (1 + ((O12-1)/(P7-1))))</f>
        <v>0.94422005103291407</v>
      </c>
    </row>
    <row r="16" spans="1:16" ht="15.75" thickBot="1" x14ac:dyDescent="0.3">
      <c r="A16" t="s">
        <v>34</v>
      </c>
      <c r="B16" t="s">
        <v>20</v>
      </c>
      <c r="C16" t="s">
        <v>36</v>
      </c>
      <c r="E16" s="1" t="str">
        <f t="shared" si="1"/>
        <v>Home</v>
      </c>
      <c r="F16" s="3">
        <f t="shared" si="2"/>
        <v>1</v>
      </c>
      <c r="G16" s="3">
        <f t="shared" si="3"/>
        <v>5</v>
      </c>
      <c r="H16" s="3">
        <f t="shared" si="0"/>
        <v>6</v>
      </c>
      <c r="I16" s="3" t="str">
        <f t="shared" si="4"/>
        <v>L</v>
      </c>
    </row>
    <row r="17" spans="1:14" x14ac:dyDescent="0.25">
      <c r="A17" t="s">
        <v>37</v>
      </c>
      <c r="B17" t="s">
        <v>20</v>
      </c>
      <c r="C17" t="s">
        <v>38</v>
      </c>
      <c r="E17" s="1" t="str">
        <f t="shared" si="1"/>
        <v>Home</v>
      </c>
      <c r="F17" s="3">
        <f t="shared" si="2"/>
        <v>3</v>
      </c>
      <c r="G17" s="3">
        <f t="shared" si="3"/>
        <v>5</v>
      </c>
      <c r="H17" s="3">
        <f t="shared" si="0"/>
        <v>8</v>
      </c>
      <c r="I17" s="3" t="str">
        <f t="shared" si="4"/>
        <v>L</v>
      </c>
      <c r="K17" s="9" t="s">
        <v>185</v>
      </c>
      <c r="L17" s="10">
        <f>L14*100</f>
        <v>92.419690824598916</v>
      </c>
    </row>
    <row r="18" spans="1:14" ht="15.75" thickBot="1" x14ac:dyDescent="0.3">
      <c r="A18" t="s">
        <v>39</v>
      </c>
      <c r="B18" t="s">
        <v>40</v>
      </c>
      <c r="C18" t="s">
        <v>11</v>
      </c>
      <c r="E18" s="1" t="str">
        <f t="shared" si="1"/>
        <v>Away</v>
      </c>
      <c r="F18" s="3">
        <f t="shared" si="2"/>
        <v>3</v>
      </c>
      <c r="G18" s="3">
        <f t="shared" si="3"/>
        <v>12</v>
      </c>
      <c r="H18" s="3">
        <f t="shared" si="0"/>
        <v>15</v>
      </c>
      <c r="I18" s="3" t="str">
        <f t="shared" si="4"/>
        <v>L</v>
      </c>
      <c r="K18" s="11" t="s">
        <v>186</v>
      </c>
      <c r="L18" s="12">
        <f>L15*100</f>
        <v>94.422005103291411</v>
      </c>
    </row>
    <row r="19" spans="1:14" x14ac:dyDescent="0.25">
      <c r="A19" t="s">
        <v>41</v>
      </c>
      <c r="B19" t="s">
        <v>40</v>
      </c>
      <c r="C19" t="s">
        <v>42</v>
      </c>
      <c r="E19" s="1" t="str">
        <f t="shared" si="1"/>
        <v>Away</v>
      </c>
      <c r="F19" s="3">
        <f t="shared" si="2"/>
        <v>0</v>
      </c>
      <c r="G19" s="3">
        <f t="shared" si="3"/>
        <v>3</v>
      </c>
      <c r="H19" s="3">
        <f t="shared" si="0"/>
        <v>3</v>
      </c>
      <c r="I19" s="3" t="str">
        <f t="shared" si="4"/>
        <v>L</v>
      </c>
    </row>
    <row r="20" spans="1:14" x14ac:dyDescent="0.25">
      <c r="A20" t="s">
        <v>43</v>
      </c>
      <c r="B20" t="s">
        <v>30</v>
      </c>
      <c r="C20" t="s">
        <v>44</v>
      </c>
      <c r="E20" s="1" t="str">
        <f t="shared" si="1"/>
        <v>Away</v>
      </c>
      <c r="F20" s="3">
        <f t="shared" si="2"/>
        <v>2</v>
      </c>
      <c r="G20" s="3">
        <f t="shared" si="3"/>
        <v>12</v>
      </c>
      <c r="H20" s="3">
        <f t="shared" si="0"/>
        <v>14</v>
      </c>
      <c r="I20" s="3" t="str">
        <f t="shared" si="4"/>
        <v>L</v>
      </c>
    </row>
    <row r="21" spans="1:14" x14ac:dyDescent="0.25">
      <c r="A21" t="s">
        <v>45</v>
      </c>
      <c r="B21" t="s">
        <v>30</v>
      </c>
      <c r="C21" t="s">
        <v>46</v>
      </c>
      <c r="E21" s="1" t="str">
        <f t="shared" si="1"/>
        <v>Away</v>
      </c>
      <c r="F21" s="3">
        <f t="shared" si="2"/>
        <v>6</v>
      </c>
      <c r="G21" s="3">
        <f t="shared" si="3"/>
        <v>8</v>
      </c>
      <c r="H21" s="3">
        <f t="shared" si="0"/>
        <v>14</v>
      </c>
      <c r="I21" s="3" t="str">
        <f t="shared" si="4"/>
        <v>L</v>
      </c>
    </row>
    <row r="22" spans="1:14" x14ac:dyDescent="0.25">
      <c r="A22" t="s">
        <v>47</v>
      </c>
      <c r="B22" t="s">
        <v>5</v>
      </c>
      <c r="C22" t="s">
        <v>48</v>
      </c>
      <c r="E22" s="1" t="str">
        <f t="shared" si="1"/>
        <v>Home</v>
      </c>
      <c r="F22" s="3">
        <f t="shared" si="2"/>
        <v>4</v>
      </c>
      <c r="G22" s="3">
        <f t="shared" si="3"/>
        <v>5</v>
      </c>
      <c r="H22" s="3">
        <f t="shared" si="0"/>
        <v>9</v>
      </c>
      <c r="I22" s="3" t="str">
        <f t="shared" si="4"/>
        <v>L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49</v>
      </c>
      <c r="B23" t="s">
        <v>17</v>
      </c>
      <c r="C23" t="s">
        <v>50</v>
      </c>
      <c r="E23" s="1" t="str">
        <f t="shared" si="1"/>
        <v>Away</v>
      </c>
      <c r="F23" s="3">
        <f t="shared" si="2"/>
        <v>3</v>
      </c>
      <c r="G23" s="3">
        <f t="shared" si="3"/>
        <v>4</v>
      </c>
      <c r="H23" s="3">
        <f t="shared" si="0"/>
        <v>7</v>
      </c>
      <c r="I23" s="3" t="str">
        <f t="shared" si="4"/>
        <v>L</v>
      </c>
      <c r="K23" s="1">
        <f>COUNTIFS(Table1[At], "Home",Table1[Result], "W")</f>
        <v>14</v>
      </c>
      <c r="L23" s="1">
        <f>COUNTIFS(Table1[At], "Home",Table1[Result], "L")</f>
        <v>22</v>
      </c>
      <c r="M23" s="1">
        <f>COUNTIFS(Table1[At], "Away",Table1[Result], "W")</f>
        <v>21</v>
      </c>
      <c r="N23" s="1">
        <f>COUNTIFS(Table1[At], "Away",Table1[Result], "L")</f>
        <v>15</v>
      </c>
    </row>
    <row r="24" spans="1:14" x14ac:dyDescent="0.25">
      <c r="A24" t="s">
        <v>51</v>
      </c>
      <c r="B24" t="s">
        <v>52</v>
      </c>
      <c r="C24" t="s">
        <v>28</v>
      </c>
      <c r="E24" s="1" t="str">
        <f t="shared" si="1"/>
        <v>Home</v>
      </c>
      <c r="F24" s="3">
        <f t="shared" si="2"/>
        <v>4</v>
      </c>
      <c r="G24" s="3">
        <f t="shared" si="3"/>
        <v>2</v>
      </c>
      <c r="H24" s="3">
        <f t="shared" si="0"/>
        <v>6</v>
      </c>
      <c r="I24" s="3" t="str">
        <f t="shared" si="4"/>
        <v>W</v>
      </c>
      <c r="K24" s="1"/>
      <c r="M24" s="1"/>
      <c r="N24" s="1"/>
    </row>
    <row r="25" spans="1:14" x14ac:dyDescent="0.25">
      <c r="A25" t="s">
        <v>53</v>
      </c>
      <c r="B25" t="s">
        <v>52</v>
      </c>
      <c r="C25" t="s">
        <v>48</v>
      </c>
      <c r="E25" s="1" t="str">
        <f t="shared" si="1"/>
        <v>Home</v>
      </c>
      <c r="F25" s="3">
        <f t="shared" si="2"/>
        <v>4</v>
      </c>
      <c r="G25" s="3">
        <f t="shared" si="3"/>
        <v>5</v>
      </c>
      <c r="H25" s="3">
        <f t="shared" si="0"/>
        <v>9</v>
      </c>
      <c r="I25" s="3" t="str">
        <f t="shared" si="4"/>
        <v>L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54</v>
      </c>
      <c r="B26" t="s">
        <v>23</v>
      </c>
      <c r="C26" t="s">
        <v>55</v>
      </c>
      <c r="E26" s="1" t="str">
        <f t="shared" si="1"/>
        <v>Home</v>
      </c>
      <c r="F26" s="3">
        <f t="shared" si="2"/>
        <v>5</v>
      </c>
      <c r="G26" s="3">
        <f t="shared" si="3"/>
        <v>7</v>
      </c>
      <c r="H26" s="3">
        <f t="shared" si="0"/>
        <v>12</v>
      </c>
      <c r="I26" s="3" t="str">
        <f t="shared" si="4"/>
        <v>L</v>
      </c>
      <c r="K26" s="1">
        <f>COUNTIFS(Table1[oRD], "&gt;0",Table1[Result], "W")</f>
        <v>18</v>
      </c>
      <c r="L26" s="1">
        <f>COUNTIFS(Table1[oRD], "&gt;0",Table1[Result], "L")</f>
        <v>26</v>
      </c>
      <c r="M26" s="1">
        <f>COUNTIFS(Table1[oRD], "&lt;0",Table1[Result], "W")</f>
        <v>17</v>
      </c>
      <c r="N26" s="1">
        <f>COUNTIFS(Table1[oRD], "&lt;0",Table1[Result], "L")</f>
        <v>11</v>
      </c>
    </row>
    <row r="27" spans="1:14" x14ac:dyDescent="0.25">
      <c r="A27" t="s">
        <v>54</v>
      </c>
      <c r="B27" t="s">
        <v>23</v>
      </c>
      <c r="C27" t="s">
        <v>28</v>
      </c>
      <c r="E27" s="1" t="str">
        <f t="shared" si="1"/>
        <v>Home</v>
      </c>
      <c r="F27" s="3">
        <f t="shared" si="2"/>
        <v>4</v>
      </c>
      <c r="G27" s="3">
        <f t="shared" si="3"/>
        <v>2</v>
      </c>
      <c r="H27" s="3">
        <f t="shared" si="0"/>
        <v>6</v>
      </c>
      <c r="I27" s="3" t="str">
        <f t="shared" si="4"/>
        <v>W</v>
      </c>
    </row>
    <row r="28" spans="1:14" x14ac:dyDescent="0.25">
      <c r="A28" t="s">
        <v>54</v>
      </c>
      <c r="B28" t="s">
        <v>23</v>
      </c>
      <c r="C28" t="s">
        <v>56</v>
      </c>
      <c r="E28" s="1" t="str">
        <f t="shared" si="1"/>
        <v>Home</v>
      </c>
      <c r="F28" s="3">
        <f t="shared" si="2"/>
        <v>1</v>
      </c>
      <c r="G28" s="3">
        <f t="shared" si="3"/>
        <v>7</v>
      </c>
      <c r="H28" s="3">
        <f t="shared" si="0"/>
        <v>8</v>
      </c>
      <c r="I28" s="3" t="str">
        <f t="shared" si="4"/>
        <v>L</v>
      </c>
    </row>
    <row r="29" spans="1:14" x14ac:dyDescent="0.25">
      <c r="A29" t="s">
        <v>57</v>
      </c>
      <c r="B29" t="s">
        <v>58</v>
      </c>
      <c r="C29" t="s">
        <v>59</v>
      </c>
      <c r="E29" s="1" t="str">
        <f t="shared" si="1"/>
        <v>Away</v>
      </c>
      <c r="F29" s="3">
        <f t="shared" si="2"/>
        <v>11</v>
      </c>
      <c r="G29" s="3">
        <f t="shared" si="3"/>
        <v>7</v>
      </c>
      <c r="H29" s="3">
        <f t="shared" si="0"/>
        <v>18</v>
      </c>
      <c r="I29" s="3" t="str">
        <f t="shared" si="4"/>
        <v>W</v>
      </c>
    </row>
    <row r="30" spans="1:14" x14ac:dyDescent="0.25">
      <c r="A30" t="s">
        <v>60</v>
      </c>
      <c r="B30" t="s">
        <v>58</v>
      </c>
      <c r="C30" t="s">
        <v>61</v>
      </c>
      <c r="E30" s="1" t="str">
        <f t="shared" si="1"/>
        <v>Away</v>
      </c>
      <c r="F30" s="3">
        <f t="shared" si="2"/>
        <v>7</v>
      </c>
      <c r="G30" s="3">
        <f t="shared" si="3"/>
        <v>3</v>
      </c>
      <c r="H30" s="3">
        <f t="shared" si="0"/>
        <v>10</v>
      </c>
      <c r="I30" s="3" t="str">
        <f t="shared" si="4"/>
        <v>W</v>
      </c>
    </row>
    <row r="31" spans="1:14" x14ac:dyDescent="0.25">
      <c r="A31" t="s">
        <v>62</v>
      </c>
      <c r="B31" t="s">
        <v>58</v>
      </c>
      <c r="C31" t="s">
        <v>63</v>
      </c>
      <c r="E31" s="1" t="str">
        <f t="shared" si="1"/>
        <v>Away</v>
      </c>
      <c r="F31" s="3">
        <f t="shared" si="2"/>
        <v>12</v>
      </c>
      <c r="G31" s="3">
        <f t="shared" si="3"/>
        <v>7</v>
      </c>
      <c r="H31" s="3">
        <f t="shared" si="0"/>
        <v>19</v>
      </c>
      <c r="I31" s="3" t="str">
        <f t="shared" si="4"/>
        <v>W</v>
      </c>
    </row>
    <row r="32" spans="1:14" x14ac:dyDescent="0.25">
      <c r="A32" t="s">
        <v>64</v>
      </c>
      <c r="B32" t="s">
        <v>58</v>
      </c>
      <c r="C32" t="s">
        <v>65</v>
      </c>
      <c r="E32" s="1" t="str">
        <f t="shared" si="1"/>
        <v>Away</v>
      </c>
      <c r="F32" s="3">
        <f t="shared" si="2"/>
        <v>1</v>
      </c>
      <c r="G32" s="3">
        <f t="shared" si="3"/>
        <v>4</v>
      </c>
      <c r="H32" s="3">
        <f t="shared" si="0"/>
        <v>5</v>
      </c>
      <c r="I32" s="3" t="str">
        <f t="shared" si="4"/>
        <v>L</v>
      </c>
    </row>
    <row r="33" spans="1:9" x14ac:dyDescent="0.25">
      <c r="A33" t="s">
        <v>66</v>
      </c>
      <c r="B33" t="s">
        <v>10</v>
      </c>
      <c r="C33" t="s">
        <v>48</v>
      </c>
      <c r="E33" s="1" t="str">
        <f t="shared" si="1"/>
        <v>Away</v>
      </c>
      <c r="F33" s="3">
        <f t="shared" si="2"/>
        <v>4</v>
      </c>
      <c r="G33" s="3">
        <f t="shared" si="3"/>
        <v>5</v>
      </c>
      <c r="H33" s="3">
        <f t="shared" si="0"/>
        <v>9</v>
      </c>
      <c r="I33" s="3" t="str">
        <f t="shared" si="4"/>
        <v>L</v>
      </c>
    </row>
    <row r="34" spans="1:9" x14ac:dyDescent="0.25">
      <c r="A34" t="s">
        <v>67</v>
      </c>
      <c r="B34" t="s">
        <v>10</v>
      </c>
      <c r="C34" t="s">
        <v>56</v>
      </c>
      <c r="E34" s="1" t="str">
        <f t="shared" si="1"/>
        <v>Away</v>
      </c>
      <c r="F34" s="3">
        <f t="shared" si="2"/>
        <v>1</v>
      </c>
      <c r="G34" s="3">
        <f t="shared" si="3"/>
        <v>7</v>
      </c>
      <c r="H34" s="3">
        <f t="shared" si="0"/>
        <v>8</v>
      </c>
      <c r="I34" s="3" t="str">
        <f t="shared" si="4"/>
        <v>L</v>
      </c>
    </row>
    <row r="35" spans="1:9" x14ac:dyDescent="0.25">
      <c r="A35" t="s">
        <v>68</v>
      </c>
      <c r="B35" t="s">
        <v>69</v>
      </c>
      <c r="C35" t="s">
        <v>70</v>
      </c>
      <c r="E35" s="1" t="str">
        <f t="shared" si="1"/>
        <v>Home</v>
      </c>
      <c r="F35" s="3">
        <f t="shared" si="2"/>
        <v>2</v>
      </c>
      <c r="G35" s="3">
        <f t="shared" si="3"/>
        <v>14</v>
      </c>
      <c r="H35" s="3">
        <f t="shared" si="0"/>
        <v>16</v>
      </c>
      <c r="I35" s="3" t="str">
        <f t="shared" si="4"/>
        <v>L</v>
      </c>
    </row>
    <row r="36" spans="1:9" x14ac:dyDescent="0.25">
      <c r="A36" t="s">
        <v>71</v>
      </c>
      <c r="B36" t="s">
        <v>69</v>
      </c>
      <c r="C36" t="s">
        <v>72</v>
      </c>
      <c r="E36" s="1" t="str">
        <f t="shared" si="1"/>
        <v>Home</v>
      </c>
      <c r="F36" s="3">
        <f t="shared" si="2"/>
        <v>12</v>
      </c>
      <c r="G36" s="3">
        <f t="shared" si="3"/>
        <v>3</v>
      </c>
      <c r="H36" s="3">
        <f t="shared" si="0"/>
        <v>15</v>
      </c>
      <c r="I36" s="3" t="str">
        <f t="shared" si="4"/>
        <v>W</v>
      </c>
    </row>
    <row r="37" spans="1:9" x14ac:dyDescent="0.25">
      <c r="A37" t="s">
        <v>73</v>
      </c>
      <c r="B37" t="s">
        <v>74</v>
      </c>
      <c r="C37" t="s">
        <v>75</v>
      </c>
      <c r="E37" s="1" t="str">
        <f t="shared" si="1"/>
        <v>Home</v>
      </c>
      <c r="F37" s="3">
        <f t="shared" si="2"/>
        <v>21</v>
      </c>
      <c r="G37" s="3">
        <f t="shared" si="3"/>
        <v>7</v>
      </c>
      <c r="H37" s="3">
        <f t="shared" si="0"/>
        <v>28</v>
      </c>
      <c r="I37" s="3" t="str">
        <f t="shared" si="4"/>
        <v>W</v>
      </c>
    </row>
    <row r="38" spans="1:9" x14ac:dyDescent="0.25">
      <c r="A38" t="s">
        <v>76</v>
      </c>
      <c r="B38" t="s">
        <v>58</v>
      </c>
      <c r="C38" t="s">
        <v>77</v>
      </c>
      <c r="E38" s="1" t="str">
        <f t="shared" si="1"/>
        <v>Away</v>
      </c>
      <c r="F38" s="3">
        <f t="shared" si="2"/>
        <v>1</v>
      </c>
      <c r="G38" s="3">
        <f t="shared" si="3"/>
        <v>9</v>
      </c>
      <c r="H38" s="3">
        <f t="shared" si="0"/>
        <v>10</v>
      </c>
      <c r="I38" s="3" t="str">
        <f t="shared" si="4"/>
        <v>L</v>
      </c>
    </row>
    <row r="39" spans="1:9" x14ac:dyDescent="0.25">
      <c r="A39" t="s">
        <v>78</v>
      </c>
      <c r="B39" t="s">
        <v>58</v>
      </c>
      <c r="C39" t="s">
        <v>79</v>
      </c>
      <c r="E39" s="1" t="str">
        <f t="shared" si="1"/>
        <v>Away</v>
      </c>
      <c r="F39" s="3">
        <f t="shared" si="2"/>
        <v>8</v>
      </c>
      <c r="G39" s="3">
        <f t="shared" si="3"/>
        <v>15</v>
      </c>
      <c r="H39" s="3">
        <f t="shared" si="0"/>
        <v>23</v>
      </c>
      <c r="I39" s="3" t="str">
        <f t="shared" si="4"/>
        <v>L</v>
      </c>
    </row>
    <row r="40" spans="1:9" x14ac:dyDescent="0.25">
      <c r="A40" t="s">
        <v>80</v>
      </c>
      <c r="B40" t="s">
        <v>17</v>
      </c>
      <c r="C40" t="s">
        <v>15</v>
      </c>
      <c r="E40" s="1" t="str">
        <f t="shared" si="1"/>
        <v>Away</v>
      </c>
      <c r="F40" s="3">
        <f t="shared" si="2"/>
        <v>3</v>
      </c>
      <c r="G40" s="3">
        <f t="shared" si="3"/>
        <v>1</v>
      </c>
      <c r="H40" s="3">
        <f t="shared" si="0"/>
        <v>4</v>
      </c>
      <c r="I40" s="3" t="str">
        <f t="shared" si="4"/>
        <v>W</v>
      </c>
    </row>
    <row r="41" spans="1:9" x14ac:dyDescent="0.25">
      <c r="A41" t="s">
        <v>81</v>
      </c>
      <c r="B41" t="s">
        <v>17</v>
      </c>
      <c r="C41" t="s">
        <v>77</v>
      </c>
      <c r="E41" s="1" t="str">
        <f t="shared" si="1"/>
        <v>Away</v>
      </c>
      <c r="F41" s="3">
        <f t="shared" si="2"/>
        <v>1</v>
      </c>
      <c r="G41" s="3">
        <f t="shared" si="3"/>
        <v>9</v>
      </c>
      <c r="H41" s="3">
        <f t="shared" si="0"/>
        <v>10</v>
      </c>
      <c r="I41" s="3" t="str">
        <f t="shared" si="4"/>
        <v>L</v>
      </c>
    </row>
    <row r="42" spans="1:9" x14ac:dyDescent="0.25">
      <c r="A42" t="s">
        <v>82</v>
      </c>
      <c r="B42" t="s">
        <v>52</v>
      </c>
      <c r="C42" t="s">
        <v>83</v>
      </c>
      <c r="E42" s="1" t="str">
        <f t="shared" si="1"/>
        <v>Home</v>
      </c>
      <c r="F42" s="3">
        <f t="shared" si="2"/>
        <v>4</v>
      </c>
      <c r="G42" s="3">
        <f t="shared" si="3"/>
        <v>7</v>
      </c>
      <c r="H42" s="3">
        <f t="shared" si="0"/>
        <v>11</v>
      </c>
      <c r="I42" s="3" t="str">
        <f t="shared" si="4"/>
        <v>L</v>
      </c>
    </row>
    <row r="43" spans="1:9" x14ac:dyDescent="0.25">
      <c r="A43" t="s">
        <v>84</v>
      </c>
      <c r="B43" t="s">
        <v>52</v>
      </c>
      <c r="C43" t="s">
        <v>83</v>
      </c>
      <c r="E43" s="1" t="str">
        <f t="shared" si="1"/>
        <v>Home</v>
      </c>
      <c r="F43" s="3">
        <f t="shared" si="2"/>
        <v>4</v>
      </c>
      <c r="G43" s="3">
        <f t="shared" si="3"/>
        <v>7</v>
      </c>
      <c r="H43" s="3">
        <f t="shared" si="0"/>
        <v>11</v>
      </c>
      <c r="I43" s="3" t="str">
        <f t="shared" si="4"/>
        <v>L</v>
      </c>
    </row>
    <row r="44" spans="1:9" x14ac:dyDescent="0.25">
      <c r="A44" t="s">
        <v>84</v>
      </c>
      <c r="B44" t="s">
        <v>52</v>
      </c>
      <c r="C44" t="s">
        <v>85</v>
      </c>
      <c r="E44" s="1" t="str">
        <f t="shared" si="1"/>
        <v>Home</v>
      </c>
      <c r="F44" s="3">
        <f t="shared" si="2"/>
        <v>5</v>
      </c>
      <c r="G44" s="3">
        <f t="shared" si="3"/>
        <v>3</v>
      </c>
      <c r="H44" s="3">
        <f t="shared" si="0"/>
        <v>8</v>
      </c>
      <c r="I44" s="3" t="str">
        <f t="shared" si="4"/>
        <v>W</v>
      </c>
    </row>
    <row r="45" spans="1:9" x14ac:dyDescent="0.25">
      <c r="A45" t="s">
        <v>86</v>
      </c>
      <c r="B45" t="s">
        <v>40</v>
      </c>
      <c r="C45" t="s">
        <v>87</v>
      </c>
      <c r="E45" s="1" t="str">
        <f t="shared" si="1"/>
        <v>Away</v>
      </c>
      <c r="F45" s="3">
        <f t="shared" si="2"/>
        <v>6</v>
      </c>
      <c r="G45" s="3">
        <f t="shared" si="3"/>
        <v>23</v>
      </c>
      <c r="H45" s="3">
        <f t="shared" si="0"/>
        <v>29</v>
      </c>
      <c r="I45" s="3" t="str">
        <f t="shared" si="4"/>
        <v>L</v>
      </c>
    </row>
    <row r="46" spans="1:9" x14ac:dyDescent="0.25">
      <c r="A46" t="s">
        <v>88</v>
      </c>
      <c r="B46" t="s">
        <v>40</v>
      </c>
      <c r="C46" t="s">
        <v>89</v>
      </c>
      <c r="E46" s="1" t="str">
        <f t="shared" si="1"/>
        <v>Away</v>
      </c>
      <c r="F46" s="3">
        <f t="shared" si="2"/>
        <v>1</v>
      </c>
      <c r="G46" s="3">
        <f t="shared" si="3"/>
        <v>6</v>
      </c>
      <c r="H46" s="3">
        <f t="shared" si="0"/>
        <v>7</v>
      </c>
      <c r="I46" s="3" t="str">
        <f t="shared" si="4"/>
        <v>L</v>
      </c>
    </row>
    <row r="47" spans="1:9" x14ac:dyDescent="0.25">
      <c r="A47" t="s">
        <v>88</v>
      </c>
      <c r="B47" t="s">
        <v>40</v>
      </c>
      <c r="C47" t="s">
        <v>90</v>
      </c>
      <c r="E47" s="1" t="str">
        <f t="shared" si="1"/>
        <v>Away</v>
      </c>
      <c r="F47" s="3">
        <f t="shared" si="2"/>
        <v>0</v>
      </c>
      <c r="G47" s="3">
        <f t="shared" si="3"/>
        <v>8</v>
      </c>
      <c r="H47" s="3">
        <f t="shared" si="0"/>
        <v>8</v>
      </c>
      <c r="I47" s="3" t="str">
        <f t="shared" si="4"/>
        <v>L</v>
      </c>
    </row>
    <row r="48" spans="1:9" x14ac:dyDescent="0.25">
      <c r="A48" t="s">
        <v>91</v>
      </c>
      <c r="B48" t="s">
        <v>40</v>
      </c>
      <c r="C48" t="s">
        <v>92</v>
      </c>
      <c r="E48" s="1" t="str">
        <f t="shared" si="1"/>
        <v>Away</v>
      </c>
      <c r="F48" s="3">
        <f t="shared" si="2"/>
        <v>5</v>
      </c>
      <c r="G48" s="3">
        <f t="shared" si="3"/>
        <v>10</v>
      </c>
      <c r="H48" s="3">
        <f t="shared" si="0"/>
        <v>15</v>
      </c>
      <c r="I48" s="3" t="str">
        <f t="shared" si="4"/>
        <v>L</v>
      </c>
    </row>
    <row r="49" spans="1:9" x14ac:dyDescent="0.25">
      <c r="A49" t="s">
        <v>93</v>
      </c>
      <c r="B49" t="s">
        <v>30</v>
      </c>
      <c r="C49" t="s">
        <v>94</v>
      </c>
      <c r="E49" s="1" t="str">
        <f t="shared" si="1"/>
        <v>Away</v>
      </c>
      <c r="F49" s="3">
        <f t="shared" si="2"/>
        <v>4</v>
      </c>
      <c r="G49" s="3">
        <f t="shared" si="3"/>
        <v>8</v>
      </c>
      <c r="H49" s="3">
        <f t="shared" si="0"/>
        <v>12</v>
      </c>
      <c r="I49" s="3" t="str">
        <f t="shared" si="4"/>
        <v>L</v>
      </c>
    </row>
    <row r="50" spans="1:9" x14ac:dyDescent="0.25">
      <c r="A50" t="s">
        <v>93</v>
      </c>
      <c r="B50" t="s">
        <v>52</v>
      </c>
      <c r="C50" t="s">
        <v>95</v>
      </c>
      <c r="E50" s="1" t="str">
        <f t="shared" si="1"/>
        <v>Home</v>
      </c>
      <c r="F50" s="3">
        <f t="shared" si="2"/>
        <v>5</v>
      </c>
      <c r="G50" s="3">
        <f t="shared" si="3"/>
        <v>17</v>
      </c>
      <c r="H50" s="3">
        <f t="shared" si="0"/>
        <v>22</v>
      </c>
      <c r="I50" s="3" t="str">
        <f t="shared" si="4"/>
        <v>L</v>
      </c>
    </row>
    <row r="51" spans="1:9" x14ac:dyDescent="0.25">
      <c r="A51" t="s">
        <v>96</v>
      </c>
      <c r="B51" t="s">
        <v>30</v>
      </c>
      <c r="C51" t="s">
        <v>28</v>
      </c>
      <c r="E51" s="1" t="str">
        <f t="shared" si="1"/>
        <v>Away</v>
      </c>
      <c r="F51" s="3">
        <f t="shared" si="2"/>
        <v>4</v>
      </c>
      <c r="G51" s="3">
        <f t="shared" si="3"/>
        <v>2</v>
      </c>
      <c r="H51" s="3">
        <f t="shared" si="0"/>
        <v>6</v>
      </c>
      <c r="I51" s="3" t="str">
        <f t="shared" si="4"/>
        <v>W</v>
      </c>
    </row>
    <row r="52" spans="1:9" x14ac:dyDescent="0.25">
      <c r="A52" t="s">
        <v>97</v>
      </c>
      <c r="B52" t="s">
        <v>98</v>
      </c>
      <c r="C52" t="s">
        <v>99</v>
      </c>
      <c r="E52" s="1" t="str">
        <f t="shared" si="1"/>
        <v>Home</v>
      </c>
      <c r="F52" s="3">
        <f t="shared" si="2"/>
        <v>4</v>
      </c>
      <c r="G52" s="3">
        <f t="shared" si="3"/>
        <v>12</v>
      </c>
      <c r="H52" s="3">
        <f t="shared" si="0"/>
        <v>16</v>
      </c>
      <c r="I52" s="3" t="str">
        <f t="shared" si="4"/>
        <v>L</v>
      </c>
    </row>
    <row r="53" spans="1:9" x14ac:dyDescent="0.25">
      <c r="A53" t="s">
        <v>100</v>
      </c>
      <c r="B53" t="s">
        <v>98</v>
      </c>
      <c r="C53" t="s">
        <v>101</v>
      </c>
      <c r="E53" s="1" t="str">
        <f t="shared" si="1"/>
        <v>Home</v>
      </c>
      <c r="F53" s="3">
        <f t="shared" si="2"/>
        <v>0</v>
      </c>
      <c r="G53" s="3">
        <f t="shared" si="3"/>
        <v>7</v>
      </c>
      <c r="H53" s="3">
        <f t="shared" si="0"/>
        <v>7</v>
      </c>
      <c r="I53" s="3" t="str">
        <f t="shared" si="4"/>
        <v>L</v>
      </c>
    </row>
    <row r="54" spans="1:9" x14ac:dyDescent="0.25">
      <c r="A54" t="s">
        <v>102</v>
      </c>
      <c r="B54" t="s">
        <v>103</v>
      </c>
      <c r="C54" t="s">
        <v>28</v>
      </c>
      <c r="E54" s="1" t="str">
        <f t="shared" si="1"/>
        <v>Home</v>
      </c>
      <c r="F54" s="3">
        <f t="shared" si="2"/>
        <v>4</v>
      </c>
      <c r="G54" s="3">
        <f t="shared" si="3"/>
        <v>2</v>
      </c>
      <c r="H54" s="3">
        <f t="shared" si="0"/>
        <v>6</v>
      </c>
      <c r="I54" s="3" t="str">
        <f t="shared" si="4"/>
        <v>W</v>
      </c>
    </row>
    <row r="55" spans="1:9" x14ac:dyDescent="0.25">
      <c r="A55" t="s">
        <v>102</v>
      </c>
      <c r="B55" t="s">
        <v>103</v>
      </c>
      <c r="C55" t="s">
        <v>104</v>
      </c>
      <c r="E55" s="1" t="str">
        <f t="shared" si="1"/>
        <v>Home</v>
      </c>
      <c r="F55" s="3">
        <f t="shared" si="2"/>
        <v>0</v>
      </c>
      <c r="G55" s="3">
        <f t="shared" si="3"/>
        <v>9</v>
      </c>
      <c r="H55" s="3">
        <f t="shared" si="0"/>
        <v>9</v>
      </c>
      <c r="I55" s="3" t="str">
        <f t="shared" si="4"/>
        <v>L</v>
      </c>
    </row>
    <row r="56" spans="1:9" x14ac:dyDescent="0.25">
      <c r="A56" t="s">
        <v>105</v>
      </c>
      <c r="B56" t="s">
        <v>17</v>
      </c>
      <c r="C56" t="s">
        <v>106</v>
      </c>
      <c r="E56" s="1" t="str">
        <f t="shared" si="1"/>
        <v>Away</v>
      </c>
      <c r="F56" s="3">
        <f t="shared" si="2"/>
        <v>12</v>
      </c>
      <c r="G56" s="3">
        <f t="shared" si="3"/>
        <v>5</v>
      </c>
      <c r="H56" s="3">
        <f t="shared" si="0"/>
        <v>17</v>
      </c>
      <c r="I56" s="3" t="str">
        <f t="shared" si="4"/>
        <v>W</v>
      </c>
    </row>
    <row r="57" spans="1:9" x14ac:dyDescent="0.25">
      <c r="A57" t="s">
        <v>107</v>
      </c>
      <c r="B57" t="s">
        <v>17</v>
      </c>
      <c r="C57" t="s">
        <v>33</v>
      </c>
      <c r="E57" s="1" t="str">
        <f t="shared" si="1"/>
        <v>Away</v>
      </c>
      <c r="F57" s="3">
        <f t="shared" si="2"/>
        <v>7</v>
      </c>
      <c r="G57" s="3">
        <f t="shared" si="3"/>
        <v>4</v>
      </c>
      <c r="H57" s="3">
        <f t="shared" si="0"/>
        <v>11</v>
      </c>
      <c r="I57" s="3" t="str">
        <f t="shared" si="4"/>
        <v>W</v>
      </c>
    </row>
    <row r="58" spans="1:9" x14ac:dyDescent="0.25">
      <c r="A58" t="s">
        <v>108</v>
      </c>
      <c r="B58" t="s">
        <v>69</v>
      </c>
      <c r="C58" t="s">
        <v>109</v>
      </c>
      <c r="E58" s="1" t="str">
        <f t="shared" si="1"/>
        <v>Home</v>
      </c>
      <c r="F58" s="3">
        <f t="shared" si="2"/>
        <v>3</v>
      </c>
      <c r="G58" s="3">
        <f t="shared" si="3"/>
        <v>13</v>
      </c>
      <c r="H58" s="3">
        <f t="shared" si="0"/>
        <v>16</v>
      </c>
      <c r="I58" s="3" t="str">
        <f t="shared" si="4"/>
        <v>L</v>
      </c>
    </row>
    <row r="59" spans="1:9" x14ac:dyDescent="0.25">
      <c r="A59" t="s">
        <v>110</v>
      </c>
      <c r="B59" t="s">
        <v>69</v>
      </c>
      <c r="C59" t="s">
        <v>38</v>
      </c>
      <c r="E59" s="1" t="str">
        <f t="shared" si="1"/>
        <v>Home</v>
      </c>
      <c r="F59" s="3">
        <f t="shared" si="2"/>
        <v>3</v>
      </c>
      <c r="G59" s="3">
        <f t="shared" si="3"/>
        <v>5</v>
      </c>
      <c r="H59" s="3">
        <f t="shared" si="0"/>
        <v>8</v>
      </c>
      <c r="I59" s="3" t="str">
        <f t="shared" si="4"/>
        <v>L</v>
      </c>
    </row>
    <row r="60" spans="1:9" x14ac:dyDescent="0.25">
      <c r="A60" t="s">
        <v>111</v>
      </c>
      <c r="B60" t="s">
        <v>20</v>
      </c>
      <c r="C60" t="s">
        <v>48</v>
      </c>
      <c r="E60" s="1" t="str">
        <f t="shared" si="1"/>
        <v>Home</v>
      </c>
      <c r="F60" s="3">
        <f t="shared" si="2"/>
        <v>4</v>
      </c>
      <c r="G60" s="3">
        <f t="shared" si="3"/>
        <v>5</v>
      </c>
      <c r="H60" s="3">
        <f t="shared" si="0"/>
        <v>9</v>
      </c>
      <c r="I60" s="3" t="str">
        <f t="shared" si="4"/>
        <v>L</v>
      </c>
    </row>
    <row r="61" spans="1:9" x14ac:dyDescent="0.25">
      <c r="A61" t="s">
        <v>112</v>
      </c>
      <c r="B61" t="s">
        <v>20</v>
      </c>
      <c r="C61" t="s">
        <v>113</v>
      </c>
      <c r="E61" s="1" t="str">
        <f t="shared" si="1"/>
        <v>Home</v>
      </c>
      <c r="F61" s="3">
        <f t="shared" si="2"/>
        <v>7</v>
      </c>
      <c r="G61" s="3">
        <f t="shared" si="3"/>
        <v>9</v>
      </c>
      <c r="H61" s="3">
        <f t="shared" si="0"/>
        <v>16</v>
      </c>
      <c r="I61" s="3" t="str">
        <f t="shared" si="4"/>
        <v>L</v>
      </c>
    </row>
    <row r="62" spans="1:9" x14ac:dyDescent="0.25">
      <c r="A62" t="s">
        <v>114</v>
      </c>
      <c r="B62" t="s">
        <v>115</v>
      </c>
      <c r="C62" t="s">
        <v>116</v>
      </c>
      <c r="E62" s="1" t="str">
        <f t="shared" si="1"/>
        <v>Away</v>
      </c>
      <c r="F62" s="3">
        <f t="shared" si="2"/>
        <v>9</v>
      </c>
      <c r="G62" s="3">
        <f t="shared" si="3"/>
        <v>3</v>
      </c>
      <c r="H62" s="3">
        <f t="shared" si="0"/>
        <v>12</v>
      </c>
      <c r="I62" s="3" t="str">
        <f t="shared" si="4"/>
        <v>W</v>
      </c>
    </row>
    <row r="63" spans="1:9" x14ac:dyDescent="0.25">
      <c r="A63" t="s">
        <v>117</v>
      </c>
      <c r="B63" t="s">
        <v>115</v>
      </c>
      <c r="C63" t="s">
        <v>118</v>
      </c>
      <c r="E63" s="1" t="str">
        <f t="shared" si="1"/>
        <v>Away</v>
      </c>
      <c r="F63" s="3">
        <f t="shared" si="2"/>
        <v>9</v>
      </c>
      <c r="G63" s="3">
        <f t="shared" si="3"/>
        <v>8</v>
      </c>
      <c r="H63" s="3">
        <f t="shared" si="0"/>
        <v>17</v>
      </c>
      <c r="I63" s="3" t="str">
        <f t="shared" si="4"/>
        <v>W</v>
      </c>
    </row>
    <row r="64" spans="1:9" x14ac:dyDescent="0.25">
      <c r="A64" t="s">
        <v>119</v>
      </c>
      <c r="B64" t="s">
        <v>120</v>
      </c>
      <c r="C64" t="s">
        <v>18</v>
      </c>
      <c r="E64" s="1" t="str">
        <f t="shared" si="1"/>
        <v>Away</v>
      </c>
      <c r="F64" s="3">
        <f t="shared" si="2"/>
        <v>8</v>
      </c>
      <c r="G64" s="3">
        <f t="shared" si="3"/>
        <v>9</v>
      </c>
      <c r="H64" s="3">
        <f t="shared" si="0"/>
        <v>17</v>
      </c>
      <c r="I64" s="3" t="str">
        <f t="shared" si="4"/>
        <v>L</v>
      </c>
    </row>
    <row r="65" spans="1:10" x14ac:dyDescent="0.25">
      <c r="A65" t="s">
        <v>119</v>
      </c>
      <c r="B65" t="s">
        <v>74</v>
      </c>
      <c r="C65" t="s">
        <v>121</v>
      </c>
      <c r="E65" s="1" t="str">
        <f t="shared" si="1"/>
        <v>Home</v>
      </c>
      <c r="F65" s="3">
        <f t="shared" si="2"/>
        <v>2</v>
      </c>
      <c r="G65" s="3">
        <f t="shared" si="3"/>
        <v>11</v>
      </c>
      <c r="H65" s="3">
        <f t="shared" si="0"/>
        <v>13</v>
      </c>
      <c r="I65" s="3" t="str">
        <f t="shared" si="4"/>
        <v>L</v>
      </c>
    </row>
    <row r="66" spans="1:10" x14ac:dyDescent="0.25">
      <c r="A66" t="s">
        <v>122</v>
      </c>
      <c r="B66" t="s">
        <v>120</v>
      </c>
      <c r="C66" t="s">
        <v>65</v>
      </c>
      <c r="E66" s="1" t="str">
        <f t="shared" si="1"/>
        <v>Away</v>
      </c>
      <c r="F66" s="3">
        <f t="shared" si="2"/>
        <v>1</v>
      </c>
      <c r="G66" s="3">
        <f t="shared" si="3"/>
        <v>4</v>
      </c>
      <c r="H66" s="3">
        <f t="shared" si="0"/>
        <v>5</v>
      </c>
      <c r="I66" s="3" t="str">
        <f t="shared" si="4"/>
        <v>L</v>
      </c>
    </row>
    <row r="67" spans="1:10" x14ac:dyDescent="0.25">
      <c r="A67" t="s">
        <v>123</v>
      </c>
      <c r="B67" t="s">
        <v>124</v>
      </c>
      <c r="C67" t="s">
        <v>125</v>
      </c>
      <c r="E67" s="1" t="str">
        <f t="shared" si="1"/>
        <v>Away</v>
      </c>
      <c r="F67" s="3">
        <f t="shared" si="2"/>
        <v>0</v>
      </c>
      <c r="G67" s="3">
        <f t="shared" si="3"/>
        <v>4</v>
      </c>
      <c r="H67" s="3">
        <f t="shared" si="0"/>
        <v>4</v>
      </c>
      <c r="I67" s="3" t="str">
        <f t="shared" si="4"/>
        <v>L</v>
      </c>
    </row>
    <row r="68" spans="1:10" x14ac:dyDescent="0.25">
      <c r="A68" t="s">
        <v>123</v>
      </c>
      <c r="B68" t="s">
        <v>124</v>
      </c>
      <c r="C68" t="s">
        <v>101</v>
      </c>
      <c r="E68" s="1" t="str">
        <f t="shared" ref="E68:E74" si="6">IF(LEFT(B68,1)="@","Away","Home")</f>
        <v>Away</v>
      </c>
      <c r="F68" s="3">
        <f t="shared" ref="F68:F74" si="7">_xlfn.NUMBERVALUE(MID(LEFT(C68,FIND("-",C68)-1),FIND(" ",C68)+1,LEN(C68)))</f>
        <v>0</v>
      </c>
      <c r="G68" s="3">
        <f t="shared" ref="G68:G74" si="8">_xlfn.NUMBERVALUE(RIGHT(C68,LEN(C68)-FIND("-",C68)))</f>
        <v>7</v>
      </c>
      <c r="H68" s="3">
        <f t="shared" ref="H68:H74" si="9">F68+G68</f>
        <v>7</v>
      </c>
      <c r="I68" s="3" t="str">
        <f t="shared" ref="I68:I74" si="10">LEFT(C68,1)</f>
        <v>L</v>
      </c>
    </row>
    <row r="69" spans="1:10" x14ac:dyDescent="0.25">
      <c r="A69" t="s">
        <v>126</v>
      </c>
      <c r="B69" t="s">
        <v>5</v>
      </c>
      <c r="C69" t="s">
        <v>35</v>
      </c>
      <c r="E69" s="1" t="str">
        <f t="shared" si="6"/>
        <v>Home</v>
      </c>
      <c r="F69" s="3">
        <f t="shared" si="7"/>
        <v>4</v>
      </c>
      <c r="G69" s="3">
        <f t="shared" si="8"/>
        <v>1</v>
      </c>
      <c r="H69" s="3">
        <f t="shared" si="9"/>
        <v>5</v>
      </c>
      <c r="I69" s="3" t="str">
        <f t="shared" si="10"/>
        <v>W</v>
      </c>
    </row>
    <row r="70" spans="1:10" x14ac:dyDescent="0.25">
      <c r="A70" t="s">
        <v>127</v>
      </c>
      <c r="B70" t="s">
        <v>5</v>
      </c>
      <c r="C70" t="s">
        <v>128</v>
      </c>
      <c r="E70" s="1" t="str">
        <f t="shared" si="6"/>
        <v>Home</v>
      </c>
      <c r="F70" s="3">
        <f t="shared" si="7"/>
        <v>6</v>
      </c>
      <c r="G70" s="3">
        <f t="shared" si="8"/>
        <v>5</v>
      </c>
      <c r="H70" s="3">
        <f t="shared" si="9"/>
        <v>11</v>
      </c>
      <c r="I70" s="3" t="str">
        <f t="shared" si="10"/>
        <v>W</v>
      </c>
    </row>
    <row r="71" spans="1:10" x14ac:dyDescent="0.25">
      <c r="A71" t="s">
        <v>129</v>
      </c>
      <c r="B71" t="s">
        <v>69</v>
      </c>
      <c r="C71" t="s">
        <v>130</v>
      </c>
      <c r="E71" s="1" t="str">
        <f t="shared" si="6"/>
        <v>Home</v>
      </c>
      <c r="F71" s="3">
        <f t="shared" si="7"/>
        <v>9</v>
      </c>
      <c r="G71" s="3">
        <f t="shared" si="8"/>
        <v>2</v>
      </c>
      <c r="H71" s="3">
        <f t="shared" si="9"/>
        <v>11</v>
      </c>
      <c r="I71" s="3" t="str">
        <f t="shared" si="10"/>
        <v>W</v>
      </c>
    </row>
    <row r="72" spans="1:10" x14ac:dyDescent="0.25">
      <c r="A72" t="s">
        <v>131</v>
      </c>
      <c r="B72" t="s">
        <v>69</v>
      </c>
      <c r="C72" t="s">
        <v>132</v>
      </c>
      <c r="E72" s="1" t="str">
        <f t="shared" si="6"/>
        <v>Home</v>
      </c>
      <c r="F72" s="3">
        <f t="shared" si="7"/>
        <v>3</v>
      </c>
      <c r="G72" s="3">
        <f t="shared" si="8"/>
        <v>6</v>
      </c>
      <c r="H72" s="3">
        <f t="shared" si="9"/>
        <v>9</v>
      </c>
      <c r="I72" s="3" t="str">
        <f t="shared" si="10"/>
        <v>L</v>
      </c>
    </row>
    <row r="73" spans="1:10" x14ac:dyDescent="0.25">
      <c r="A73" t="s">
        <v>133</v>
      </c>
      <c r="B73" t="s">
        <v>23</v>
      </c>
      <c r="C73" t="s">
        <v>33</v>
      </c>
      <c r="E73" s="1" t="str">
        <f t="shared" si="6"/>
        <v>Home</v>
      </c>
      <c r="F73" s="3">
        <f t="shared" si="7"/>
        <v>7</v>
      </c>
      <c r="G73" s="3">
        <f t="shared" si="8"/>
        <v>4</v>
      </c>
      <c r="H73" s="3">
        <f t="shared" si="9"/>
        <v>11</v>
      </c>
      <c r="I73" s="3" t="str">
        <f t="shared" si="10"/>
        <v>W</v>
      </c>
    </row>
    <row r="74" spans="1:10" x14ac:dyDescent="0.25">
      <c r="A74" t="s">
        <v>134</v>
      </c>
      <c r="B74" t="s">
        <v>23</v>
      </c>
      <c r="C74" t="s">
        <v>118</v>
      </c>
      <c r="E74" s="1" t="str">
        <f t="shared" si="6"/>
        <v>Home</v>
      </c>
      <c r="F74" s="3">
        <f t="shared" si="7"/>
        <v>9</v>
      </c>
      <c r="G74" s="3">
        <f t="shared" si="8"/>
        <v>8</v>
      </c>
      <c r="H74" s="3">
        <f t="shared" si="9"/>
        <v>17</v>
      </c>
      <c r="I74" s="3" t="str">
        <f t="shared" si="10"/>
        <v>W</v>
      </c>
    </row>
    <row r="76" spans="1:10" x14ac:dyDescent="0.25">
      <c r="A76" t="s">
        <v>1</v>
      </c>
      <c r="B76" t="s">
        <v>2</v>
      </c>
      <c r="C76" t="s">
        <v>469</v>
      </c>
      <c r="D76" s="4" t="s">
        <v>135</v>
      </c>
      <c r="E76" s="4" t="s">
        <v>136</v>
      </c>
      <c r="F76" s="4" t="s">
        <v>137</v>
      </c>
      <c r="G76" s="4" t="s">
        <v>138</v>
      </c>
      <c r="H76" s="4" t="s">
        <v>3</v>
      </c>
      <c r="I76" t="s">
        <v>494</v>
      </c>
      <c r="J76" t="s">
        <v>496</v>
      </c>
    </row>
    <row r="77" spans="1:10" x14ac:dyDescent="0.25">
      <c r="A77" t="s">
        <v>448</v>
      </c>
      <c r="B77" t="s">
        <v>23</v>
      </c>
      <c r="C77" t="s">
        <v>292</v>
      </c>
      <c r="D77" s="1" t="str">
        <f>IF(LEFT(Table1[[#This Row],[Opponent]],1)="@","Away","Home")</f>
        <v>Home</v>
      </c>
      <c r="E77" s="3">
        <f>_xlfn.NUMBERVALUE(MID(LEFT(Table1[[#This Row],[Score]],FIND("-",Table1[[#This Row],[Score]])-1),FIND(" ",Table1[[#This Row],[Score]])+1,LEN(Table1[[#This Row],[Score]])))</f>
        <v>7</v>
      </c>
      <c r="F77" s="3">
        <f>_xlfn.NUMBERVALUE(RIGHT(Table1[[#This Row],[Score]],LEN(Table1[[#This Row],[Score]])-FIND("-",Table1[[#This Row],[Score]])))</f>
        <v>8</v>
      </c>
      <c r="G77" s="3">
        <f t="shared" ref="G77:G98" si="11">E77+F77</f>
        <v>15</v>
      </c>
      <c r="H77" s="3" t="str">
        <f>LEFT(Table1[[#This Row],[Score]],1)</f>
        <v>L</v>
      </c>
      <c r="I77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77" s="33">
        <f>VLOOKUP(Table1[[#This Row],[OPP]],Raw!$L$2:$S$23,7,FALSE)-Raw!$U$2</f>
        <v>1.4411243913235945</v>
      </c>
    </row>
    <row r="78" spans="1:10" x14ac:dyDescent="0.25">
      <c r="A78" t="s">
        <v>449</v>
      </c>
      <c r="B78" t="s">
        <v>23</v>
      </c>
      <c r="C78" t="s">
        <v>326</v>
      </c>
      <c r="D78" t="str">
        <f>IF(LEFT(Table1[[#This Row],[Opponent]],1)="@","Away","Home")</f>
        <v>Home</v>
      </c>
      <c r="E78" s="17">
        <f>_xlfn.NUMBERVALUE(MID(LEFT(Table1[[#This Row],[Score]],FIND("-",Table1[[#This Row],[Score]])-1),FIND(" ",Table1[[#This Row],[Score]])+1,LEN(Table1[[#This Row],[Score]])))</f>
        <v>10</v>
      </c>
      <c r="F78" s="17">
        <f>_xlfn.NUMBERVALUE(RIGHT(Table1[[#This Row],[Score]],LEN(Table1[[#This Row],[Score]])-FIND("-",Table1[[#This Row],[Score]])))</f>
        <v>9</v>
      </c>
      <c r="G78" s="17">
        <f t="shared" si="11"/>
        <v>19</v>
      </c>
      <c r="H78" s="17" t="str">
        <f>LEFT(Table1[[#This Row],[Score]],1)</f>
        <v>W</v>
      </c>
      <c r="I78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78" s="33">
        <f>VLOOKUP(Table1[[#This Row],[OPP]],Raw!$L$2:$S$23,7,FALSE)-Raw!$U$2</f>
        <v>1.4411243913235945</v>
      </c>
    </row>
    <row r="79" spans="1:10" x14ac:dyDescent="0.25">
      <c r="A79" t="s">
        <v>450</v>
      </c>
      <c r="B79" t="s">
        <v>17</v>
      </c>
      <c r="C79" t="s">
        <v>264</v>
      </c>
      <c r="D79" t="str">
        <f>IF(LEFT(Table1[[#This Row],[Opponent]],1)="@","Away","Home")</f>
        <v>Away</v>
      </c>
      <c r="E79" s="17">
        <f>_xlfn.NUMBERVALUE(MID(LEFT(Table1[[#This Row],[Score]],FIND("-",Table1[[#This Row],[Score]])-1),FIND(" ",Table1[[#This Row],[Score]])+1,LEN(Table1[[#This Row],[Score]])))</f>
        <v>6</v>
      </c>
      <c r="F79" s="17">
        <f>_xlfn.NUMBERVALUE(RIGHT(Table1[[#This Row],[Score]],LEN(Table1[[#This Row],[Score]])-FIND("-",Table1[[#This Row],[Score]])))</f>
        <v>2</v>
      </c>
      <c r="G79" s="17">
        <f t="shared" si="11"/>
        <v>8</v>
      </c>
      <c r="H79" s="17" t="str">
        <f>LEFT(Table1[[#This Row],[Score]],1)</f>
        <v>W</v>
      </c>
      <c r="I79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79" s="33">
        <f>VLOOKUP(Table1[[#This Row],[OPP]],Raw!$L$2:$S$23,7,FALSE)-Raw!$U$2</f>
        <v>0.53189121448478383</v>
      </c>
    </row>
    <row r="80" spans="1:10" x14ac:dyDescent="0.25">
      <c r="A80" t="s">
        <v>451</v>
      </c>
      <c r="B80" t="s">
        <v>17</v>
      </c>
      <c r="C80" t="s">
        <v>452</v>
      </c>
      <c r="D80" t="str">
        <f>IF(LEFT(Table1[[#This Row],[Opponent]],1)="@","Away","Home")</f>
        <v>Away</v>
      </c>
      <c r="E80" s="17">
        <f>_xlfn.NUMBERVALUE(MID(LEFT(Table1[[#This Row],[Score]],FIND("-",Table1[[#This Row],[Score]])-1),FIND(" ",Table1[[#This Row],[Score]])+1,LEN(Table1[[#This Row],[Score]])))</f>
        <v>10</v>
      </c>
      <c r="F80" s="17">
        <f>_xlfn.NUMBERVALUE(RIGHT(Table1[[#This Row],[Score]],LEN(Table1[[#This Row],[Score]])-FIND("-",Table1[[#This Row],[Score]])))</f>
        <v>19</v>
      </c>
      <c r="G80" s="17">
        <f t="shared" si="11"/>
        <v>29</v>
      </c>
      <c r="H80" s="17" t="str">
        <f>LEFT(Table1[[#This Row],[Score]],1)</f>
        <v>L</v>
      </c>
      <c r="I80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80" s="33">
        <f>VLOOKUP(Table1[[#This Row],[OPP]],Raw!$L$2:$S$23,7,FALSE)-Raw!$U$2</f>
        <v>0.53189121448478383</v>
      </c>
    </row>
    <row r="81" spans="1:10" x14ac:dyDescent="0.25">
      <c r="A81" t="s">
        <v>453</v>
      </c>
      <c r="B81" t="s">
        <v>40</v>
      </c>
      <c r="C81" t="s">
        <v>270</v>
      </c>
      <c r="D81" t="str">
        <f>IF(LEFT(Table1[[#This Row],[Opponent]],1)="@","Away","Home")</f>
        <v>Away</v>
      </c>
      <c r="E81" s="17">
        <f>_xlfn.NUMBERVALUE(MID(LEFT(Table1[[#This Row],[Score]],FIND("-",Table1[[#This Row],[Score]])-1),FIND(" ",Table1[[#This Row],[Score]])+1,LEN(Table1[[#This Row],[Score]])))</f>
        <v>4</v>
      </c>
      <c r="F81" s="17">
        <f>_xlfn.NUMBERVALUE(RIGHT(Table1[[#This Row],[Score]],LEN(Table1[[#This Row],[Score]])-FIND("-",Table1[[#This Row],[Score]])))</f>
        <v>3</v>
      </c>
      <c r="G81" s="17">
        <f t="shared" si="11"/>
        <v>7</v>
      </c>
      <c r="H81" s="17" t="str">
        <f>LEFT(Table1[[#This Row],[Score]],1)</f>
        <v>W</v>
      </c>
      <c r="I81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81" s="33">
        <f>VLOOKUP(Table1[[#This Row],[OPP]],Raw!$L$2:$S$23,7,FALSE)-Raw!$U$2</f>
        <v>1.4411243913235945</v>
      </c>
    </row>
    <row r="82" spans="1:10" x14ac:dyDescent="0.25">
      <c r="A82" t="s">
        <v>454</v>
      </c>
      <c r="B82" t="s">
        <v>40</v>
      </c>
      <c r="C82" t="s">
        <v>128</v>
      </c>
      <c r="D82" t="str">
        <f>IF(LEFT(Table1[[#This Row],[Opponent]],1)="@","Away","Home")</f>
        <v>Away</v>
      </c>
      <c r="E82" s="17">
        <f>_xlfn.NUMBERVALUE(MID(LEFT(Table1[[#This Row],[Score]],FIND("-",Table1[[#This Row],[Score]])-1),FIND(" ",Table1[[#This Row],[Score]])+1,LEN(Table1[[#This Row],[Score]])))</f>
        <v>6</v>
      </c>
      <c r="F82" s="17">
        <f>_xlfn.NUMBERVALUE(RIGHT(Table1[[#This Row],[Score]],LEN(Table1[[#This Row],[Score]])-FIND("-",Table1[[#This Row],[Score]])))</f>
        <v>5</v>
      </c>
      <c r="G82" s="17">
        <f t="shared" si="11"/>
        <v>11</v>
      </c>
      <c r="H82" s="17" t="str">
        <f>LEFT(Table1[[#This Row],[Score]],1)</f>
        <v>W</v>
      </c>
      <c r="I82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82" s="33">
        <f>VLOOKUP(Table1[[#This Row],[OPP]],Raw!$L$2:$S$23,7,FALSE)-Raw!$U$2</f>
        <v>1.4411243913235945</v>
      </c>
    </row>
    <row r="83" spans="1:10" x14ac:dyDescent="0.25">
      <c r="A83" t="s">
        <v>455</v>
      </c>
      <c r="B83" t="s">
        <v>52</v>
      </c>
      <c r="C83" t="s">
        <v>239</v>
      </c>
      <c r="D83" t="str">
        <f>IF(LEFT(Table1[[#This Row],[Opponent]],1)="@","Away","Home")</f>
        <v>Home</v>
      </c>
      <c r="E83" s="17">
        <f>_xlfn.NUMBERVALUE(MID(LEFT(Table1[[#This Row],[Score]],FIND("-",Table1[[#This Row],[Score]])-1),FIND(" ",Table1[[#This Row],[Score]])+1,LEN(Table1[[#This Row],[Score]])))</f>
        <v>8</v>
      </c>
      <c r="F83" s="17">
        <f>_xlfn.NUMBERVALUE(RIGHT(Table1[[#This Row],[Score]],LEN(Table1[[#This Row],[Score]])-FIND("-",Table1[[#This Row],[Score]])))</f>
        <v>5</v>
      </c>
      <c r="G83" s="17">
        <f t="shared" si="11"/>
        <v>13</v>
      </c>
      <c r="H83" s="17" t="str">
        <f>LEFT(Table1[[#This Row],[Score]],1)</f>
        <v>W</v>
      </c>
      <c r="I83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83" s="33">
        <f>VLOOKUP(Table1[[#This Row],[OPP]],Raw!$L$2:$S$23,7,FALSE)-Raw!$U$2</f>
        <v>-3.3200531208499337E-3</v>
      </c>
    </row>
    <row r="84" spans="1:10" x14ac:dyDescent="0.25">
      <c r="A84" t="s">
        <v>456</v>
      </c>
      <c r="B84" t="s">
        <v>52</v>
      </c>
      <c r="C84" t="s">
        <v>21</v>
      </c>
      <c r="D84" t="str">
        <f>IF(LEFT(Table1[[#This Row],[Opponent]],1)="@","Away","Home")</f>
        <v>Home</v>
      </c>
      <c r="E84" s="17">
        <f>_xlfn.NUMBERVALUE(MID(LEFT(Table1[[#This Row],[Score]],FIND("-",Table1[[#This Row],[Score]])-1),FIND(" ",Table1[[#This Row],[Score]])+1,LEN(Table1[[#This Row],[Score]])))</f>
        <v>6</v>
      </c>
      <c r="F84" s="17">
        <f>_xlfn.NUMBERVALUE(RIGHT(Table1[[#This Row],[Score]],LEN(Table1[[#This Row],[Score]])-FIND("-",Table1[[#This Row],[Score]])))</f>
        <v>1</v>
      </c>
      <c r="G84" s="17">
        <f t="shared" si="11"/>
        <v>7</v>
      </c>
      <c r="H84" s="17" t="str">
        <f>LEFT(Table1[[#This Row],[Score]],1)</f>
        <v>W</v>
      </c>
      <c r="I84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84" s="33">
        <f>VLOOKUP(Table1[[#This Row],[OPP]],Raw!$L$2:$S$23,7,FALSE)-Raw!$U$2</f>
        <v>-3.3200531208499337E-3</v>
      </c>
    </row>
    <row r="85" spans="1:10" x14ac:dyDescent="0.25">
      <c r="A85" t="s">
        <v>457</v>
      </c>
      <c r="B85" t="s">
        <v>69</v>
      </c>
      <c r="C85" t="s">
        <v>280</v>
      </c>
      <c r="D85" t="str">
        <f>IF(LEFT(Table1[[#This Row],[Opponent]],1)="@","Away","Home")</f>
        <v>Home</v>
      </c>
      <c r="E85" s="17">
        <f>_xlfn.NUMBERVALUE(MID(LEFT(Table1[[#This Row],[Score]],FIND("-",Table1[[#This Row],[Score]])-1),FIND(" ",Table1[[#This Row],[Score]])+1,LEN(Table1[[#This Row],[Score]])))</f>
        <v>8</v>
      </c>
      <c r="F85" s="17">
        <f>_xlfn.NUMBERVALUE(RIGHT(Table1[[#This Row],[Score]],LEN(Table1[[#This Row],[Score]])-FIND("-",Table1[[#This Row],[Score]])))</f>
        <v>3</v>
      </c>
      <c r="G85" s="17">
        <f t="shared" si="11"/>
        <v>11</v>
      </c>
      <c r="H85" s="17" t="str">
        <f>LEFT(Table1[[#This Row],[Score]],1)</f>
        <v>W</v>
      </c>
      <c r="I85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85" s="33">
        <f>VLOOKUP(Table1[[#This Row],[OPP]],Raw!$L$2:$S$23,7,FALSE)-Raw!$U$2</f>
        <v>-3.1019116024166244</v>
      </c>
    </row>
    <row r="86" spans="1:10" x14ac:dyDescent="0.25">
      <c r="A86" t="s">
        <v>457</v>
      </c>
      <c r="B86" t="s">
        <v>69</v>
      </c>
      <c r="C86" t="s">
        <v>276</v>
      </c>
      <c r="D86" t="str">
        <f>IF(LEFT(Table1[[#This Row],[Opponent]],1)="@","Away","Home")</f>
        <v>Home</v>
      </c>
      <c r="E86" s="17">
        <f>_xlfn.NUMBERVALUE(MID(LEFT(Table1[[#This Row],[Score]],FIND("-",Table1[[#This Row],[Score]])-1),FIND(" ",Table1[[#This Row],[Score]])+1,LEN(Table1[[#This Row],[Score]])))</f>
        <v>2</v>
      </c>
      <c r="F86" s="17">
        <f>_xlfn.NUMBERVALUE(RIGHT(Table1[[#This Row],[Score]],LEN(Table1[[#This Row],[Score]])-FIND("-",Table1[[#This Row],[Score]])))</f>
        <v>4</v>
      </c>
      <c r="G86" s="17">
        <f t="shared" si="11"/>
        <v>6</v>
      </c>
      <c r="H86" s="17" t="str">
        <f>LEFT(Table1[[#This Row],[Score]],1)</f>
        <v>L</v>
      </c>
      <c r="I86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86" s="33">
        <f>VLOOKUP(Table1[[#This Row],[OPP]],Raw!$L$2:$S$23,7,FALSE)-Raw!$U$2</f>
        <v>-3.1019116024166244</v>
      </c>
    </row>
    <row r="87" spans="1:10" x14ac:dyDescent="0.25">
      <c r="A87" t="s">
        <v>458</v>
      </c>
      <c r="B87" t="s">
        <v>30</v>
      </c>
      <c r="C87" t="s">
        <v>44</v>
      </c>
      <c r="D87" t="str">
        <f>IF(LEFT(Table1[[#This Row],[Opponent]],1)="@","Away","Home")</f>
        <v>Away</v>
      </c>
      <c r="E87" s="17">
        <f>_xlfn.NUMBERVALUE(MID(LEFT(Table1[[#This Row],[Score]],FIND("-",Table1[[#This Row],[Score]])-1),FIND(" ",Table1[[#This Row],[Score]])+1,LEN(Table1[[#This Row],[Score]])))</f>
        <v>2</v>
      </c>
      <c r="F87" s="17">
        <f>_xlfn.NUMBERVALUE(RIGHT(Table1[[#This Row],[Score]],LEN(Table1[[#This Row],[Score]])-FIND("-",Table1[[#This Row],[Score]])))</f>
        <v>12</v>
      </c>
      <c r="G87" s="17">
        <f t="shared" si="11"/>
        <v>14</v>
      </c>
      <c r="H87" s="17" t="str">
        <f>LEFT(Table1[[#This Row],[Score]],1)</f>
        <v>L</v>
      </c>
      <c r="I87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87" s="33">
        <f>VLOOKUP(Table1[[#This Row],[OPP]],Raw!$L$2:$S$23,7,FALSE)-Raw!$U$2</f>
        <v>-3.3200531208499337E-3</v>
      </c>
    </row>
    <row r="88" spans="1:10" x14ac:dyDescent="0.25">
      <c r="A88" t="s">
        <v>459</v>
      </c>
      <c r="B88" t="s">
        <v>30</v>
      </c>
      <c r="C88" t="s">
        <v>223</v>
      </c>
      <c r="D88" t="str">
        <f>IF(LEFT(Table1[[#This Row],[Opponent]],1)="@","Away","Home")</f>
        <v>Away</v>
      </c>
      <c r="E88" s="17">
        <f>_xlfn.NUMBERVALUE(MID(LEFT(Table1[[#This Row],[Score]],FIND("-",Table1[[#This Row],[Score]])-1),FIND(" ",Table1[[#This Row],[Score]])+1,LEN(Table1[[#This Row],[Score]])))</f>
        <v>10</v>
      </c>
      <c r="F88" s="17">
        <f>_xlfn.NUMBERVALUE(RIGHT(Table1[[#This Row],[Score]],LEN(Table1[[#This Row],[Score]])-FIND("-",Table1[[#This Row],[Score]])))</f>
        <v>4</v>
      </c>
      <c r="G88" s="17">
        <f t="shared" si="11"/>
        <v>14</v>
      </c>
      <c r="H88" s="17" t="str">
        <f>LEFT(Table1[[#This Row],[Score]],1)</f>
        <v>W</v>
      </c>
      <c r="I88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88" s="33">
        <f>VLOOKUP(Table1[[#This Row],[OPP]],Raw!$L$2:$S$23,7,FALSE)-Raw!$U$2</f>
        <v>-3.3200531208499337E-3</v>
      </c>
    </row>
    <row r="89" spans="1:10" x14ac:dyDescent="0.25">
      <c r="A89" t="s">
        <v>460</v>
      </c>
      <c r="B89" t="s">
        <v>5</v>
      </c>
      <c r="C89" t="s">
        <v>251</v>
      </c>
      <c r="D89" t="str">
        <f>IF(LEFT(Table1[[#This Row],[Opponent]],1)="@","Away","Home")</f>
        <v>Home</v>
      </c>
      <c r="E89" s="17">
        <f>_xlfn.NUMBERVALUE(MID(LEFT(Table1[[#This Row],[Score]],FIND("-",Table1[[#This Row],[Score]])-1),FIND(" ",Table1[[#This Row],[Score]])+1,LEN(Table1[[#This Row],[Score]])))</f>
        <v>2</v>
      </c>
      <c r="F89" s="17">
        <f>_xlfn.NUMBERVALUE(RIGHT(Table1[[#This Row],[Score]],LEN(Table1[[#This Row],[Score]])-FIND("-",Table1[[#This Row],[Score]])))</f>
        <v>7</v>
      </c>
      <c r="G89" s="17">
        <f t="shared" si="11"/>
        <v>9</v>
      </c>
      <c r="H89" s="17" t="str">
        <f>LEFT(Table1[[#This Row],[Score]],1)</f>
        <v>L</v>
      </c>
      <c r="I89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89" s="33">
        <f>VLOOKUP(Table1[[#This Row],[OPP]],Raw!$L$2:$S$23,7,FALSE)-Raw!$U$2</f>
        <v>0.53189121448478383</v>
      </c>
    </row>
    <row r="90" spans="1:10" x14ac:dyDescent="0.25">
      <c r="A90" t="s">
        <v>461</v>
      </c>
      <c r="B90" t="s">
        <v>58</v>
      </c>
      <c r="C90" t="s">
        <v>444</v>
      </c>
      <c r="D90" t="str">
        <f>IF(LEFT(Table1[[#This Row],[Opponent]],1)="@","Away","Home")</f>
        <v>Away</v>
      </c>
      <c r="E90" s="17">
        <f>_xlfn.NUMBERVALUE(MID(LEFT(Table1[[#This Row],[Score]],FIND("-",Table1[[#This Row],[Score]])-1),FIND(" ",Table1[[#This Row],[Score]])+1,LEN(Table1[[#This Row],[Score]])))</f>
        <v>15</v>
      </c>
      <c r="F90" s="17">
        <f>_xlfn.NUMBERVALUE(RIGHT(Table1[[#This Row],[Score]],LEN(Table1[[#This Row],[Score]])-FIND("-",Table1[[#This Row],[Score]])))</f>
        <v>9</v>
      </c>
      <c r="G90" s="17">
        <f t="shared" si="11"/>
        <v>24</v>
      </c>
      <c r="H90" s="17" t="str">
        <f>LEFT(Table1[[#This Row],[Score]],1)</f>
        <v>W</v>
      </c>
      <c r="I90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90" s="33">
        <f>VLOOKUP(Table1[[#This Row],[OPP]],Raw!$L$2:$S$23,7,FALSE)-Raw!$U$2</f>
        <v>0.83001328021248344</v>
      </c>
    </row>
    <row r="91" spans="1:10" x14ac:dyDescent="0.25">
      <c r="A91" t="s">
        <v>462</v>
      </c>
      <c r="B91" t="s">
        <v>58</v>
      </c>
      <c r="C91" t="s">
        <v>316</v>
      </c>
      <c r="D91" t="str">
        <f>IF(LEFT(Table1[[#This Row],[Opponent]],1)="@","Away","Home")</f>
        <v>Away</v>
      </c>
      <c r="E91" s="17">
        <f>_xlfn.NUMBERVALUE(MID(LEFT(Table1[[#This Row],[Score]],FIND("-",Table1[[#This Row],[Score]])-1),FIND(" ",Table1[[#This Row],[Score]])+1,LEN(Table1[[#This Row],[Score]])))</f>
        <v>9</v>
      </c>
      <c r="F91" s="17">
        <f>_xlfn.NUMBERVALUE(RIGHT(Table1[[#This Row],[Score]],LEN(Table1[[#This Row],[Score]])-FIND("-",Table1[[#This Row],[Score]])))</f>
        <v>6</v>
      </c>
      <c r="G91" s="17">
        <f t="shared" si="11"/>
        <v>15</v>
      </c>
      <c r="H91" s="17" t="str">
        <f>LEFT(Table1[[#This Row],[Score]],1)</f>
        <v>W</v>
      </c>
      <c r="I91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91" s="33">
        <f>VLOOKUP(Table1[[#This Row],[OPP]],Raw!$L$2:$S$23,7,FALSE)-Raw!$U$2</f>
        <v>0.83001328021248344</v>
      </c>
    </row>
    <row r="92" spans="1:10" x14ac:dyDescent="0.25">
      <c r="A92" t="s">
        <v>462</v>
      </c>
      <c r="B92" t="s">
        <v>58</v>
      </c>
      <c r="C92" t="s">
        <v>355</v>
      </c>
      <c r="D92" t="str">
        <f>IF(LEFT(Table1[[#This Row],[Opponent]],1)="@","Away","Home")</f>
        <v>Away</v>
      </c>
      <c r="E92" s="17">
        <f>_xlfn.NUMBERVALUE(MID(LEFT(Table1[[#This Row],[Score]],FIND("-",Table1[[#This Row],[Score]])-1),FIND(" ",Table1[[#This Row],[Score]])+1,LEN(Table1[[#This Row],[Score]])))</f>
        <v>5</v>
      </c>
      <c r="F92" s="17">
        <f>_xlfn.NUMBERVALUE(RIGHT(Table1[[#This Row],[Score]],LEN(Table1[[#This Row],[Score]])-FIND("-",Table1[[#This Row],[Score]])))</f>
        <v>15</v>
      </c>
      <c r="G92" s="17">
        <f t="shared" si="11"/>
        <v>20</v>
      </c>
      <c r="H92" s="17" t="str">
        <f>LEFT(Table1[[#This Row],[Score]],1)</f>
        <v>L</v>
      </c>
      <c r="I92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92" s="33">
        <f>VLOOKUP(Table1[[#This Row],[OPP]],Raw!$L$2:$S$23,7,FALSE)-Raw!$U$2</f>
        <v>0.83001328021248344</v>
      </c>
    </row>
    <row r="93" spans="1:10" x14ac:dyDescent="0.25">
      <c r="A93" t="s">
        <v>463</v>
      </c>
      <c r="B93" t="s">
        <v>58</v>
      </c>
      <c r="C93" t="s">
        <v>15</v>
      </c>
      <c r="D93" t="str">
        <f>IF(LEFT(Table1[[#This Row],[Opponent]],1)="@","Away","Home")</f>
        <v>Away</v>
      </c>
      <c r="E93" s="17">
        <f>_xlfn.NUMBERVALUE(MID(LEFT(Table1[[#This Row],[Score]],FIND("-",Table1[[#This Row],[Score]])-1),FIND(" ",Table1[[#This Row],[Score]])+1,LEN(Table1[[#This Row],[Score]])))</f>
        <v>3</v>
      </c>
      <c r="F93" s="17">
        <f>_xlfn.NUMBERVALUE(RIGHT(Table1[[#This Row],[Score]],LEN(Table1[[#This Row],[Score]])-FIND("-",Table1[[#This Row],[Score]])))</f>
        <v>1</v>
      </c>
      <c r="G93" s="17">
        <f t="shared" si="11"/>
        <v>4</v>
      </c>
      <c r="H93" s="17" t="str">
        <f>LEFT(Table1[[#This Row],[Score]],1)</f>
        <v>W</v>
      </c>
      <c r="I93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93" s="33">
        <f>VLOOKUP(Table1[[#This Row],[OPP]],Raw!$L$2:$S$23,7,FALSE)-Raw!$U$2</f>
        <v>0.83001328021248344</v>
      </c>
    </row>
    <row r="94" spans="1:10" x14ac:dyDescent="0.25">
      <c r="A94" t="s">
        <v>464</v>
      </c>
      <c r="B94" t="s">
        <v>5</v>
      </c>
      <c r="C94" t="s">
        <v>311</v>
      </c>
      <c r="D94" t="str">
        <f>IF(LEFT(Table1[[#This Row],[Opponent]],1)="@","Away","Home")</f>
        <v>Home</v>
      </c>
      <c r="E94" s="17">
        <f>_xlfn.NUMBERVALUE(MID(LEFT(Table1[[#This Row],[Score]],FIND("-",Table1[[#This Row],[Score]])-1),FIND(" ",Table1[[#This Row],[Score]])+1,LEN(Table1[[#This Row],[Score]])))</f>
        <v>8</v>
      </c>
      <c r="F94" s="17">
        <f>_xlfn.NUMBERVALUE(RIGHT(Table1[[#This Row],[Score]],LEN(Table1[[#This Row],[Score]])-FIND("-",Table1[[#This Row],[Score]])))</f>
        <v>11</v>
      </c>
      <c r="G94" s="17">
        <f t="shared" si="11"/>
        <v>19</v>
      </c>
      <c r="H94" s="17" t="str">
        <f>LEFT(Table1[[#This Row],[Score]],1)</f>
        <v>L</v>
      </c>
      <c r="I94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94" s="33">
        <f>VLOOKUP(Table1[[#This Row],[OPP]],Raw!$L$2:$S$23,7,FALSE)-Raw!$U$2</f>
        <v>0.53189121448478383</v>
      </c>
    </row>
    <row r="95" spans="1:10" x14ac:dyDescent="0.25">
      <c r="A95" t="s">
        <v>465</v>
      </c>
      <c r="B95" t="s">
        <v>5</v>
      </c>
      <c r="C95" t="s">
        <v>322</v>
      </c>
      <c r="D95" t="str">
        <f>IF(LEFT(Table1[[#This Row],[Opponent]],1)="@","Away","Home")</f>
        <v>Home</v>
      </c>
      <c r="E95" s="17">
        <f>_xlfn.NUMBERVALUE(MID(LEFT(Table1[[#This Row],[Score]],FIND("-",Table1[[#This Row],[Score]])-1),FIND(" ",Table1[[#This Row],[Score]])+1,LEN(Table1[[#This Row],[Score]])))</f>
        <v>6</v>
      </c>
      <c r="F95" s="17">
        <f>_xlfn.NUMBERVALUE(RIGHT(Table1[[#This Row],[Score]],LEN(Table1[[#This Row],[Score]])-FIND("-",Table1[[#This Row],[Score]])))</f>
        <v>7</v>
      </c>
      <c r="G95" s="17">
        <f t="shared" si="11"/>
        <v>13</v>
      </c>
      <c r="H95" s="17" t="str">
        <f>LEFT(Table1[[#This Row],[Score]],1)</f>
        <v>L</v>
      </c>
      <c r="I95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95" s="33">
        <f>VLOOKUP(Table1[[#This Row],[OPP]],Raw!$L$2:$S$23,7,FALSE)-Raw!$U$2</f>
        <v>0.53189121448478383</v>
      </c>
    </row>
    <row r="96" spans="1:10" x14ac:dyDescent="0.25">
      <c r="A96" t="s">
        <v>466</v>
      </c>
      <c r="B96" t="s">
        <v>69</v>
      </c>
      <c r="C96" t="s">
        <v>347</v>
      </c>
      <c r="D96" t="str">
        <f>IF(LEFT(Table1[[#This Row],[Opponent]],1)="@","Away","Home")</f>
        <v>Home</v>
      </c>
      <c r="E96" s="17">
        <f>_xlfn.NUMBERVALUE(MID(LEFT(Table1[[#This Row],[Score]],FIND("-",Table1[[#This Row],[Score]])-1),FIND(" ",Table1[[#This Row],[Score]])+1,LEN(Table1[[#This Row],[Score]])))</f>
        <v>9</v>
      </c>
      <c r="F96" s="17">
        <f>_xlfn.NUMBERVALUE(RIGHT(Table1[[#This Row],[Score]],LEN(Table1[[#This Row],[Score]])-FIND("-",Table1[[#This Row],[Score]])))</f>
        <v>5</v>
      </c>
      <c r="G96" s="17">
        <f t="shared" si="11"/>
        <v>14</v>
      </c>
      <c r="H96" s="17" t="str">
        <f>LEFT(Table1[[#This Row],[Score]],1)</f>
        <v>W</v>
      </c>
      <c r="I96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96" s="33">
        <f>VLOOKUP(Table1[[#This Row],[OPP]],Raw!$L$2:$S$23,7,FALSE)-Raw!$U$2</f>
        <v>-3.1019116024166244</v>
      </c>
    </row>
    <row r="97" spans="1:10" x14ac:dyDescent="0.25">
      <c r="A97" t="s">
        <v>467</v>
      </c>
      <c r="B97" t="s">
        <v>69</v>
      </c>
      <c r="C97" t="s">
        <v>322</v>
      </c>
      <c r="D97" t="str">
        <f>IF(LEFT(Table1[[#This Row],[Opponent]],1)="@","Away","Home")</f>
        <v>Home</v>
      </c>
      <c r="E97" s="17">
        <f>_xlfn.NUMBERVALUE(MID(LEFT(Table1[[#This Row],[Score]],FIND("-",Table1[[#This Row],[Score]])-1),FIND(" ",Table1[[#This Row],[Score]])+1,LEN(Table1[[#This Row],[Score]])))</f>
        <v>6</v>
      </c>
      <c r="F97" s="17">
        <f>_xlfn.NUMBERVALUE(RIGHT(Table1[[#This Row],[Score]],LEN(Table1[[#This Row],[Score]])-FIND("-",Table1[[#This Row],[Score]])))</f>
        <v>7</v>
      </c>
      <c r="G97" s="17">
        <f t="shared" si="11"/>
        <v>13</v>
      </c>
      <c r="H97" s="17" t="str">
        <f>LEFT(Table1[[#This Row],[Score]],1)</f>
        <v>L</v>
      </c>
      <c r="I97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97" s="33">
        <f>VLOOKUP(Table1[[#This Row],[OPP]],Raw!$L$2:$S$23,7,FALSE)-Raw!$U$2</f>
        <v>-3.1019116024166244</v>
      </c>
    </row>
    <row r="98" spans="1:10" x14ac:dyDescent="0.25">
      <c r="A98" t="s">
        <v>468</v>
      </c>
      <c r="B98" t="s">
        <v>52</v>
      </c>
      <c r="C98" t="s">
        <v>89</v>
      </c>
      <c r="D98" t="str">
        <f>IF(LEFT(Table1[[#This Row],[Opponent]],1)="@","Away","Home")</f>
        <v>Home</v>
      </c>
      <c r="E98" s="17">
        <f>_xlfn.NUMBERVALUE(MID(LEFT(Table1[[#This Row],[Score]],FIND("-",Table1[[#This Row],[Score]])-1),FIND(" ",Table1[[#This Row],[Score]])+1,LEN(Table1[[#This Row],[Score]])))</f>
        <v>1</v>
      </c>
      <c r="F98" s="17">
        <f>_xlfn.NUMBERVALUE(RIGHT(Table1[[#This Row],[Score]],LEN(Table1[[#This Row],[Score]])-FIND("-",Table1[[#This Row],[Score]])))</f>
        <v>6</v>
      </c>
      <c r="G98" s="17">
        <f t="shared" si="11"/>
        <v>7</v>
      </c>
      <c r="H98" s="17" t="str">
        <f>LEFT(Table1[[#This Row],[Score]],1)</f>
        <v>L</v>
      </c>
      <c r="I98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98" s="33">
        <f>VLOOKUP(Table1[[#This Row],[OPP]],Raw!$L$2:$S$23,7,FALSE)-Raw!$U$2</f>
        <v>-3.3200531208499337E-3</v>
      </c>
    </row>
    <row r="99" spans="1:10" x14ac:dyDescent="0.25">
      <c r="A99" t="s">
        <v>498</v>
      </c>
      <c r="B99" t="s">
        <v>52</v>
      </c>
      <c r="C99" t="s">
        <v>234</v>
      </c>
      <c r="D99" t="str">
        <f>IF(LEFT(Table1[[#This Row],[Opponent]],1)="@","Away","Home")</f>
        <v>Home</v>
      </c>
      <c r="E99" s="17">
        <f>_xlfn.NUMBERVALUE(MID(LEFT(Table1[[#This Row],[Score]],FIND("-",Table1[[#This Row],[Score]])-1),FIND(" ",Table1[[#This Row],[Score]])+1,LEN(Table1[[#This Row],[Score]])))</f>
        <v>2</v>
      </c>
      <c r="F99" s="17">
        <f>_xlfn.NUMBERVALUE(RIGHT(Table1[[#This Row],[Score]],LEN(Table1[[#This Row],[Score]])-FIND("-",Table1[[#This Row],[Score]])))</f>
        <v>5</v>
      </c>
      <c r="G99" s="17">
        <f t="shared" ref="G99:G101" si="12">E99+F99</f>
        <v>7</v>
      </c>
      <c r="H99" s="17" t="str">
        <f>LEFT(Table1[[#This Row],[Score]],1)</f>
        <v>L</v>
      </c>
      <c r="I99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99" s="17">
        <f>VLOOKUP(Table1[[#This Row],[OPP]],Raw!$L$2:$S$23,7,FALSE)-Raw!$U$2</f>
        <v>-3.3200531208499337E-3</v>
      </c>
    </row>
    <row r="100" spans="1:10" x14ac:dyDescent="0.25">
      <c r="A100" t="s">
        <v>499</v>
      </c>
      <c r="B100" t="s">
        <v>319</v>
      </c>
      <c r="C100" t="s">
        <v>223</v>
      </c>
      <c r="D100" t="str">
        <f>IF(LEFT(Table1[[#This Row],[Opponent]],1)="@","Away","Home")</f>
        <v>Away</v>
      </c>
      <c r="E100" s="17">
        <f>_xlfn.NUMBERVALUE(MID(LEFT(Table1[[#This Row],[Score]],FIND("-",Table1[[#This Row],[Score]])-1),FIND(" ",Table1[[#This Row],[Score]])+1,LEN(Table1[[#This Row],[Score]])))</f>
        <v>10</v>
      </c>
      <c r="F100" s="17">
        <f>_xlfn.NUMBERVALUE(RIGHT(Table1[[#This Row],[Score]],LEN(Table1[[#This Row],[Score]])-FIND("-",Table1[[#This Row],[Score]])))</f>
        <v>4</v>
      </c>
      <c r="G100" s="17">
        <f t="shared" si="12"/>
        <v>14</v>
      </c>
      <c r="H100" s="17" t="str">
        <f>LEFT(Table1[[#This Row],[Score]],1)</f>
        <v>W</v>
      </c>
      <c r="I100" s="17" t="str">
        <f>VLOOKUP(IF(Table1[[#This Row],[At]]="Home",Table1[[#This Row],[Opponent]],RIGHT(Table1[[#This Row],[Opponent]],LEN(Table1[[#This Row],[Opponent]])-1)),CHOOSE({1,2},[1]StandingsRAW!$J$1:$J$22,[1]StandingsRAW!$L$1:$L$22),2,FALSE)</f>
        <v>MAD</v>
      </c>
      <c r="J100" s="17">
        <f>VLOOKUP(Table1[[#This Row],[OPP]],Raw!$L$2:$S$23,7,FALSE)-Raw!$U$2</f>
        <v>-1.5172089420097388</v>
      </c>
    </row>
    <row r="101" spans="1:10" x14ac:dyDescent="0.25">
      <c r="A101" t="s">
        <v>500</v>
      </c>
      <c r="B101" t="s">
        <v>319</v>
      </c>
      <c r="C101" t="s">
        <v>219</v>
      </c>
      <c r="D101" t="str">
        <f>IF(LEFT(Table1[[#This Row],[Opponent]],1)="@","Away","Home")</f>
        <v>Away</v>
      </c>
      <c r="E101" s="17">
        <f>_xlfn.NUMBERVALUE(MID(LEFT(Table1[[#This Row],[Score]],FIND("-",Table1[[#This Row],[Score]])-1),FIND(" ",Table1[[#This Row],[Score]])+1,LEN(Table1[[#This Row],[Score]])))</f>
        <v>0</v>
      </c>
      <c r="F101" s="17">
        <f>_xlfn.NUMBERVALUE(RIGHT(Table1[[#This Row],[Score]],LEN(Table1[[#This Row],[Score]])-FIND("-",Table1[[#This Row],[Score]])))</f>
        <v>2</v>
      </c>
      <c r="G101" s="17">
        <f t="shared" si="12"/>
        <v>2</v>
      </c>
      <c r="H101" s="17" t="str">
        <f>LEFT(Table1[[#This Row],[Score]],1)</f>
        <v>L</v>
      </c>
      <c r="I101" s="17" t="str">
        <f>VLOOKUP(IF(Table1[[#This Row],[At]]="Home",Table1[[#This Row],[Opponent]],RIGHT(Table1[[#This Row],[Opponent]],LEN(Table1[[#This Row],[Opponent]])-1)),CHOOSE({1,2},[1]StandingsRAW!$J$1:$J$22,[1]StandingsRAW!$L$1:$L$22),2,FALSE)</f>
        <v>MAD</v>
      </c>
      <c r="J101" s="17">
        <f>VLOOKUP(Table1[[#This Row],[OPP]],Raw!$L$2:$S$23,7,FALSE)-Raw!$U$2</f>
        <v>-1.5172089420097388</v>
      </c>
    </row>
    <row r="102" spans="1:10" x14ac:dyDescent="0.25">
      <c r="A102" t="s">
        <v>501</v>
      </c>
      <c r="B102" t="s">
        <v>5</v>
      </c>
      <c r="C102" t="s">
        <v>121</v>
      </c>
      <c r="D102" t="str">
        <f>IF(LEFT(Table1[[#This Row],[Opponent]],1)="@","Away","Home")</f>
        <v>Home</v>
      </c>
      <c r="E102" s="17">
        <f>_xlfn.NUMBERVALUE(MID(LEFT(Table1[[#This Row],[Score]],FIND("-",Table1[[#This Row],[Score]])-1),FIND(" ",Table1[[#This Row],[Score]])+1,LEN(Table1[[#This Row],[Score]])))</f>
        <v>2</v>
      </c>
      <c r="F102" s="17">
        <f>_xlfn.NUMBERVALUE(RIGHT(Table1[[#This Row],[Score]],LEN(Table1[[#This Row],[Score]])-FIND("-",Table1[[#This Row],[Score]])))</f>
        <v>11</v>
      </c>
      <c r="G102" s="17">
        <f t="shared" ref="G102:G104" si="13">E102+F102</f>
        <v>13</v>
      </c>
      <c r="H102" s="17" t="str">
        <f>LEFT(Table1[[#This Row],[Score]],1)</f>
        <v>L</v>
      </c>
      <c r="I102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102" s="17">
        <f>VLOOKUP(Table1[[#This Row],[OPP]],Raw!$L$2:$S$23,7,FALSE)-Raw!$U$2</f>
        <v>0.53189121448478383</v>
      </c>
    </row>
    <row r="103" spans="1:10" x14ac:dyDescent="0.25">
      <c r="A103" t="s">
        <v>502</v>
      </c>
      <c r="B103" t="s">
        <v>17</v>
      </c>
      <c r="C103" t="s">
        <v>265</v>
      </c>
      <c r="D103" t="str">
        <f>IF(LEFT(Table1[[#This Row],[Opponent]],1)="@","Away","Home")</f>
        <v>Away</v>
      </c>
      <c r="E103" s="17">
        <f>_xlfn.NUMBERVALUE(MID(LEFT(Table1[[#This Row],[Score]],FIND("-",Table1[[#This Row],[Score]])-1),FIND(" ",Table1[[#This Row],[Score]])+1,LEN(Table1[[#This Row],[Score]])))</f>
        <v>2</v>
      </c>
      <c r="F103" s="17">
        <f>_xlfn.NUMBERVALUE(RIGHT(Table1[[#This Row],[Score]],LEN(Table1[[#This Row],[Score]])-FIND("-",Table1[[#This Row],[Score]])))</f>
        <v>15</v>
      </c>
      <c r="G103" s="17">
        <f t="shared" si="13"/>
        <v>17</v>
      </c>
      <c r="H103" s="17" t="str">
        <f>LEFT(Table1[[#This Row],[Score]],1)</f>
        <v>L</v>
      </c>
      <c r="I103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103" s="17">
        <f>VLOOKUP(Table1[[#This Row],[OPP]],Raw!$L$2:$S$23,7,FALSE)-Raw!$U$2</f>
        <v>0.53189121448478383</v>
      </c>
    </row>
    <row r="104" spans="1:10" x14ac:dyDescent="0.25">
      <c r="A104" t="s">
        <v>502</v>
      </c>
      <c r="B104" t="s">
        <v>17</v>
      </c>
      <c r="C104" t="s">
        <v>267</v>
      </c>
      <c r="D104" t="str">
        <f>IF(LEFT(Table1[[#This Row],[Opponent]],1)="@","Away","Home")</f>
        <v>Away</v>
      </c>
      <c r="E104" s="17">
        <f>_xlfn.NUMBERVALUE(MID(LEFT(Table1[[#This Row],[Score]],FIND("-",Table1[[#This Row],[Score]])-1),FIND(" ",Table1[[#This Row],[Score]])+1,LEN(Table1[[#This Row],[Score]])))</f>
        <v>8</v>
      </c>
      <c r="F104" s="17">
        <f>_xlfn.NUMBERVALUE(RIGHT(Table1[[#This Row],[Score]],LEN(Table1[[#This Row],[Score]])-FIND("-",Table1[[#This Row],[Score]])))</f>
        <v>7</v>
      </c>
      <c r="G104" s="17">
        <f t="shared" si="13"/>
        <v>15</v>
      </c>
      <c r="H104" s="17" t="str">
        <f>LEFT(Table1[[#This Row],[Score]],1)</f>
        <v>W</v>
      </c>
      <c r="I104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104" s="17">
        <f>VLOOKUP(Table1[[#This Row],[OPP]],Raw!$L$2:$S$23,7,FALSE)-Raw!$U$2</f>
        <v>0.53189121448478383</v>
      </c>
    </row>
    <row r="105" spans="1:10" x14ac:dyDescent="0.25">
      <c r="A105" t="s">
        <v>505</v>
      </c>
      <c r="B105" t="s">
        <v>23</v>
      </c>
      <c r="C105" t="s">
        <v>506</v>
      </c>
      <c r="D105" t="str">
        <f>IF(LEFT(Table1[[#This Row],[Opponent]],1)="@","Away","Home")</f>
        <v>Home</v>
      </c>
      <c r="E105" s="17">
        <f>_xlfn.NUMBERVALUE(MID(LEFT(Table1[[#This Row],[Score]],FIND("-",Table1[[#This Row],[Score]])-1),FIND(" ",Table1[[#This Row],[Score]])+1,LEN(Table1[[#This Row],[Score]])))</f>
        <v>13</v>
      </c>
      <c r="F105" s="17">
        <f>_xlfn.NUMBERVALUE(RIGHT(Table1[[#This Row],[Score]],LEN(Table1[[#This Row],[Score]])-FIND("-",Table1[[#This Row],[Score]])))</f>
        <v>14</v>
      </c>
      <c r="G105" s="17">
        <f>E105+F105</f>
        <v>27</v>
      </c>
      <c r="H105" s="17" t="str">
        <f>LEFT(Table1[[#This Row],[Score]],1)</f>
        <v>L</v>
      </c>
      <c r="I105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105" s="17">
        <f>VLOOKUP(Table1[[#This Row],[OPP]],Raw!$L$2:$S$23,7,FALSE)-Raw!$U$2</f>
        <v>1.4411243913235945</v>
      </c>
    </row>
    <row r="106" spans="1:10" x14ac:dyDescent="0.25">
      <c r="A106" t="s">
        <v>508</v>
      </c>
      <c r="B106" t="s">
        <v>23</v>
      </c>
      <c r="C106" t="s">
        <v>33</v>
      </c>
      <c r="D106" t="str">
        <f>IF(LEFT(Table1[[#This Row],[Opponent]],1)="@","Away","Home")</f>
        <v>Home</v>
      </c>
      <c r="E106" s="17">
        <f>_xlfn.NUMBERVALUE(MID(LEFT(Table1[[#This Row],[Score]],FIND("-",Table1[[#This Row],[Score]])-1),FIND(" ",Table1[[#This Row],[Score]])+1,LEN(Table1[[#This Row],[Score]])))</f>
        <v>7</v>
      </c>
      <c r="F106" s="17">
        <f>_xlfn.NUMBERVALUE(RIGHT(Table1[[#This Row],[Score]],LEN(Table1[[#This Row],[Score]])-FIND("-",Table1[[#This Row],[Score]])))</f>
        <v>4</v>
      </c>
      <c r="G106" s="17">
        <f t="shared" ref="G106:G108" si="14">E106+F106</f>
        <v>11</v>
      </c>
      <c r="H106" s="17" t="str">
        <f>LEFT(Table1[[#This Row],[Score]],1)</f>
        <v>W</v>
      </c>
      <c r="I106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106" s="17">
        <f>VLOOKUP(Table1[[#This Row],[OPP]],Raw!$L$2:$S$23,7,FALSE)-Raw!$U$2</f>
        <v>1.4411243913235945</v>
      </c>
    </row>
    <row r="107" spans="1:10" x14ac:dyDescent="0.25">
      <c r="A107" t="s">
        <v>509</v>
      </c>
      <c r="B107" t="s">
        <v>315</v>
      </c>
      <c r="C107" t="s">
        <v>50</v>
      </c>
      <c r="D107" t="str">
        <f>IF(LEFT(Table1[[#This Row],[Opponent]],1)="@","Away","Home")</f>
        <v>Away</v>
      </c>
      <c r="E107" s="17">
        <f>_xlfn.NUMBERVALUE(MID(LEFT(Table1[[#This Row],[Score]],FIND("-",Table1[[#This Row],[Score]])-1),FIND(" ",Table1[[#This Row],[Score]])+1,LEN(Table1[[#This Row],[Score]])))</f>
        <v>3</v>
      </c>
      <c r="F107" s="17">
        <f>_xlfn.NUMBERVALUE(RIGHT(Table1[[#This Row],[Score]],LEN(Table1[[#This Row],[Score]])-FIND("-",Table1[[#This Row],[Score]])))</f>
        <v>4</v>
      </c>
      <c r="G107" s="17">
        <f t="shared" si="14"/>
        <v>7</v>
      </c>
      <c r="H107" s="17" t="str">
        <f>LEFT(Table1[[#This Row],[Score]],1)</f>
        <v>L</v>
      </c>
      <c r="I107" s="17" t="str">
        <f>VLOOKUP(IF(Table1[[#This Row],[At]]="Home",Table1[[#This Row],[Opponent]],RIGHT(Table1[[#This Row],[Opponent]],LEN(Table1[[#This Row],[Opponent]])-1)),CHOOSE({1,2},[1]StandingsRAW!$J$1:$J$22,[1]StandingsRAW!$L$1:$L$22),2,FALSE)</f>
        <v>LAK</v>
      </c>
      <c r="J107" s="17">
        <f>VLOOKUP(Table1[[#This Row],[OPP]],Raw!$L$2:$S$23,7,FALSE)-Raw!$U$2</f>
        <v>0.13556883576803896</v>
      </c>
    </row>
    <row r="108" spans="1:10" x14ac:dyDescent="0.25">
      <c r="A108" t="s">
        <v>510</v>
      </c>
      <c r="B108" t="s">
        <v>315</v>
      </c>
      <c r="C108" t="s">
        <v>317</v>
      </c>
      <c r="D108" t="str">
        <f>IF(LEFT(Table1[[#This Row],[Opponent]],1)="@","Away","Home")</f>
        <v>Away</v>
      </c>
      <c r="E108" s="17">
        <f>_xlfn.NUMBERVALUE(MID(LEFT(Table1[[#This Row],[Score]],FIND("-",Table1[[#This Row],[Score]])-1),FIND(" ",Table1[[#This Row],[Score]])+1,LEN(Table1[[#This Row],[Score]])))</f>
        <v>15</v>
      </c>
      <c r="F108" s="17">
        <f>_xlfn.NUMBERVALUE(RIGHT(Table1[[#This Row],[Score]],LEN(Table1[[#This Row],[Score]])-FIND("-",Table1[[#This Row],[Score]])))</f>
        <v>7</v>
      </c>
      <c r="G108" s="17">
        <f t="shared" si="14"/>
        <v>22</v>
      </c>
      <c r="H108" s="17" t="str">
        <f>LEFT(Table1[[#This Row],[Score]],1)</f>
        <v>W</v>
      </c>
      <c r="I108" s="17" t="str">
        <f>VLOOKUP(IF(Table1[[#This Row],[At]]="Home",Table1[[#This Row],[Opponent]],RIGHT(Table1[[#This Row],[Opponent]],LEN(Table1[[#This Row],[Opponent]])-1)),CHOOSE({1,2},[1]StandingsRAW!$J$1:$J$22,[1]StandingsRAW!$L$1:$L$22),2,FALSE)</f>
        <v>LAK</v>
      </c>
      <c r="J108" s="17">
        <f>VLOOKUP(Table1[[#This Row],[OPP]],Raw!$L$2:$S$23,7,FALSE)-Raw!$U$2</f>
        <v>0.13556883576803896</v>
      </c>
    </row>
    <row r="109" spans="1:10" x14ac:dyDescent="0.25">
      <c r="A109" t="s">
        <v>515</v>
      </c>
      <c r="B109" t="s">
        <v>20</v>
      </c>
      <c r="C109" t="s">
        <v>351</v>
      </c>
      <c r="D109" t="str">
        <f>IF(LEFT(Table1[[#This Row],[Opponent]],1)="@","Away","Home")</f>
        <v>Home</v>
      </c>
      <c r="E109" s="17">
        <f>_xlfn.NUMBERVALUE(MID(LEFT(Table1[[#This Row],[Score]],FIND("-",Table1[[#This Row],[Score]])-1),FIND(" ",Table1[[#This Row],[Score]])+1,LEN(Table1[[#This Row],[Score]])))</f>
        <v>2</v>
      </c>
      <c r="F109" s="17">
        <f>_xlfn.NUMBERVALUE(RIGHT(Table1[[#This Row],[Score]],LEN(Table1[[#This Row],[Score]])-FIND("-",Table1[[#This Row],[Score]])))</f>
        <v>1</v>
      </c>
      <c r="G109" s="17">
        <f>E109+F109</f>
        <v>3</v>
      </c>
      <c r="H109" s="17" t="str">
        <f>LEFT(Table1[[#This Row],[Score]],1)</f>
        <v>W</v>
      </c>
      <c r="I109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109" s="17">
        <f>VLOOKUP(Table1[[#This Row],[OPP]],Raw!$L$2:$S$23,7,FALSE)-Raw!$U$2</f>
        <v>0.83001328021248344</v>
      </c>
    </row>
    <row r="110" spans="1:10" x14ac:dyDescent="0.25">
      <c r="A110" t="s">
        <v>518</v>
      </c>
      <c r="B110" t="s">
        <v>20</v>
      </c>
      <c r="C110" t="s">
        <v>274</v>
      </c>
      <c r="D110" t="str">
        <f>IF(LEFT(Table1[[#This Row],[Opponent]],1)="@","Away","Home")</f>
        <v>Home</v>
      </c>
      <c r="E110" s="17">
        <f>_xlfn.NUMBERVALUE(MID(LEFT(Table1[[#This Row],[Score]],FIND("-",Table1[[#This Row],[Score]])-1),FIND(" ",Table1[[#This Row],[Score]])+1,LEN(Table1[[#This Row],[Score]])))</f>
        <v>9</v>
      </c>
      <c r="F110" s="17">
        <f>_xlfn.NUMBERVALUE(RIGHT(Table1[[#This Row],[Score]],LEN(Table1[[#This Row],[Score]])-FIND("-",Table1[[#This Row],[Score]])))</f>
        <v>10</v>
      </c>
      <c r="G110" s="17">
        <f t="shared" ref="G110:G113" si="15">E110+F110</f>
        <v>19</v>
      </c>
      <c r="H110" s="17" t="str">
        <f>LEFT(Table1[[#This Row],[Score]],1)</f>
        <v>L</v>
      </c>
      <c r="I110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110" s="17">
        <f>VLOOKUP(Table1[[#This Row],[OPP]],Raw!$L$2:$S$23,7,FALSE)-Raw!$U$2</f>
        <v>0.83001328021248344</v>
      </c>
    </row>
    <row r="111" spans="1:10" x14ac:dyDescent="0.25">
      <c r="A111" t="s">
        <v>519</v>
      </c>
      <c r="B111" t="s">
        <v>10</v>
      </c>
      <c r="C111" t="s">
        <v>36</v>
      </c>
      <c r="D111" t="str">
        <f>IF(LEFT(Table1[[#This Row],[Opponent]],1)="@","Away","Home")</f>
        <v>Away</v>
      </c>
      <c r="E111" s="17">
        <f>_xlfn.NUMBERVALUE(MID(LEFT(Table1[[#This Row],[Score]],FIND("-",Table1[[#This Row],[Score]])-1),FIND(" ",Table1[[#This Row],[Score]])+1,LEN(Table1[[#This Row],[Score]])))</f>
        <v>1</v>
      </c>
      <c r="F111" s="17">
        <f>_xlfn.NUMBERVALUE(RIGHT(Table1[[#This Row],[Score]],LEN(Table1[[#This Row],[Score]])-FIND("-",Table1[[#This Row],[Score]])))</f>
        <v>5</v>
      </c>
      <c r="G111" s="17">
        <f t="shared" si="15"/>
        <v>6</v>
      </c>
      <c r="H111" s="17" t="str">
        <f>LEFT(Table1[[#This Row],[Score]],1)</f>
        <v>L</v>
      </c>
      <c r="I111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111" s="17">
        <f>VLOOKUP(Table1[[#This Row],[OPP]],Raw!$L$2:$S$23,7,FALSE)-Raw!$U$2</f>
        <v>-3.1019116024166244</v>
      </c>
    </row>
    <row r="112" spans="1:10" x14ac:dyDescent="0.25">
      <c r="A112" t="s">
        <v>520</v>
      </c>
      <c r="B112" t="s">
        <v>10</v>
      </c>
      <c r="C112" t="s">
        <v>61</v>
      </c>
      <c r="D112" t="str">
        <f>IF(LEFT(Table1[[#This Row],[Opponent]],1)="@","Away","Home")</f>
        <v>Away</v>
      </c>
      <c r="E112" s="17">
        <f>_xlfn.NUMBERVALUE(MID(LEFT(Table1[[#This Row],[Score]],FIND("-",Table1[[#This Row],[Score]])-1),FIND(" ",Table1[[#This Row],[Score]])+1,LEN(Table1[[#This Row],[Score]])))</f>
        <v>7</v>
      </c>
      <c r="F112" s="17">
        <f>_xlfn.NUMBERVALUE(RIGHT(Table1[[#This Row],[Score]],LEN(Table1[[#This Row],[Score]])-FIND("-",Table1[[#This Row],[Score]])))</f>
        <v>3</v>
      </c>
      <c r="G112" s="17">
        <f t="shared" si="15"/>
        <v>10</v>
      </c>
      <c r="H112" s="17" t="str">
        <f>LEFT(Table1[[#This Row],[Score]],1)</f>
        <v>W</v>
      </c>
      <c r="I112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112" s="17">
        <f>VLOOKUP(Table1[[#This Row],[OPP]],Raw!$L$2:$S$23,7,FALSE)-Raw!$U$2</f>
        <v>-3.1019116024166244</v>
      </c>
    </row>
    <row r="113" spans="1:10" x14ac:dyDescent="0.25">
      <c r="A113" t="s">
        <v>521</v>
      </c>
      <c r="B113" t="s">
        <v>314</v>
      </c>
      <c r="C113" t="s">
        <v>219</v>
      </c>
      <c r="D113" t="str">
        <f>IF(LEFT(Table1[[#This Row],[Opponent]],1)="@","Away","Home")</f>
        <v>Home</v>
      </c>
      <c r="E113" s="17">
        <f>_xlfn.NUMBERVALUE(MID(LEFT(Table1[[#This Row],[Score]],FIND("-",Table1[[#This Row],[Score]])-1),FIND(" ",Table1[[#This Row],[Score]])+1,LEN(Table1[[#This Row],[Score]])))</f>
        <v>0</v>
      </c>
      <c r="F113" s="17">
        <f>_xlfn.NUMBERVALUE(RIGHT(Table1[[#This Row],[Score]],LEN(Table1[[#This Row],[Score]])-FIND("-",Table1[[#This Row],[Score]])))</f>
        <v>2</v>
      </c>
      <c r="G113" s="17">
        <f t="shared" si="15"/>
        <v>2</v>
      </c>
      <c r="H113" s="17" t="str">
        <f>LEFT(Table1[[#This Row],[Score]],1)</f>
        <v>L</v>
      </c>
      <c r="I113" s="17" t="str">
        <f>VLOOKUP(IF(Table1[[#This Row],[At]]="Home",Table1[[#This Row],[Opponent]],RIGHT(Table1[[#This Row],[Opponent]],LEN(Table1[[#This Row],[Opponent]])-1)),CHOOSE({1,2},[1]StandingsRAW!$J$1:$J$22,[1]StandingsRAW!$L$1:$L$22),2,FALSE)</f>
        <v>LAK</v>
      </c>
      <c r="J113" s="17">
        <f>VLOOKUP(Table1[[#This Row],[OPP]],Raw!$L$2:$S$23,7,FALSE)-Raw!$U$2</f>
        <v>0.13556883576803896</v>
      </c>
    </row>
    <row r="114" spans="1:10" x14ac:dyDescent="0.25">
      <c r="A114" t="s">
        <v>524</v>
      </c>
      <c r="B114" t="s">
        <v>314</v>
      </c>
      <c r="C114" t="s">
        <v>36</v>
      </c>
      <c r="D114" t="str">
        <f>IF(LEFT(Table1[[#This Row],[Opponent]],1)="@","Away","Home")</f>
        <v>Home</v>
      </c>
      <c r="E114" s="17">
        <f>_xlfn.NUMBERVALUE(MID(LEFT(Table1[[#This Row],[Score]],FIND("-",Table1[[#This Row],[Score]])-1),FIND(" ",Table1[[#This Row],[Score]])+1,LEN(Table1[[#This Row],[Score]])))</f>
        <v>1</v>
      </c>
      <c r="F114" s="17">
        <f>_xlfn.NUMBERVALUE(RIGHT(Table1[[#This Row],[Score]],LEN(Table1[[#This Row],[Score]])-FIND("-",Table1[[#This Row],[Score]])))</f>
        <v>5</v>
      </c>
      <c r="G114" s="17">
        <f t="shared" ref="G114:G120" si="16">E114+F114</f>
        <v>6</v>
      </c>
      <c r="H114" s="17" t="str">
        <f>LEFT(Table1[[#This Row],[Score]],1)</f>
        <v>L</v>
      </c>
      <c r="I114" s="17" t="str">
        <f>VLOOKUP(IF(Table1[[#This Row],[At]]="Home",Table1[[#This Row],[Opponent]],RIGHT(Table1[[#This Row],[Opponent]],LEN(Table1[[#This Row],[Opponent]])-1)),CHOOSE({1,2},[1]StandingsRAW!$J$1:$J$22,[1]StandingsRAW!$L$1:$L$22),2,FALSE)</f>
        <v>LAK</v>
      </c>
      <c r="J114" s="17">
        <f>VLOOKUP(Table1[[#This Row],[OPP]],Raw!$L$2:$S$23,7,FALSE)-Raw!$U$2</f>
        <v>0.13556883576803896</v>
      </c>
    </row>
    <row r="115" spans="1:10" x14ac:dyDescent="0.25">
      <c r="A115" t="s">
        <v>525</v>
      </c>
      <c r="B115" t="s">
        <v>30</v>
      </c>
      <c r="C115" t="s">
        <v>35</v>
      </c>
      <c r="D115" t="str">
        <f>IF(LEFT(Table1[[#This Row],[Opponent]],1)="@","Away","Home")</f>
        <v>Away</v>
      </c>
      <c r="E115" s="17">
        <f>_xlfn.NUMBERVALUE(MID(LEFT(Table1[[#This Row],[Score]],FIND("-",Table1[[#This Row],[Score]])-1),FIND(" ",Table1[[#This Row],[Score]])+1,LEN(Table1[[#This Row],[Score]])))</f>
        <v>4</v>
      </c>
      <c r="F115" s="17">
        <f>_xlfn.NUMBERVALUE(RIGHT(Table1[[#This Row],[Score]],LEN(Table1[[#This Row],[Score]])-FIND("-",Table1[[#This Row],[Score]])))</f>
        <v>1</v>
      </c>
      <c r="G115" s="17">
        <f t="shared" si="16"/>
        <v>5</v>
      </c>
      <c r="H115" s="17" t="str">
        <f>LEFT(Table1[[#This Row],[Score]],1)</f>
        <v>W</v>
      </c>
      <c r="I115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115" s="17">
        <f>VLOOKUP(Table1[[#This Row],[OPP]],Raw!$L$2:$S$23,7,FALSE)-Raw!$U$2</f>
        <v>-3.3200531208499337E-3</v>
      </c>
    </row>
    <row r="116" spans="1:10" x14ac:dyDescent="0.25">
      <c r="A116" t="s">
        <v>526</v>
      </c>
      <c r="B116" t="s">
        <v>30</v>
      </c>
      <c r="C116" t="s">
        <v>264</v>
      </c>
      <c r="D116" t="str">
        <f>IF(LEFT(Table1[[#This Row],[Opponent]],1)="@","Away","Home")</f>
        <v>Away</v>
      </c>
      <c r="E116" s="17">
        <f>_xlfn.NUMBERVALUE(MID(LEFT(Table1[[#This Row],[Score]],FIND("-",Table1[[#This Row],[Score]])-1),FIND(" ",Table1[[#This Row],[Score]])+1,LEN(Table1[[#This Row],[Score]])))</f>
        <v>6</v>
      </c>
      <c r="F116" s="17">
        <f>_xlfn.NUMBERVALUE(RIGHT(Table1[[#This Row],[Score]],LEN(Table1[[#This Row],[Score]])-FIND("-",Table1[[#This Row],[Score]])))</f>
        <v>2</v>
      </c>
      <c r="G116" s="17">
        <f t="shared" si="16"/>
        <v>8</v>
      </c>
      <c r="H116" s="17" t="str">
        <f>LEFT(Table1[[#This Row],[Score]],1)</f>
        <v>W</v>
      </c>
      <c r="I116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116" s="17">
        <f>VLOOKUP(Table1[[#This Row],[OPP]],Raw!$L$2:$S$23,7,FALSE)-Raw!$U$2</f>
        <v>-3.3200531208499337E-3</v>
      </c>
    </row>
    <row r="117" spans="1:10" x14ac:dyDescent="0.25">
      <c r="A117" t="s">
        <v>527</v>
      </c>
      <c r="B117" t="s">
        <v>30</v>
      </c>
      <c r="C117" t="s">
        <v>202</v>
      </c>
      <c r="D117" t="str">
        <f>IF(LEFT(Table1[[#This Row],[Opponent]],1)="@","Away","Home")</f>
        <v>Away</v>
      </c>
      <c r="E117" s="17">
        <f>_xlfn.NUMBERVALUE(MID(LEFT(Table1[[#This Row],[Score]],FIND("-",Table1[[#This Row],[Score]])-1),FIND(" ",Table1[[#This Row],[Score]])+1,LEN(Table1[[#This Row],[Score]])))</f>
        <v>4</v>
      </c>
      <c r="F117" s="17">
        <f>_xlfn.NUMBERVALUE(RIGHT(Table1[[#This Row],[Score]],LEN(Table1[[#This Row],[Score]])-FIND("-",Table1[[#This Row],[Score]])))</f>
        <v>11</v>
      </c>
      <c r="G117" s="17">
        <f t="shared" si="16"/>
        <v>15</v>
      </c>
      <c r="H117" s="17" t="str">
        <f>LEFT(Table1[[#This Row],[Score]],1)</f>
        <v>L</v>
      </c>
      <c r="I117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117" s="17">
        <f>VLOOKUP(Table1[[#This Row],[OPP]],Raw!$L$2:$S$23,7,FALSE)-Raw!$U$2</f>
        <v>-3.3200531208499337E-3</v>
      </c>
    </row>
    <row r="118" spans="1:10" x14ac:dyDescent="0.25">
      <c r="A118" t="s">
        <v>528</v>
      </c>
      <c r="B118" t="s">
        <v>30</v>
      </c>
      <c r="C118" t="s">
        <v>121</v>
      </c>
      <c r="D118" t="str">
        <f>IF(LEFT(Table1[[#This Row],[Opponent]],1)="@","Away","Home")</f>
        <v>Away</v>
      </c>
      <c r="E118" s="17">
        <f>_xlfn.NUMBERVALUE(MID(LEFT(Table1[[#This Row],[Score]],FIND("-",Table1[[#This Row],[Score]])-1),FIND(" ",Table1[[#This Row],[Score]])+1,LEN(Table1[[#This Row],[Score]])))</f>
        <v>2</v>
      </c>
      <c r="F118" s="17">
        <f>_xlfn.NUMBERVALUE(RIGHT(Table1[[#This Row],[Score]],LEN(Table1[[#This Row],[Score]])-FIND("-",Table1[[#This Row],[Score]])))</f>
        <v>11</v>
      </c>
      <c r="G118" s="17">
        <f t="shared" si="16"/>
        <v>13</v>
      </c>
      <c r="H118" s="17" t="str">
        <f>LEFT(Table1[[#This Row],[Score]],1)</f>
        <v>L</v>
      </c>
      <c r="I118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118" s="17">
        <f>VLOOKUP(Table1[[#This Row],[OPP]],Raw!$L$2:$S$23,7,FALSE)-Raw!$U$2</f>
        <v>-3.3200531208499337E-3</v>
      </c>
    </row>
    <row r="119" spans="1:10" x14ac:dyDescent="0.25">
      <c r="A119" t="s">
        <v>529</v>
      </c>
      <c r="B119" t="s">
        <v>40</v>
      </c>
      <c r="C119" t="s">
        <v>207</v>
      </c>
      <c r="D119" t="str">
        <f>IF(LEFT(Table1[[#This Row],[Opponent]],1)="@","Away","Home")</f>
        <v>Away</v>
      </c>
      <c r="E119" s="17">
        <f>_xlfn.NUMBERVALUE(MID(LEFT(Table1[[#This Row],[Score]],FIND("-",Table1[[#This Row],[Score]])-1),FIND(" ",Table1[[#This Row],[Score]])+1,LEN(Table1[[#This Row],[Score]])))</f>
        <v>3</v>
      </c>
      <c r="F119" s="17">
        <f>_xlfn.NUMBERVALUE(RIGHT(Table1[[#This Row],[Score]],LEN(Table1[[#This Row],[Score]])-FIND("-",Table1[[#This Row],[Score]])))</f>
        <v>8</v>
      </c>
      <c r="G119" s="17">
        <f t="shared" si="16"/>
        <v>11</v>
      </c>
      <c r="H119" s="17" t="str">
        <f>LEFT(Table1[[#This Row],[Score]],1)</f>
        <v>L</v>
      </c>
      <c r="I119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119" s="17">
        <f>VLOOKUP(Table1[[#This Row],[OPP]],Raw!$L$2:$S$23,7,FALSE)-Raw!$U$2</f>
        <v>1.4411243913235945</v>
      </c>
    </row>
    <row r="120" spans="1:10" x14ac:dyDescent="0.25">
      <c r="A120" t="s">
        <v>530</v>
      </c>
      <c r="B120" t="s">
        <v>40</v>
      </c>
      <c r="C120" t="s">
        <v>329</v>
      </c>
      <c r="D120" t="str">
        <f>IF(LEFT(Table1[[#This Row],[Opponent]],1)="@","Away","Home")</f>
        <v>Away</v>
      </c>
      <c r="E120" s="17">
        <f>_xlfn.NUMBERVALUE(MID(LEFT(Table1[[#This Row],[Score]],FIND("-",Table1[[#This Row],[Score]])-1),FIND(" ",Table1[[#This Row],[Score]])+1,LEN(Table1[[#This Row],[Score]])))</f>
        <v>5</v>
      </c>
      <c r="F120" s="17">
        <f>_xlfn.NUMBERVALUE(RIGHT(Table1[[#This Row],[Score]],LEN(Table1[[#This Row],[Score]])-FIND("-",Table1[[#This Row],[Score]])))</f>
        <v>2</v>
      </c>
      <c r="G120" s="17">
        <f t="shared" si="16"/>
        <v>7</v>
      </c>
      <c r="H120" s="17" t="str">
        <f>LEFT(Table1[[#This Row],[Score]],1)</f>
        <v>W</v>
      </c>
      <c r="I120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120" s="17">
        <f>VLOOKUP(Table1[[#This Row],[OPP]],Raw!$L$2:$S$23,7,FALSE)-Raw!$U$2</f>
        <v>1.4411243913235945</v>
      </c>
    </row>
    <row r="121" spans="1:10" x14ac:dyDescent="0.25">
      <c r="A121" t="s">
        <v>541</v>
      </c>
      <c r="B121" t="s">
        <v>69</v>
      </c>
      <c r="C121" t="s">
        <v>366</v>
      </c>
      <c r="D121" t="str">
        <f>IF(LEFT(Table1[[#This Row],[Opponent]],1)="@","Away","Home")</f>
        <v>Home</v>
      </c>
      <c r="E121" s="17">
        <f>_xlfn.NUMBERVALUE(MID(LEFT(Table1[[#This Row],[Score]],FIND("-",Table1[[#This Row],[Score]])-1),FIND(" ",Table1[[#This Row],[Score]])+1,LEN(Table1[[#This Row],[Score]])))</f>
        <v>10</v>
      </c>
      <c r="F121" s="17">
        <f>_xlfn.NUMBERVALUE(RIGHT(Table1[[#This Row],[Score]],LEN(Table1[[#This Row],[Score]])-FIND("-",Table1[[#This Row],[Score]])))</f>
        <v>0</v>
      </c>
      <c r="G121" s="17">
        <f>E121+F121</f>
        <v>10</v>
      </c>
      <c r="H121" s="17" t="str">
        <f>LEFT(Table1[[#This Row],[Score]],1)</f>
        <v>W</v>
      </c>
      <c r="I121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121" s="17">
        <f>VLOOKUP(Table1[[#This Row],[OPP]],Raw!$L$2:$S$23,7,FALSE)-Raw!$U$2</f>
        <v>-3.1019116024166244</v>
      </c>
    </row>
    <row r="122" spans="1:10" x14ac:dyDescent="0.25">
      <c r="A122" t="s">
        <v>543</v>
      </c>
      <c r="B122" t="s">
        <v>333</v>
      </c>
      <c r="C122" t="s">
        <v>447</v>
      </c>
      <c r="D122" t="str">
        <f>IF(LEFT(Table1[[#This Row],[Opponent]],1)="@","Away","Home")</f>
        <v>Home</v>
      </c>
      <c r="E122" s="17">
        <f>_xlfn.NUMBERVALUE(MID(LEFT(Table1[[#This Row],[Score]],FIND("-",Table1[[#This Row],[Score]])-1),FIND(" ",Table1[[#This Row],[Score]])+1,LEN(Table1[[#This Row],[Score]])))</f>
        <v>5</v>
      </c>
      <c r="F122" s="17">
        <f>_xlfn.NUMBERVALUE(RIGHT(Table1[[#This Row],[Score]],LEN(Table1[[#This Row],[Score]])-FIND("-",Table1[[#This Row],[Score]])))</f>
        <v>16</v>
      </c>
      <c r="G122" s="17">
        <f>E122+F122</f>
        <v>21</v>
      </c>
      <c r="H122" s="17" t="str">
        <f>LEFT(Table1[[#This Row],[Score]],1)</f>
        <v>L</v>
      </c>
      <c r="I122" s="17" t="str">
        <f>VLOOKUP(IF(Table1[[#This Row],[At]]="Home",Table1[[#This Row],[Opponent]],RIGHT(Table1[[#This Row],[Opponent]],LEN(Table1[[#This Row],[Opponent]])-1)),CHOOSE({1,2},[1]StandingsRAW!$J$1:$J$22,[1]StandingsRAW!$L$1:$L$22),2,FALSE)</f>
        <v>FDL</v>
      </c>
      <c r="J122" s="17">
        <f>VLOOKUP(Table1[[#This Row],[OPP]],Raw!$L$2:$S$23,7,FALSE)-Raw!$U$2</f>
        <v>0.7572433271608402</v>
      </c>
    </row>
    <row r="123" spans="1:10" x14ac:dyDescent="0.25">
      <c r="A123" t="s">
        <v>546</v>
      </c>
      <c r="B123" t="s">
        <v>333</v>
      </c>
      <c r="C123" t="s">
        <v>50</v>
      </c>
      <c r="D123" t="str">
        <f>IF(LEFT(Table1[[#This Row],[Opponent]],1)="@","Away","Home")</f>
        <v>Home</v>
      </c>
      <c r="E123" s="17">
        <f>_xlfn.NUMBERVALUE(MID(LEFT(Table1[[#This Row],[Score]],FIND("-",Table1[[#This Row],[Score]])-1),FIND(" ",Table1[[#This Row],[Score]])+1,LEN(Table1[[#This Row],[Score]])))</f>
        <v>3</v>
      </c>
      <c r="F123" s="17">
        <f>_xlfn.NUMBERVALUE(RIGHT(Table1[[#This Row],[Score]],LEN(Table1[[#This Row],[Score]])-FIND("-",Table1[[#This Row],[Score]])))</f>
        <v>4</v>
      </c>
      <c r="G123" s="17">
        <f>E123+F123</f>
        <v>7</v>
      </c>
      <c r="H123" s="17" t="str">
        <f>LEFT(Table1[[#This Row],[Score]],1)</f>
        <v>L</v>
      </c>
      <c r="I123" s="17" t="str">
        <f>VLOOKUP(IF(Table1[[#This Row],[At]]="Home",Table1[[#This Row],[Opponent]],RIGHT(Table1[[#This Row],[Opponent]],LEN(Table1[[#This Row],[Opponent]])-1)),CHOOSE({1,2},[1]StandingsRAW!$J$1:$J$22,[1]StandingsRAW!$L$1:$L$22),2,FALSE)</f>
        <v>FDL</v>
      </c>
      <c r="J123" s="17">
        <f>VLOOKUP(Table1[[#This Row],[OPP]],Raw!$L$2:$S$23,7,FALSE)-Raw!$U$2</f>
        <v>0.7572433271608402</v>
      </c>
    </row>
    <row r="124" spans="1:10" x14ac:dyDescent="0.25">
      <c r="A124" t="s">
        <v>549</v>
      </c>
      <c r="B124" t="s">
        <v>5</v>
      </c>
      <c r="C124" t="s">
        <v>306</v>
      </c>
      <c r="D124" t="str">
        <f>IF(LEFT(Table1[[#This Row],[Opponent]],1)="@","Away","Home")</f>
        <v>Home</v>
      </c>
      <c r="E124" s="17">
        <f>_xlfn.NUMBERVALUE(MID(LEFT(Table1[[#This Row],[Score]],FIND("-",Table1[[#This Row],[Score]])-1),FIND(" ",Table1[[#This Row],[Score]])+1,LEN(Table1[[#This Row],[Score]])))</f>
        <v>1</v>
      </c>
      <c r="F124" s="17">
        <f>_xlfn.NUMBERVALUE(RIGHT(Table1[[#This Row],[Score]],LEN(Table1[[#This Row],[Score]])-FIND("-",Table1[[#This Row],[Score]])))</f>
        <v>10</v>
      </c>
      <c r="G124" s="17">
        <f t="shared" ref="G124:G127" si="17">E124+F124</f>
        <v>11</v>
      </c>
      <c r="H124" s="17" t="str">
        <f>LEFT(Table1[[#This Row],[Score]],1)</f>
        <v>L</v>
      </c>
      <c r="I124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124" s="17">
        <f>VLOOKUP(Table1[[#This Row],[OPP]],Raw!$L$2:$S$23,7,FALSE)-Raw!$U$2</f>
        <v>0.53189121448478383</v>
      </c>
    </row>
    <row r="125" spans="1:10" x14ac:dyDescent="0.25">
      <c r="A125" t="s">
        <v>550</v>
      </c>
      <c r="B125" t="s">
        <v>17</v>
      </c>
      <c r="C125" t="s">
        <v>267</v>
      </c>
      <c r="D125" t="str">
        <f>IF(LEFT(Table1[[#This Row],[Opponent]],1)="@","Away","Home")</f>
        <v>Away</v>
      </c>
      <c r="E125" s="17">
        <f>_xlfn.NUMBERVALUE(MID(LEFT(Table1[[#This Row],[Score]],FIND("-",Table1[[#This Row],[Score]])-1),FIND(" ",Table1[[#This Row],[Score]])+1,LEN(Table1[[#This Row],[Score]])))</f>
        <v>8</v>
      </c>
      <c r="F125" s="17">
        <f>_xlfn.NUMBERVALUE(RIGHT(Table1[[#This Row],[Score]],LEN(Table1[[#This Row],[Score]])-FIND("-",Table1[[#This Row],[Score]])))</f>
        <v>7</v>
      </c>
      <c r="G125" s="17">
        <f t="shared" si="17"/>
        <v>15</v>
      </c>
      <c r="H125" s="17" t="str">
        <f>LEFT(Table1[[#This Row],[Score]],1)</f>
        <v>W</v>
      </c>
      <c r="I125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125" s="17">
        <f>VLOOKUP(Table1[[#This Row],[OPP]],Raw!$L$2:$S$23,7,FALSE)-Raw!$U$2</f>
        <v>0.53189121448478383</v>
      </c>
    </row>
    <row r="126" spans="1:10" x14ac:dyDescent="0.25">
      <c r="A126" t="s">
        <v>551</v>
      </c>
      <c r="B126" t="s">
        <v>40</v>
      </c>
      <c r="C126" t="s">
        <v>327</v>
      </c>
      <c r="D126" t="str">
        <f>IF(LEFT(Table1[[#This Row],[Opponent]],1)="@","Away","Home")</f>
        <v>Away</v>
      </c>
      <c r="E126" s="17">
        <f>_xlfn.NUMBERVALUE(MID(LEFT(Table1[[#This Row],[Score]],FIND("-",Table1[[#This Row],[Score]])-1),FIND(" ",Table1[[#This Row],[Score]])+1,LEN(Table1[[#This Row],[Score]])))</f>
        <v>9</v>
      </c>
      <c r="F126" s="17">
        <f>_xlfn.NUMBERVALUE(RIGHT(Table1[[#This Row],[Score]],LEN(Table1[[#This Row],[Score]])-FIND("-",Table1[[#This Row],[Score]])))</f>
        <v>7</v>
      </c>
      <c r="G126" s="17">
        <f t="shared" si="17"/>
        <v>16</v>
      </c>
      <c r="H126" s="17" t="str">
        <f>LEFT(Table1[[#This Row],[Score]],1)</f>
        <v>W</v>
      </c>
      <c r="I126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126" s="17">
        <f>VLOOKUP(Table1[[#This Row],[OPP]],Raw!$L$2:$S$23,7,FALSE)-Raw!$U$2</f>
        <v>1.4411243913235945</v>
      </c>
    </row>
    <row r="127" spans="1:10" x14ac:dyDescent="0.25">
      <c r="A127" t="s">
        <v>552</v>
      </c>
      <c r="B127" t="s">
        <v>40</v>
      </c>
      <c r="C127" t="s">
        <v>259</v>
      </c>
      <c r="D127" t="str">
        <f>IF(LEFT(Table1[[#This Row],[Opponent]],1)="@","Away","Home")</f>
        <v>Away</v>
      </c>
      <c r="E127" s="17">
        <f>_xlfn.NUMBERVALUE(MID(LEFT(Table1[[#This Row],[Score]],FIND("-",Table1[[#This Row],[Score]])-1),FIND(" ",Table1[[#This Row],[Score]])+1,LEN(Table1[[#This Row],[Score]])))</f>
        <v>0</v>
      </c>
      <c r="F127" s="17">
        <f>_xlfn.NUMBERVALUE(RIGHT(Table1[[#This Row],[Score]],LEN(Table1[[#This Row],[Score]])-FIND("-",Table1[[#This Row],[Score]])))</f>
        <v>5</v>
      </c>
      <c r="G127" s="17">
        <f t="shared" si="17"/>
        <v>5</v>
      </c>
      <c r="H127" s="17" t="str">
        <f>LEFT(Table1[[#This Row],[Score]],1)</f>
        <v>L</v>
      </c>
      <c r="I127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127" s="17">
        <f>VLOOKUP(Table1[[#This Row],[OPP]],Raw!$L$2:$S$23,7,FALSE)-Raw!$U$2</f>
        <v>1.4411243913235945</v>
      </c>
    </row>
    <row r="128" spans="1:10" x14ac:dyDescent="0.25">
      <c r="A128" t="s">
        <v>555</v>
      </c>
      <c r="B128" t="s">
        <v>52</v>
      </c>
      <c r="C128" t="s">
        <v>92</v>
      </c>
      <c r="D128" t="str">
        <f>IF(LEFT(Table1[[#This Row],[Opponent]],1)="@","Away","Home")</f>
        <v>Home</v>
      </c>
      <c r="E128" s="17">
        <f>_xlfn.NUMBERVALUE(MID(LEFT(Table1[[#This Row],[Score]],FIND("-",Table1[[#This Row],[Score]])-1),FIND(" ",Table1[[#This Row],[Score]])+1,LEN(Table1[[#This Row],[Score]])))</f>
        <v>5</v>
      </c>
      <c r="F128" s="17">
        <f>_xlfn.NUMBERVALUE(RIGHT(Table1[[#This Row],[Score]],LEN(Table1[[#This Row],[Score]])-FIND("-",Table1[[#This Row],[Score]])))</f>
        <v>10</v>
      </c>
      <c r="G128" s="17">
        <f>E128+F128</f>
        <v>15</v>
      </c>
      <c r="H128" s="17" t="str">
        <f>LEFT(Table1[[#This Row],[Score]],1)</f>
        <v>L</v>
      </c>
      <c r="I128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128" s="17">
        <f>VLOOKUP(Table1[[#This Row],[OPP]],Raw!$L$2:$S$23,7,FALSE)-Raw!$U$2</f>
        <v>-3.3200531208499337E-3</v>
      </c>
    </row>
    <row r="129" spans="1:10" x14ac:dyDescent="0.25">
      <c r="A129" t="s">
        <v>557</v>
      </c>
      <c r="B129" t="s">
        <v>52</v>
      </c>
      <c r="C129" t="s">
        <v>254</v>
      </c>
      <c r="D129" t="str">
        <f>IF(LEFT(Table1[[#This Row],[Opponent]],1)="@","Away","Home")</f>
        <v>Home</v>
      </c>
      <c r="E129" s="17">
        <f>_xlfn.NUMBERVALUE(MID(LEFT(Table1[[#This Row],[Score]],FIND("-",Table1[[#This Row],[Score]])-1),FIND(" ",Table1[[#This Row],[Score]])+1,LEN(Table1[[#This Row],[Score]])))</f>
        <v>5</v>
      </c>
      <c r="F129" s="17">
        <f>_xlfn.NUMBERVALUE(RIGHT(Table1[[#This Row],[Score]],LEN(Table1[[#This Row],[Score]])-FIND("-",Table1[[#This Row],[Score]])))</f>
        <v>4</v>
      </c>
      <c r="G129" s="17">
        <f>E129+F129</f>
        <v>9</v>
      </c>
      <c r="H129" s="17" t="str">
        <f>LEFT(Table1[[#This Row],[Score]],1)</f>
        <v>W</v>
      </c>
      <c r="I129" s="17" t="str">
        <f>VLOOKUP(IF(Table1[[#This Row],[At]]="Home",Table1[[#This Row],[Opponent]],RIGHT(Table1[[#This Row],[Opponent]],LEN(Table1[[#This Row],[Opponent]])-1)),CHOOSE({1,2},[1]StandingsRAW!$J$1:$J$22,[1]StandingsRAW!$L$1:$L$22),2,FALSE)</f>
        <v>KEN</v>
      </c>
      <c r="J129" s="17">
        <f>VLOOKUP(Table1[[#This Row],[OPP]],Raw!$L$2:$S$23,7,FALSE)-Raw!$U$2</f>
        <v>-3.3200531208499337E-3</v>
      </c>
    </row>
    <row r="130" spans="1:10" x14ac:dyDescent="0.25">
      <c r="A130" t="s">
        <v>558</v>
      </c>
      <c r="B130" t="s">
        <v>20</v>
      </c>
      <c r="C130" t="s">
        <v>300</v>
      </c>
      <c r="D130" t="str">
        <f>IF(LEFT(Table1[[#This Row],[Opponent]],1)="@","Away","Home")</f>
        <v>Home</v>
      </c>
      <c r="E130" s="17">
        <f>_xlfn.NUMBERVALUE(MID(LEFT(Table1[[#This Row],[Score]],FIND("-",Table1[[#This Row],[Score]])-1),FIND(" ",Table1[[#This Row],[Score]])+1,LEN(Table1[[#This Row],[Score]])))</f>
        <v>9</v>
      </c>
      <c r="F130" s="17">
        <f>_xlfn.NUMBERVALUE(RIGHT(Table1[[#This Row],[Score]],LEN(Table1[[#This Row],[Score]])-FIND("-",Table1[[#This Row],[Score]])))</f>
        <v>4</v>
      </c>
      <c r="G130" s="17">
        <f>E130+F130</f>
        <v>13</v>
      </c>
      <c r="H130" s="17" t="str">
        <f>LEFT(Table1[[#This Row],[Score]],1)</f>
        <v>W</v>
      </c>
      <c r="I130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130" s="17">
        <f>VLOOKUP(Table1[[#This Row],[OPP]],Raw!$L$2:$S$23,7,FALSE)-Raw!$U$2</f>
        <v>0.83001328021248344</v>
      </c>
    </row>
    <row r="131" spans="1:10" x14ac:dyDescent="0.25">
      <c r="A131" t="s">
        <v>563</v>
      </c>
      <c r="B131" t="s">
        <v>20</v>
      </c>
      <c r="C131" t="s">
        <v>274</v>
      </c>
      <c r="D131" t="str">
        <f>IF(LEFT(Table1[[#This Row],[Opponent]],1)="@","Away","Home")</f>
        <v>Home</v>
      </c>
      <c r="E131" s="17">
        <f>_xlfn.NUMBERVALUE(MID(LEFT(Table1[[#This Row],[Score]],FIND("-",Table1[[#This Row],[Score]])-1),FIND(" ",Table1[[#This Row],[Score]])+1,LEN(Table1[[#This Row],[Score]])))</f>
        <v>9</v>
      </c>
      <c r="F131" s="17">
        <f>_xlfn.NUMBERVALUE(RIGHT(Table1[[#This Row],[Score]],LEN(Table1[[#This Row],[Score]])-FIND("-",Table1[[#This Row],[Score]])))</f>
        <v>10</v>
      </c>
      <c r="G131" s="17">
        <f t="shared" ref="G131:G132" si="18">E131+F131</f>
        <v>19</v>
      </c>
      <c r="H131" s="17" t="str">
        <f>LEFT(Table1[[#This Row],[Score]],1)</f>
        <v>L</v>
      </c>
      <c r="I131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131" s="17">
        <f>VLOOKUP(Table1[[#This Row],[OPP]],Raw!$L$2:$S$23,7,FALSE)-Raw!$U$2</f>
        <v>0.83001328021248344</v>
      </c>
    </row>
    <row r="132" spans="1:10" x14ac:dyDescent="0.25">
      <c r="A132" t="s">
        <v>563</v>
      </c>
      <c r="B132" t="s">
        <v>20</v>
      </c>
      <c r="C132" t="s">
        <v>252</v>
      </c>
      <c r="D132" t="str">
        <f>IF(LEFT(Table1[[#This Row],[Opponent]],1)="@","Away","Home")</f>
        <v>Home</v>
      </c>
      <c r="E132" s="17">
        <f>_xlfn.NUMBERVALUE(MID(LEFT(Table1[[#This Row],[Score]],FIND("-",Table1[[#This Row],[Score]])-1),FIND(" ",Table1[[#This Row],[Score]])+1,LEN(Table1[[#This Row],[Score]])))</f>
        <v>2</v>
      </c>
      <c r="F132" s="17">
        <f>_xlfn.NUMBERVALUE(RIGHT(Table1[[#This Row],[Score]],LEN(Table1[[#This Row],[Score]])-FIND("-",Table1[[#This Row],[Score]])))</f>
        <v>8</v>
      </c>
      <c r="G132" s="17">
        <f t="shared" si="18"/>
        <v>10</v>
      </c>
      <c r="H132" s="17" t="str">
        <f>LEFT(Table1[[#This Row],[Score]],1)</f>
        <v>L</v>
      </c>
      <c r="I132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132" s="17">
        <f>VLOOKUP(Table1[[#This Row],[OPP]],Raw!$L$2:$S$23,7,FALSE)-Raw!$U$2</f>
        <v>0.83001328021248344</v>
      </c>
    </row>
    <row r="133" spans="1:10" x14ac:dyDescent="0.25">
      <c r="A133" t="s">
        <v>564</v>
      </c>
      <c r="B133" t="s">
        <v>20</v>
      </c>
      <c r="C133" t="s">
        <v>121</v>
      </c>
      <c r="D133" t="str">
        <f>IF(LEFT(Table1[[#This Row],[Opponent]],1)="@","Away","Home")</f>
        <v>Home</v>
      </c>
      <c r="E133" s="17">
        <f>_xlfn.NUMBERVALUE(MID(LEFT(Table1[[#This Row],[Score]],FIND("-",Table1[[#This Row],[Score]])-1),FIND(" ",Table1[[#This Row],[Score]])+1,LEN(Table1[[#This Row],[Score]])))</f>
        <v>2</v>
      </c>
      <c r="F133" s="17">
        <f>_xlfn.NUMBERVALUE(RIGHT(Table1[[#This Row],[Score]],LEN(Table1[[#This Row],[Score]])-FIND("-",Table1[[#This Row],[Score]])))</f>
        <v>11</v>
      </c>
      <c r="G133" s="17">
        <f t="shared" ref="G133:G136" si="19">E133+F133</f>
        <v>13</v>
      </c>
      <c r="H133" s="17" t="str">
        <f>LEFT(Table1[[#This Row],[Score]],1)</f>
        <v>L</v>
      </c>
      <c r="I133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133" s="17">
        <f>VLOOKUP(Table1[[#This Row],[OPP]],Raw!$L$2:$S$23,7,FALSE)-Raw!$U$2</f>
        <v>0.83001328021248344</v>
      </c>
    </row>
    <row r="134" spans="1:10" x14ac:dyDescent="0.25">
      <c r="A134" t="s">
        <v>565</v>
      </c>
      <c r="B134" t="s">
        <v>321</v>
      </c>
      <c r="C134" t="s">
        <v>329</v>
      </c>
      <c r="D134" t="str">
        <f>IF(LEFT(Table1[[#This Row],[Opponent]],1)="@","Away","Home")</f>
        <v>Home</v>
      </c>
      <c r="E134" s="17">
        <f>_xlfn.NUMBERVALUE(MID(LEFT(Table1[[#This Row],[Score]],FIND("-",Table1[[#This Row],[Score]])-1),FIND(" ",Table1[[#This Row],[Score]])+1,LEN(Table1[[#This Row],[Score]])))</f>
        <v>5</v>
      </c>
      <c r="F134" s="17">
        <f>_xlfn.NUMBERVALUE(RIGHT(Table1[[#This Row],[Score]],LEN(Table1[[#This Row],[Score]])-FIND("-",Table1[[#This Row],[Score]])))</f>
        <v>2</v>
      </c>
      <c r="G134" s="17">
        <f t="shared" si="19"/>
        <v>7</v>
      </c>
      <c r="H134" s="17" t="str">
        <f>LEFT(Table1[[#This Row],[Score]],1)</f>
        <v>W</v>
      </c>
      <c r="I134" s="17" t="str">
        <f>VLOOKUP(IF(Table1[[#This Row],[At]]="Home",Table1[[#This Row],[Opponent]],RIGHT(Table1[[#This Row],[Opponent]],LEN(Table1[[#This Row],[Opponent]])-1)),CHOOSE({1,2},[1]StandingsRAW!$J$1:$J$22,[1]StandingsRAW!$L$1:$L$22),2,FALSE)</f>
        <v>MAD</v>
      </c>
      <c r="J134" s="17">
        <f>VLOOKUP(Table1[[#This Row],[OPP]],Raw!$L$2:$S$23,7,FALSE)-Raw!$U$2</f>
        <v>-1.5172089420097388</v>
      </c>
    </row>
    <row r="135" spans="1:10" x14ac:dyDescent="0.25">
      <c r="A135" t="s">
        <v>566</v>
      </c>
      <c r="B135" t="s">
        <v>321</v>
      </c>
      <c r="C135" t="s">
        <v>567</v>
      </c>
      <c r="D135" t="str">
        <f>IF(LEFT(Table1[[#This Row],[Opponent]],1)="@","Away","Home")</f>
        <v>Home</v>
      </c>
      <c r="E135" s="17">
        <f>_xlfn.NUMBERVALUE(MID(LEFT(Table1[[#This Row],[Score]],FIND("-",Table1[[#This Row],[Score]])-1),FIND(" ",Table1[[#This Row],[Score]])+1,LEN(Table1[[#This Row],[Score]])))</f>
        <v>14</v>
      </c>
      <c r="F135" s="17">
        <f>_xlfn.NUMBERVALUE(RIGHT(Table1[[#This Row],[Score]],LEN(Table1[[#This Row],[Score]])-FIND("-",Table1[[#This Row],[Score]])))</f>
        <v>10</v>
      </c>
      <c r="G135" s="17">
        <f t="shared" si="19"/>
        <v>24</v>
      </c>
      <c r="H135" s="17" t="str">
        <f>LEFT(Table1[[#This Row],[Score]],1)</f>
        <v>W</v>
      </c>
      <c r="I135" s="17" t="str">
        <f>VLOOKUP(IF(Table1[[#This Row],[At]]="Home",Table1[[#This Row],[Opponent]],RIGHT(Table1[[#This Row],[Opponent]],LEN(Table1[[#This Row],[Opponent]])-1)),CHOOSE({1,2},[1]StandingsRAW!$J$1:$J$22,[1]StandingsRAW!$L$1:$L$22),2,FALSE)</f>
        <v>MAD</v>
      </c>
      <c r="J135" s="17">
        <f>VLOOKUP(Table1[[#This Row],[OPP]],Raw!$L$2:$S$23,7,FALSE)-Raw!$U$2</f>
        <v>-1.5172089420097388</v>
      </c>
    </row>
    <row r="136" spans="1:10" x14ac:dyDescent="0.25">
      <c r="A136" t="s">
        <v>568</v>
      </c>
      <c r="B136" t="s">
        <v>332</v>
      </c>
      <c r="C136" t="s">
        <v>531</v>
      </c>
      <c r="D136" t="str">
        <f>IF(LEFT(Table1[[#This Row],[Opponent]],1)="@","Away","Home")</f>
        <v>Away</v>
      </c>
      <c r="E136" s="17">
        <f>_xlfn.NUMBERVALUE(MID(LEFT(Table1[[#This Row],[Score]],FIND("-",Table1[[#This Row],[Score]])-1),FIND(" ",Table1[[#This Row],[Score]])+1,LEN(Table1[[#This Row],[Score]])))</f>
        <v>11</v>
      </c>
      <c r="F136" s="17">
        <f>_xlfn.NUMBERVALUE(RIGHT(Table1[[#This Row],[Score]],LEN(Table1[[#This Row],[Score]])-FIND("-",Table1[[#This Row],[Score]])))</f>
        <v>12</v>
      </c>
      <c r="G136" s="17">
        <f t="shared" si="19"/>
        <v>23</v>
      </c>
      <c r="H136" s="17" t="str">
        <f>LEFT(Table1[[#This Row],[Score]],1)</f>
        <v>L</v>
      </c>
      <c r="I136" s="17" t="str">
        <f>VLOOKUP(IF(Table1[[#This Row],[At]]="Home",Table1[[#This Row],[Opponent]],RIGHT(Table1[[#This Row],[Opponent]],LEN(Table1[[#This Row],[Opponent]])-1)),CHOOSE({1,2},[1]StandingsRAW!$J$1:$J$22,[1]StandingsRAW!$L$1:$L$22),2,FALSE)</f>
        <v>FDL</v>
      </c>
      <c r="J136" s="17">
        <f>VLOOKUP(Table1[[#This Row],[OPP]],Raw!$L$2:$S$23,7,FALSE)-Raw!$U$2</f>
        <v>0.7572433271608402</v>
      </c>
    </row>
    <row r="137" spans="1:10" x14ac:dyDescent="0.25">
      <c r="A137" t="s">
        <v>589</v>
      </c>
      <c r="B137" t="s">
        <v>332</v>
      </c>
      <c r="C137" t="s">
        <v>350</v>
      </c>
      <c r="D137" t="str">
        <f>IF(LEFT(Table1[[#This Row],[Opponent]],1)="@","Away","Home")</f>
        <v>Away</v>
      </c>
      <c r="E137" s="17">
        <f>_xlfn.NUMBERVALUE(MID(LEFT(Table1[[#This Row],[Score]],FIND("-",Table1[[#This Row],[Score]])-1),FIND(" ",Table1[[#This Row],[Score]])+1,LEN(Table1[[#This Row],[Score]])))</f>
        <v>17</v>
      </c>
      <c r="F137" s="17">
        <f>_xlfn.NUMBERVALUE(RIGHT(Table1[[#This Row],[Score]],LEN(Table1[[#This Row],[Score]])-FIND("-",Table1[[#This Row],[Score]])))</f>
        <v>7</v>
      </c>
      <c r="G137" s="17">
        <f>E137+F137</f>
        <v>24</v>
      </c>
      <c r="H137" s="17" t="str">
        <f>LEFT(Table1[[#This Row],[Score]],1)</f>
        <v>W</v>
      </c>
      <c r="I137" s="17" t="str">
        <f>VLOOKUP(IF(Table1[[#This Row],[At]]="Home",Table1[[#This Row],[Opponent]],RIGHT(Table1[[#This Row],[Opponent]],LEN(Table1[[#This Row],[Opponent]])-1)),CHOOSE({1,2},[1]StandingsRAW!$J$1:$J$22,[1]StandingsRAW!$L$1:$L$22),2,FALSE)</f>
        <v>FDL</v>
      </c>
      <c r="J137" s="17">
        <f>VLOOKUP(Table1[[#This Row],[OPP]],Raw!$L$2:$S$23,7,FALSE)-Raw!$U$2</f>
        <v>0.7572433271608402</v>
      </c>
    </row>
    <row r="138" spans="1:10" x14ac:dyDescent="0.25">
      <c r="A138" t="s">
        <v>592</v>
      </c>
      <c r="B138" t="s">
        <v>69</v>
      </c>
      <c r="C138" t="s">
        <v>195</v>
      </c>
      <c r="D138" t="str">
        <f>IF(LEFT(Table1[[#This Row],[Opponent]],1)="@","Away","Home")</f>
        <v>Home</v>
      </c>
      <c r="E138" s="17">
        <f>_xlfn.NUMBERVALUE(MID(LEFT(Table1[[#This Row],[Score]],FIND("-",Table1[[#This Row],[Score]])-1),FIND(" ",Table1[[#This Row],[Score]])+1,LEN(Table1[[#This Row],[Score]])))</f>
        <v>8</v>
      </c>
      <c r="F138" s="17">
        <f>_xlfn.NUMBERVALUE(RIGHT(Table1[[#This Row],[Score]],LEN(Table1[[#This Row],[Score]])-FIND("-",Table1[[#This Row],[Score]])))</f>
        <v>1</v>
      </c>
      <c r="G138" s="17">
        <f t="shared" ref="G138:G139" si="20">E138+F138</f>
        <v>9</v>
      </c>
      <c r="H138" s="17" t="str">
        <f>LEFT(Table1[[#This Row],[Score]],1)</f>
        <v>W</v>
      </c>
      <c r="I138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138" s="17">
        <f>VLOOKUP(Table1[[#This Row],[OPP]],Raw!$L$2:$S$23,7,FALSE)-Raw!$U$2</f>
        <v>-3.1019116024166244</v>
      </c>
    </row>
    <row r="139" spans="1:10" x14ac:dyDescent="0.25">
      <c r="A139" t="s">
        <v>592</v>
      </c>
      <c r="B139" t="s">
        <v>10</v>
      </c>
      <c r="C139" t="s">
        <v>233</v>
      </c>
      <c r="D139" t="str">
        <f>IF(LEFT(Table1[[#This Row],[Opponent]],1)="@","Away","Home")</f>
        <v>Away</v>
      </c>
      <c r="E139" s="17">
        <f>_xlfn.NUMBERVALUE(MID(LEFT(Table1[[#This Row],[Score]],FIND("-",Table1[[#This Row],[Score]])-1),FIND(" ",Table1[[#This Row],[Score]])+1,LEN(Table1[[#This Row],[Score]])))</f>
        <v>10</v>
      </c>
      <c r="F139" s="17">
        <f>_xlfn.NUMBERVALUE(RIGHT(Table1[[#This Row],[Score]],LEN(Table1[[#This Row],[Score]])-FIND("-",Table1[[#This Row],[Score]])))</f>
        <v>1</v>
      </c>
      <c r="G139" s="17">
        <f t="shared" si="20"/>
        <v>11</v>
      </c>
      <c r="H139" s="17" t="str">
        <f>LEFT(Table1[[#This Row],[Score]],1)</f>
        <v>W</v>
      </c>
      <c r="I139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139" s="17">
        <f>VLOOKUP(Table1[[#This Row],[OPP]],Raw!$L$2:$S$23,7,FALSE)-Raw!$U$2</f>
        <v>-3.1019116024166244</v>
      </c>
    </row>
    <row r="140" spans="1:10" x14ac:dyDescent="0.25">
      <c r="A140" t="s">
        <v>595</v>
      </c>
      <c r="B140" t="s">
        <v>10</v>
      </c>
      <c r="C140" t="s">
        <v>257</v>
      </c>
      <c r="D140" t="str">
        <f>IF(LEFT(Table1[[#This Row],[Opponent]],1)="@","Away","Home")</f>
        <v>Away</v>
      </c>
      <c r="E140" s="17">
        <f>_xlfn.NUMBERVALUE(MID(LEFT(Table1[[#This Row],[Score]],FIND("-",Table1[[#This Row],[Score]])-1),FIND(" ",Table1[[#This Row],[Score]])+1,LEN(Table1[[#This Row],[Score]])))</f>
        <v>13</v>
      </c>
      <c r="F140" s="17">
        <f>_xlfn.NUMBERVALUE(RIGHT(Table1[[#This Row],[Score]],LEN(Table1[[#This Row],[Score]])-FIND("-",Table1[[#This Row],[Score]])))</f>
        <v>4</v>
      </c>
      <c r="G140" s="17">
        <f>E140+F140</f>
        <v>17</v>
      </c>
      <c r="H140" s="17" t="str">
        <f>LEFT(Table1[[#This Row],[Score]],1)</f>
        <v>W</v>
      </c>
      <c r="I140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140" s="17">
        <f>VLOOKUP(Table1[[#This Row],[OPP]],Raw!$L$2:$S$23,7,FALSE)-Raw!$U$2</f>
        <v>-3.1019116024166244</v>
      </c>
    </row>
    <row r="141" spans="1:10" x14ac:dyDescent="0.25">
      <c r="A141" t="s">
        <v>598</v>
      </c>
      <c r="B141" t="s">
        <v>10</v>
      </c>
      <c r="C141" t="s">
        <v>323</v>
      </c>
      <c r="D141" t="str">
        <f>IF(LEFT(Table1[[#This Row],[Opponent]],1)="@","Away","Home")</f>
        <v>Away</v>
      </c>
      <c r="E141" s="17">
        <f>_xlfn.NUMBERVALUE(MID(LEFT(Table1[[#This Row],[Score]],FIND("-",Table1[[#This Row],[Score]])-1),FIND(" ",Table1[[#This Row],[Score]])+1,LEN(Table1[[#This Row],[Score]])))</f>
        <v>7</v>
      </c>
      <c r="F141" s="17">
        <f>_xlfn.NUMBERVALUE(RIGHT(Table1[[#This Row],[Score]],LEN(Table1[[#This Row],[Score]])-FIND("-",Table1[[#This Row],[Score]])))</f>
        <v>6</v>
      </c>
      <c r="G141" s="17">
        <f>E141+F141</f>
        <v>13</v>
      </c>
      <c r="H141" s="17" t="str">
        <f>LEFT(Table1[[#This Row],[Score]],1)</f>
        <v>W</v>
      </c>
      <c r="I141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141" s="17">
        <f>VLOOKUP(Table1[[#This Row],[OPP]],Raw!$L$2:$S$23,7,FALSE)-Raw!$U$2</f>
        <v>-3.1019116024166244</v>
      </c>
    </row>
    <row r="142" spans="1:10" x14ac:dyDescent="0.25">
      <c r="A142" t="s">
        <v>599</v>
      </c>
      <c r="B142" t="s">
        <v>10</v>
      </c>
      <c r="C142" t="s">
        <v>251</v>
      </c>
      <c r="D142" t="str">
        <f>IF(LEFT(Table1[[#This Row],[Opponent]],1)="@","Away","Home")</f>
        <v>Away</v>
      </c>
      <c r="E142" s="17">
        <f>_xlfn.NUMBERVALUE(MID(LEFT(Table1[[#This Row],[Score]],FIND("-",Table1[[#This Row],[Score]])-1),FIND(" ",Table1[[#This Row],[Score]])+1,LEN(Table1[[#This Row],[Score]])))</f>
        <v>2</v>
      </c>
      <c r="F142" s="17">
        <f>_xlfn.NUMBERVALUE(RIGHT(Table1[[#This Row],[Score]],LEN(Table1[[#This Row],[Score]])-FIND("-",Table1[[#This Row],[Score]])))</f>
        <v>7</v>
      </c>
      <c r="G142" s="17">
        <f>E142+F142</f>
        <v>9</v>
      </c>
      <c r="H142" s="17" t="str">
        <f>LEFT(Table1[[#This Row],[Score]],1)</f>
        <v>L</v>
      </c>
      <c r="I142" s="17" t="str">
        <f>VLOOKUP(IF(Table1[[#This Row],[At]]="Home",Table1[[#This Row],[Opponent]],RIGHT(Table1[[#This Row],[Opponent]],LEN(Table1[[#This Row],[Opponent]])-1)),CHOOSE({1,2},[1]StandingsRAW!$J$1:$J$22,[1]StandingsRAW!$L$1:$L$22),2,FALSE)</f>
        <v>KMO</v>
      </c>
      <c r="J142" s="17">
        <f>VLOOKUP(Table1[[#This Row],[OPP]],Raw!$L$2:$S$23,7,FALSE)-Raw!$U$2</f>
        <v>-3.1019116024166244</v>
      </c>
    </row>
    <row r="143" spans="1:10" x14ac:dyDescent="0.25">
      <c r="A143" t="s">
        <v>600</v>
      </c>
      <c r="B143" t="s">
        <v>23</v>
      </c>
      <c r="C143" t="s">
        <v>280</v>
      </c>
      <c r="D143" t="str">
        <f>IF(LEFT(Table1[[#This Row],[Opponent]],1)="@","Away","Home")</f>
        <v>Home</v>
      </c>
      <c r="E143" s="17">
        <f>_xlfn.NUMBERVALUE(MID(LEFT(Table1[[#This Row],[Score]],FIND("-",Table1[[#This Row],[Score]])-1),FIND(" ",Table1[[#This Row],[Score]])+1,LEN(Table1[[#This Row],[Score]])))</f>
        <v>8</v>
      </c>
      <c r="F143" s="17">
        <f>_xlfn.NUMBERVALUE(RIGHT(Table1[[#This Row],[Score]],LEN(Table1[[#This Row],[Score]])-FIND("-",Table1[[#This Row],[Score]])))</f>
        <v>3</v>
      </c>
      <c r="G143" s="17">
        <f t="shared" ref="G143:G146" si="21">E143+F143</f>
        <v>11</v>
      </c>
      <c r="H143" s="17" t="str">
        <f>LEFT(Table1[[#This Row],[Score]],1)</f>
        <v>W</v>
      </c>
      <c r="I143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143" s="17">
        <f>VLOOKUP(Table1[[#This Row],[OPP]],Raw!$L$2:$S$23,7,FALSE)-Raw!$U$2</f>
        <v>1.4411243913235945</v>
      </c>
    </row>
    <row r="144" spans="1:10" x14ac:dyDescent="0.25">
      <c r="A144" t="s">
        <v>601</v>
      </c>
      <c r="B144" t="s">
        <v>23</v>
      </c>
      <c r="C144" t="s">
        <v>330</v>
      </c>
      <c r="D144" t="str">
        <f>IF(LEFT(Table1[[#This Row],[Opponent]],1)="@","Away","Home")</f>
        <v>Home</v>
      </c>
      <c r="E144" s="17">
        <f>_xlfn.NUMBERVALUE(MID(LEFT(Table1[[#This Row],[Score]],FIND("-",Table1[[#This Row],[Score]])-1),FIND(" ",Table1[[#This Row],[Score]])+1,LEN(Table1[[#This Row],[Score]])))</f>
        <v>1</v>
      </c>
      <c r="F144" s="17">
        <f>_xlfn.NUMBERVALUE(RIGHT(Table1[[#This Row],[Score]],LEN(Table1[[#This Row],[Score]])-FIND("-",Table1[[#This Row],[Score]])))</f>
        <v>11</v>
      </c>
      <c r="G144" s="17">
        <f t="shared" si="21"/>
        <v>12</v>
      </c>
      <c r="H144" s="17" t="str">
        <f>LEFT(Table1[[#This Row],[Score]],1)</f>
        <v>L</v>
      </c>
      <c r="I144" s="17" t="str">
        <f>VLOOKUP(IF(Table1[[#This Row],[At]]="Home",Table1[[#This Row],[Opponent]],RIGHT(Table1[[#This Row],[Opponent]],LEN(Table1[[#This Row],[Opponent]])-1)),CHOOSE({1,2},[1]StandingsRAW!$J$1:$J$22,[1]StandingsRAW!$L$1:$L$22),2,FALSE)</f>
        <v>TVC</v>
      </c>
      <c r="J144" s="17">
        <f>VLOOKUP(Table1[[#This Row],[OPP]],Raw!$L$2:$S$23,7,FALSE)-Raw!$U$2</f>
        <v>1.4411243913235945</v>
      </c>
    </row>
    <row r="145" spans="1:10" x14ac:dyDescent="0.25">
      <c r="A145" t="s">
        <v>602</v>
      </c>
      <c r="B145" t="s">
        <v>5</v>
      </c>
      <c r="C145" t="s">
        <v>274</v>
      </c>
      <c r="D145" t="str">
        <f>IF(LEFT(Table1[[#This Row],[Opponent]],1)="@","Away","Home")</f>
        <v>Home</v>
      </c>
      <c r="E145" s="17">
        <f>_xlfn.NUMBERVALUE(MID(LEFT(Table1[[#This Row],[Score]],FIND("-",Table1[[#This Row],[Score]])-1),FIND(" ",Table1[[#This Row],[Score]])+1,LEN(Table1[[#This Row],[Score]])))</f>
        <v>9</v>
      </c>
      <c r="F145" s="17">
        <f>_xlfn.NUMBERVALUE(RIGHT(Table1[[#This Row],[Score]],LEN(Table1[[#This Row],[Score]])-FIND("-",Table1[[#This Row],[Score]])))</f>
        <v>10</v>
      </c>
      <c r="G145" s="17">
        <f t="shared" si="21"/>
        <v>19</v>
      </c>
      <c r="H145" s="17" t="str">
        <f>LEFT(Table1[[#This Row],[Score]],1)</f>
        <v>L</v>
      </c>
      <c r="I145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145" s="17">
        <f>VLOOKUP(Table1[[#This Row],[OPP]],Raw!$L$2:$S$23,7,FALSE)-Raw!$U$2</f>
        <v>0.53189121448478383</v>
      </c>
    </row>
    <row r="146" spans="1:10" x14ac:dyDescent="0.25">
      <c r="A146" t="s">
        <v>603</v>
      </c>
      <c r="B146" t="s">
        <v>17</v>
      </c>
      <c r="C146" t="s">
        <v>70</v>
      </c>
      <c r="D146" t="str">
        <f>IF(LEFT(Table1[[#This Row],[Opponent]],1)="@","Away","Home")</f>
        <v>Away</v>
      </c>
      <c r="E146" s="17">
        <f>_xlfn.NUMBERVALUE(MID(LEFT(Table1[[#This Row],[Score]],FIND("-",Table1[[#This Row],[Score]])-1),FIND(" ",Table1[[#This Row],[Score]])+1,LEN(Table1[[#This Row],[Score]])))</f>
        <v>2</v>
      </c>
      <c r="F146" s="17">
        <f>_xlfn.NUMBERVALUE(RIGHT(Table1[[#This Row],[Score]],LEN(Table1[[#This Row],[Score]])-FIND("-",Table1[[#This Row],[Score]])))</f>
        <v>14</v>
      </c>
      <c r="G146" s="17">
        <f t="shared" si="21"/>
        <v>16</v>
      </c>
      <c r="H146" s="17" t="str">
        <f>LEFT(Table1[[#This Row],[Score]],1)</f>
        <v>L</v>
      </c>
      <c r="I146" s="17" t="str">
        <f>VLOOKUP(IF(Table1[[#This Row],[At]]="Home",Table1[[#This Row],[Opponent]],RIGHT(Table1[[#This Row],[Opponent]],LEN(Table1[[#This Row],[Opponent]])-1)),CHOOSE({1,2},[1]StandingsRAW!$J$1:$J$22,[1]StandingsRAW!$L$1:$L$22),2,FALSE)</f>
        <v>KZO</v>
      </c>
      <c r="J146" s="17">
        <f>VLOOKUP(Table1[[#This Row],[OPP]],Raw!$L$2:$S$23,7,FALSE)-Raw!$U$2</f>
        <v>0.53189121448478383</v>
      </c>
    </row>
    <row r="147" spans="1:10" x14ac:dyDescent="0.25">
      <c r="A147" t="s">
        <v>608</v>
      </c>
      <c r="B147" t="s">
        <v>58</v>
      </c>
      <c r="C147" t="s">
        <v>240</v>
      </c>
      <c r="D147" s="91" t="str">
        <f>IF(LEFT(Table1[[#This Row],[Opponent]],1)="@","Away","Home")</f>
        <v>Away</v>
      </c>
      <c r="E147" s="17">
        <f>_xlfn.NUMBERVALUE(MID(LEFT(Table1[[#This Row],[Score]],FIND("-",Table1[[#This Row],[Score]])-1),FIND(" ",Table1[[#This Row],[Score]])+1,LEN(Table1[[#This Row],[Score]])))</f>
        <v>1</v>
      </c>
      <c r="F147" s="17">
        <f>_xlfn.NUMBERVALUE(RIGHT(Table1[[#This Row],[Score]],LEN(Table1[[#This Row],[Score]])-FIND("-",Table1[[#This Row],[Score]])))</f>
        <v>3</v>
      </c>
      <c r="G147" s="17">
        <f t="shared" ref="G147:G148" si="22">E147+F147</f>
        <v>4</v>
      </c>
      <c r="H147" s="17" t="str">
        <f>LEFT(Table1[[#This Row],[Score]],1)</f>
        <v>L</v>
      </c>
      <c r="I147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147" s="17">
        <f>VLOOKUP(Table1[[#This Row],[OPP]],Raw!$L$2:$S$23,7,FALSE)-Raw!$U$2</f>
        <v>0.83001328021248344</v>
      </c>
    </row>
    <row r="148" spans="1:10" x14ac:dyDescent="0.25">
      <c r="A148" t="s">
        <v>609</v>
      </c>
      <c r="B148" t="s">
        <v>58</v>
      </c>
      <c r="C148" t="s">
        <v>128</v>
      </c>
      <c r="D148" s="91" t="str">
        <f>IF(LEFT(Table1[[#This Row],[Opponent]],1)="@","Away","Home")</f>
        <v>Away</v>
      </c>
      <c r="E148" s="17">
        <f>_xlfn.NUMBERVALUE(MID(LEFT(Table1[[#This Row],[Score]],FIND("-",Table1[[#This Row],[Score]])-1),FIND(" ",Table1[[#This Row],[Score]])+1,LEN(Table1[[#This Row],[Score]])))</f>
        <v>6</v>
      </c>
      <c r="F148" s="17">
        <f>_xlfn.NUMBERVALUE(RIGHT(Table1[[#This Row],[Score]],LEN(Table1[[#This Row],[Score]])-FIND("-",Table1[[#This Row],[Score]])))</f>
        <v>5</v>
      </c>
      <c r="G148" s="17">
        <f t="shared" si="22"/>
        <v>11</v>
      </c>
      <c r="H148" s="17" t="str">
        <f>LEFT(Table1[[#This Row],[Score]],1)</f>
        <v>W</v>
      </c>
      <c r="I148" s="17" t="str">
        <f>VLOOKUP(IF(Table1[[#This Row],[At]]="Home",Table1[[#This Row],[Opponent]],RIGHT(Table1[[#This Row],[Opponent]],LEN(Table1[[#This Row],[Opponent]])-1)),CHOOSE({1,2},[1]StandingsRAW!$J$1:$J$22,[1]StandingsRAW!$L$1:$L$22),2,FALSE)</f>
        <v>RFD</v>
      </c>
      <c r="J148" s="17">
        <f>VLOOKUP(Table1[[#This Row],[OPP]],Raw!$L$2:$S$23,7,FALSE)-Raw!$U$2</f>
        <v>0.83001328021248344</v>
      </c>
    </row>
  </sheetData>
  <phoneticPr fontId="3" type="noConversion"/>
  <conditionalFormatting sqref="L17">
    <cfRule type="cellIs" dxfId="109" priority="4" operator="greaterThan">
      <formula>100</formula>
    </cfRule>
    <cfRule type="cellIs" dxfId="108" priority="5" operator="lessThan">
      <formula>100</formula>
    </cfRule>
  </conditionalFormatting>
  <conditionalFormatting sqref="L18">
    <cfRule type="cellIs" dxfId="107" priority="2" operator="greaterThan">
      <formula>100</formula>
    </cfRule>
    <cfRule type="cellIs" dxfId="106" priority="3" operator="lessThan">
      <formula>100</formula>
    </cfRule>
  </conditionalFormatting>
  <conditionalFormatting sqref="L17:L18">
    <cfRule type="cellIs" dxfId="105" priority="1" operator="equal">
      <formula>100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1B4E-4F26-486B-A33F-3B2A02EE5D37}">
  <sheetPr codeName="Sheet4"/>
  <dimension ref="A1:P140"/>
  <sheetViews>
    <sheetView topLeftCell="A66" workbookViewId="0">
      <selection activeCell="A73" sqref="A73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221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222</v>
      </c>
      <c r="C3" t="s">
        <v>223</v>
      </c>
      <c r="E3" s="1" t="str">
        <f>IF(LEFT(B3,1)="@","Away","Home")</f>
        <v>Home</v>
      </c>
      <c r="F3" s="3">
        <f>_xlfn.NUMBERVALUE(MID(LEFT(C3,FIND("-",C3)-1),FIND(" ",C3)+1,LEN(C3)))</f>
        <v>10</v>
      </c>
      <c r="G3" s="3">
        <f>_xlfn.NUMBERVALUE(RIGHT(C3,LEN(C3)-FIND("-",C3)))</f>
        <v>4</v>
      </c>
      <c r="H3" s="3">
        <f t="shared" ref="H3:H66" si="0">F3+G3</f>
        <v>14</v>
      </c>
      <c r="I3" s="3" t="str">
        <f>LEFT(C3,1)</f>
        <v>W</v>
      </c>
      <c r="K3" s="4" t="s">
        <v>139</v>
      </c>
      <c r="L3" s="5">
        <f>(SUMIF($E$3:$E$74,$K3,F$3:F$74) + SUMIF(Table3[At],$K3,Table3[Scored]))/(COUNTIF($E$3:$E$74,$K3) + COUNTIF(Table3[At],$K3))</f>
        <v>5.1388888888888893</v>
      </c>
      <c r="M3" s="5">
        <f>(SUMIF($E$3:$E$74,$K3,G$3:G$74) + SUMIF(Table3[At],$K3,Table3[Allowed]))/(COUNTIF($E$3:$E$74,$K3) + COUNTIF(Table3[At],$K3))</f>
        <v>6.416666666666667</v>
      </c>
      <c r="N3" s="5">
        <f>L3+M3</f>
        <v>11.555555555555557</v>
      </c>
      <c r="O3" s="5">
        <f>(COUNTIFS($E$3:$E$74,$K3,$I$3:$I$74,O$2) + COUNTIFS(Table3[At],$K3,Table3[Result],O$2))/(COUNTIF($E$3:$E$74,$K3) + COUNTIF(Table3[At],$K3))</f>
        <v>0.40277777777777779</v>
      </c>
      <c r="P3" s="5">
        <f>(COUNTIFS($E$3:$E$74,$K3,$I$3:$I$74,P$2) + COUNTIFS(Table3[At],$K3,Table3[Result],P$2))/(COUNTIF($E$3:$E$74,$K3) + COUNTIF(Table3[At],$K3))</f>
        <v>0.59722222222222221</v>
      </c>
    </row>
    <row r="4" spans="1:16" x14ac:dyDescent="0.25">
      <c r="A4" t="s">
        <v>7</v>
      </c>
      <c r="B4" t="s">
        <v>222</v>
      </c>
      <c r="C4" t="s">
        <v>224</v>
      </c>
      <c r="E4" s="1" t="str">
        <f t="shared" ref="E4:E67" si="1">IF(LEFT(B4,1)="@","Away","Home")</f>
        <v>Home</v>
      </c>
      <c r="F4" s="3">
        <f t="shared" ref="F4:F67" si="2">_xlfn.NUMBERVALUE(MID(LEFT(C4,FIND("-",C4)-1),FIND(" ",C4)+1,LEN(C4)))</f>
        <v>0</v>
      </c>
      <c r="G4" s="3">
        <f t="shared" ref="G4:G67" si="3">_xlfn.NUMBERVALUE(RIGHT(C4,LEN(C4)-FIND("-",C4)))</f>
        <v>6</v>
      </c>
      <c r="H4" s="3">
        <f t="shared" si="0"/>
        <v>6</v>
      </c>
      <c r="I4" s="3" t="str">
        <f t="shared" ref="I4:I67" si="4">LEFT(C4,1)</f>
        <v>L</v>
      </c>
      <c r="K4" s="4" t="s">
        <v>140</v>
      </c>
      <c r="L4" s="5">
        <f>(SUMIF($E$3:$E$74,$K4,F$3:F$74) + SUMIF(Table3[At],$K4,Table3[Scored]))/(COUNTIF($E$3:$E$74,$K4) + COUNTIF(Table3[At],$K4))</f>
        <v>5.671875</v>
      </c>
      <c r="M4" s="5">
        <f>(SUMIF($E$3:$E$74,$K4,G$3:G$74) + SUMIF(Table3[At],$K4,Table3[Allowed]))/(COUNTIF($E$3:$E$74,$K4) + COUNTIF(Table3[At],$K4))</f>
        <v>7.0625</v>
      </c>
      <c r="N4" s="5">
        <f>L4+M4</f>
        <v>12.734375</v>
      </c>
      <c r="O4" s="5">
        <f>(COUNTIFS($E$3:$E$74,$K4,$I$3:$I$74,O$2) + COUNTIFS(Table3[At],$K4,Table3[Result],O$2))/(COUNTIF($E$3:$E$74,$K4) + COUNTIF(Table3[At],$K4))</f>
        <v>0.375</v>
      </c>
      <c r="P4" s="5">
        <f>(COUNTIFS($E$3:$E$74,$K4,$I$3:$I$74,P$2) + COUNTIFS(Table3[At],$K4,Table3[Result],P$2))/(COUNTIF($E$3:$E$74,$K4) + COUNTIF(Table3[At],$K4))</f>
        <v>0.625</v>
      </c>
    </row>
    <row r="5" spans="1:16" x14ac:dyDescent="0.25">
      <c r="A5" t="s">
        <v>9</v>
      </c>
      <c r="B5" t="s">
        <v>225</v>
      </c>
      <c r="C5" t="s">
        <v>226</v>
      </c>
      <c r="E5" s="1" t="str">
        <f t="shared" si="1"/>
        <v>Home</v>
      </c>
      <c r="F5" s="3">
        <f t="shared" si="2"/>
        <v>3</v>
      </c>
      <c r="G5" s="3">
        <f t="shared" si="3"/>
        <v>2</v>
      </c>
      <c r="H5" s="3">
        <f t="shared" si="0"/>
        <v>5</v>
      </c>
      <c r="I5" s="3" t="str">
        <f t="shared" si="4"/>
        <v>W</v>
      </c>
    </row>
    <row r="6" spans="1:16" x14ac:dyDescent="0.25">
      <c r="A6" t="s">
        <v>12</v>
      </c>
      <c r="B6" t="s">
        <v>225</v>
      </c>
      <c r="C6" t="s">
        <v>33</v>
      </c>
      <c r="E6" s="1" t="str">
        <f t="shared" si="1"/>
        <v>Home</v>
      </c>
      <c r="F6" s="3">
        <f t="shared" si="2"/>
        <v>7</v>
      </c>
      <c r="G6" s="3">
        <f t="shared" si="3"/>
        <v>4</v>
      </c>
      <c r="H6" s="3">
        <f t="shared" si="0"/>
        <v>11</v>
      </c>
      <c r="I6" s="3" t="str">
        <f t="shared" si="4"/>
        <v>W</v>
      </c>
      <c r="K6" s="4" t="s">
        <v>144</v>
      </c>
      <c r="L6" s="5">
        <f>N3/N4</f>
        <v>0.9074301295160192</v>
      </c>
      <c r="O6" s="4" t="s">
        <v>178</v>
      </c>
      <c r="P6" s="1" t="s">
        <v>180</v>
      </c>
    </row>
    <row r="7" spans="1:16" x14ac:dyDescent="0.25">
      <c r="A7" t="s">
        <v>14</v>
      </c>
      <c r="B7" t="s">
        <v>190</v>
      </c>
      <c r="C7" t="s">
        <v>227</v>
      </c>
      <c r="E7" s="1" t="str">
        <f t="shared" si="1"/>
        <v>Away</v>
      </c>
      <c r="F7" s="3">
        <f t="shared" si="2"/>
        <v>9</v>
      </c>
      <c r="G7" s="3">
        <f t="shared" si="3"/>
        <v>12</v>
      </c>
      <c r="H7" s="3">
        <f t="shared" si="0"/>
        <v>21</v>
      </c>
      <c r="I7" s="3" t="str">
        <f t="shared" si="4"/>
        <v>L</v>
      </c>
      <c r="K7" s="7" t="s">
        <v>143</v>
      </c>
      <c r="L7" s="5">
        <f>(18.5 - O3)/(18.5-P4)</f>
        <v>1.0124320124320123</v>
      </c>
      <c r="O7" s="4" t="s">
        <v>147</v>
      </c>
      <c r="P7" s="1">
        <f>VLOOKUP($P$6,'Full League'!$L$4:$N$5,2,FALSE)</f>
        <v>10</v>
      </c>
    </row>
    <row r="8" spans="1:16" x14ac:dyDescent="0.25">
      <c r="A8" t="s">
        <v>16</v>
      </c>
      <c r="B8" t="s">
        <v>190</v>
      </c>
      <c r="C8" t="s">
        <v>228</v>
      </c>
      <c r="E8" s="1" t="str">
        <f t="shared" si="1"/>
        <v>Away</v>
      </c>
      <c r="F8" s="3">
        <f t="shared" si="2"/>
        <v>10</v>
      </c>
      <c r="G8" s="3">
        <f t="shared" si="3"/>
        <v>3</v>
      </c>
      <c r="H8" s="3">
        <f t="shared" si="0"/>
        <v>13</v>
      </c>
      <c r="I8" s="3" t="str">
        <f t="shared" si="4"/>
        <v>W</v>
      </c>
      <c r="K8" s="7" t="s">
        <v>146</v>
      </c>
      <c r="L8" s="5">
        <f>L6/L7</f>
        <v>0.89628747251505514</v>
      </c>
      <c r="O8" s="4" t="s">
        <v>151</v>
      </c>
      <c r="P8" s="2">
        <f>VLOOKUP($P$6,'Full League'!$L$4:$N$5,3,FALSE)</f>
        <v>11.586233565351895</v>
      </c>
    </row>
    <row r="9" spans="1:16" x14ac:dyDescent="0.25">
      <c r="A9" t="s">
        <v>19</v>
      </c>
      <c r="B9" t="s">
        <v>210</v>
      </c>
      <c r="C9" t="s">
        <v>18</v>
      </c>
      <c r="E9" s="1" t="str">
        <f t="shared" si="1"/>
        <v>Away</v>
      </c>
      <c r="F9" s="3">
        <f t="shared" si="2"/>
        <v>8</v>
      </c>
      <c r="G9" s="3">
        <f t="shared" si="3"/>
        <v>9</v>
      </c>
      <c r="H9" s="3">
        <f t="shared" si="0"/>
        <v>17</v>
      </c>
      <c r="I9" s="3" t="str">
        <f t="shared" si="4"/>
        <v>L</v>
      </c>
      <c r="K9" s="7" t="s">
        <v>145</v>
      </c>
      <c r="L9" s="5">
        <f>(P7)/(P7-1+L8)</f>
        <v>1.010479942884944</v>
      </c>
      <c r="O9" s="4"/>
      <c r="P9" s="1"/>
    </row>
    <row r="10" spans="1:16" x14ac:dyDescent="0.25">
      <c r="A10" t="s">
        <v>193</v>
      </c>
      <c r="B10" t="s">
        <v>210</v>
      </c>
      <c r="C10" t="s">
        <v>229</v>
      </c>
      <c r="E10" s="1" t="str">
        <f t="shared" si="1"/>
        <v>Away</v>
      </c>
      <c r="F10" s="3">
        <f t="shared" si="2"/>
        <v>7</v>
      </c>
      <c r="G10" s="3">
        <f t="shared" si="3"/>
        <v>1</v>
      </c>
      <c r="H10" s="3">
        <f t="shared" si="0"/>
        <v>8</v>
      </c>
      <c r="I10" s="3" t="str">
        <f t="shared" si="4"/>
        <v>W</v>
      </c>
      <c r="K10" s="4" t="s">
        <v>149</v>
      </c>
      <c r="L10" s="5">
        <f>L8*L9</f>
        <v>0.90568051403550376</v>
      </c>
      <c r="O10" s="4"/>
      <c r="P10" s="1"/>
    </row>
    <row r="11" spans="1:16" x14ac:dyDescent="0.25">
      <c r="A11" t="s">
        <v>22</v>
      </c>
      <c r="B11" t="s">
        <v>206</v>
      </c>
      <c r="C11" t="s">
        <v>15</v>
      </c>
      <c r="E11" s="1" t="str">
        <f t="shared" si="1"/>
        <v>Away</v>
      </c>
      <c r="F11" s="3">
        <f t="shared" si="2"/>
        <v>3</v>
      </c>
      <c r="G11" s="3">
        <f t="shared" si="3"/>
        <v>1</v>
      </c>
      <c r="H11" s="3">
        <f t="shared" si="0"/>
        <v>4</v>
      </c>
      <c r="I11" s="3" t="str">
        <f t="shared" si="4"/>
        <v>W</v>
      </c>
      <c r="K11" s="4" t="s">
        <v>148</v>
      </c>
      <c r="L11" s="5">
        <f>1 - ((L10-1)/(P7-1))</f>
        <v>1.010479942884944</v>
      </c>
      <c r="O11" s="4"/>
      <c r="P11" s="1"/>
    </row>
    <row r="12" spans="1:16" x14ac:dyDescent="0.25">
      <c r="A12" t="s">
        <v>196</v>
      </c>
      <c r="B12" t="s">
        <v>206</v>
      </c>
      <c r="C12" t="s">
        <v>230</v>
      </c>
      <c r="E12" s="1" t="str">
        <f t="shared" si="1"/>
        <v>Away</v>
      </c>
      <c r="F12" s="3">
        <f t="shared" si="2"/>
        <v>4</v>
      </c>
      <c r="G12" s="3">
        <f t="shared" si="3"/>
        <v>9</v>
      </c>
      <c r="H12" s="3">
        <f t="shared" si="0"/>
        <v>13</v>
      </c>
      <c r="I12" s="3" t="str">
        <f t="shared" si="4"/>
        <v>L</v>
      </c>
      <c r="K12" s="4" t="s">
        <v>150</v>
      </c>
      <c r="L12" s="5">
        <f>(($L4/$L11)+($L3/$L10)) * (1 + (L13-1)/($P7-1)) / $P8</f>
        <v>0.97418321005108022</v>
      </c>
      <c r="M12" s="5">
        <f t="shared" ref="M12:O12" si="5">(($L4/$L11)+($L3/$L10)) * (1 + (M13-1)/($P7-1)) / $P8</f>
        <v>0.99704914974614534</v>
      </c>
      <c r="N12" s="5">
        <f t="shared" si="5"/>
        <v>0.99738321017364162</v>
      </c>
      <c r="O12" s="8">
        <f t="shared" si="5"/>
        <v>0.99738809063649203</v>
      </c>
      <c r="P12" s="5"/>
    </row>
    <row r="13" spans="1:16" x14ac:dyDescent="0.25">
      <c r="A13" t="s">
        <v>25</v>
      </c>
      <c r="B13" t="s">
        <v>231</v>
      </c>
      <c r="C13" t="s">
        <v>125</v>
      </c>
      <c r="E13" s="1" t="str">
        <f t="shared" si="1"/>
        <v>Home</v>
      </c>
      <c r="F13" s="3">
        <f t="shared" si="2"/>
        <v>0</v>
      </c>
      <c r="G13" s="3">
        <f t="shared" si="3"/>
        <v>4</v>
      </c>
      <c r="H13" s="3">
        <f t="shared" si="0"/>
        <v>4</v>
      </c>
      <c r="I13" s="3" t="str">
        <f t="shared" si="4"/>
        <v>L</v>
      </c>
      <c r="K13" s="4" t="s">
        <v>182</v>
      </c>
      <c r="L13" s="5">
        <v>1</v>
      </c>
      <c r="M13" s="5">
        <f>(($M4/$L11)+($M3/$L10)) * (1 + (L12-1)/($P7-1)) / $P8</f>
        <v>1.211247181364167</v>
      </c>
      <c r="N13" s="5">
        <f>(($M4/$L11)+($M3/$L10)) * (1 + (M12-1)/($P7-1)) / $P8</f>
        <v>1.2143334015088447</v>
      </c>
      <c r="O13" s="5">
        <f>(($M4/$L11)+($M3/$L10)) * (1 + (N12-1)/($P7-1)) / $P8</f>
        <v>1.2143784897070395</v>
      </c>
      <c r="P13" s="8">
        <f>(($M4/$L11)+($M3/$L10)) * (1 + (O12-1)/($P7-1)) / $P8</f>
        <v>1.2143791484240205</v>
      </c>
    </row>
    <row r="14" spans="1:16" x14ac:dyDescent="0.25">
      <c r="A14" t="s">
        <v>27</v>
      </c>
      <c r="B14" t="s">
        <v>231</v>
      </c>
      <c r="C14" t="s">
        <v>232</v>
      </c>
      <c r="E14" s="1" t="str">
        <f t="shared" si="1"/>
        <v>Home</v>
      </c>
      <c r="F14" s="3">
        <f t="shared" si="2"/>
        <v>8</v>
      </c>
      <c r="G14" s="3">
        <f t="shared" si="3"/>
        <v>6</v>
      </c>
      <c r="H14" s="3">
        <f t="shared" si="0"/>
        <v>14</v>
      </c>
      <c r="I14" s="3" t="str">
        <f t="shared" si="4"/>
        <v>W</v>
      </c>
      <c r="K14" s="4" t="s">
        <v>183</v>
      </c>
      <c r="L14" s="5">
        <f xml:space="preserve"> (L10+L11) / (2 * (1 + ((P13-1)/(P7-1))))</f>
        <v>0.93578980387591293</v>
      </c>
      <c r="N14" s="5"/>
    </row>
    <row r="15" spans="1:16" x14ac:dyDescent="0.25">
      <c r="A15" t="s">
        <v>29</v>
      </c>
      <c r="B15" t="s">
        <v>231</v>
      </c>
      <c r="C15" t="s">
        <v>233</v>
      </c>
      <c r="E15" s="1" t="str">
        <f t="shared" si="1"/>
        <v>Home</v>
      </c>
      <c r="F15" s="3">
        <f t="shared" si="2"/>
        <v>10</v>
      </c>
      <c r="G15" s="3">
        <f t="shared" si="3"/>
        <v>1</v>
      </c>
      <c r="H15" s="3">
        <f t="shared" si="0"/>
        <v>11</v>
      </c>
      <c r="I15" s="3" t="str">
        <f t="shared" si="4"/>
        <v>W</v>
      </c>
      <c r="K15" s="4" t="s">
        <v>184</v>
      </c>
      <c r="L15" s="5">
        <f xml:space="preserve"> (L10+L11) / (2 * (1 + ((O12-1)/(P7-1))))</f>
        <v>0.95835835570054062</v>
      </c>
    </row>
    <row r="16" spans="1:16" ht="15.75" thickBot="1" x14ac:dyDescent="0.3">
      <c r="A16" t="s">
        <v>32</v>
      </c>
      <c r="B16" t="s">
        <v>231</v>
      </c>
      <c r="C16" t="s">
        <v>234</v>
      </c>
      <c r="E16" s="1" t="str">
        <f t="shared" si="1"/>
        <v>Home</v>
      </c>
      <c r="F16" s="3">
        <f t="shared" si="2"/>
        <v>2</v>
      </c>
      <c r="G16" s="3">
        <f t="shared" si="3"/>
        <v>5</v>
      </c>
      <c r="H16" s="3">
        <f t="shared" si="0"/>
        <v>7</v>
      </c>
      <c r="I16" s="3" t="str">
        <f t="shared" si="4"/>
        <v>L</v>
      </c>
    </row>
    <row r="17" spans="1:14" x14ac:dyDescent="0.25">
      <c r="A17" t="s">
        <v>34</v>
      </c>
      <c r="B17" t="s">
        <v>235</v>
      </c>
      <c r="C17" t="s">
        <v>236</v>
      </c>
      <c r="E17" s="1" t="str">
        <f t="shared" si="1"/>
        <v>Home</v>
      </c>
      <c r="F17" s="3">
        <f t="shared" si="2"/>
        <v>7</v>
      </c>
      <c r="G17" s="3">
        <f t="shared" si="3"/>
        <v>0</v>
      </c>
      <c r="H17" s="3">
        <f t="shared" si="0"/>
        <v>7</v>
      </c>
      <c r="I17" s="3" t="str">
        <f t="shared" si="4"/>
        <v>W</v>
      </c>
      <c r="K17" s="9" t="s">
        <v>185</v>
      </c>
      <c r="L17" s="10">
        <f>L14*100</f>
        <v>93.578980387591287</v>
      </c>
    </row>
    <row r="18" spans="1:14" ht="15.75" thickBot="1" x14ac:dyDescent="0.3">
      <c r="A18" t="s">
        <v>37</v>
      </c>
      <c r="B18" t="s">
        <v>235</v>
      </c>
      <c r="C18" t="s">
        <v>237</v>
      </c>
      <c r="E18" s="1" t="str">
        <f t="shared" si="1"/>
        <v>Home</v>
      </c>
      <c r="F18" s="3">
        <f t="shared" si="2"/>
        <v>6</v>
      </c>
      <c r="G18" s="3">
        <f t="shared" si="3"/>
        <v>11</v>
      </c>
      <c r="H18" s="3">
        <f t="shared" si="0"/>
        <v>17</v>
      </c>
      <c r="I18" s="3" t="str">
        <f t="shared" si="4"/>
        <v>L</v>
      </c>
      <c r="K18" s="11" t="s">
        <v>186</v>
      </c>
      <c r="L18" s="12">
        <f>L15*100</f>
        <v>95.835835570054059</v>
      </c>
    </row>
    <row r="19" spans="1:14" x14ac:dyDescent="0.25">
      <c r="A19" t="s">
        <v>41</v>
      </c>
      <c r="B19" t="s">
        <v>194</v>
      </c>
      <c r="C19" t="s">
        <v>238</v>
      </c>
      <c r="E19" s="1" t="str">
        <f t="shared" si="1"/>
        <v>Away</v>
      </c>
      <c r="F19" s="3">
        <f t="shared" si="2"/>
        <v>10</v>
      </c>
      <c r="G19" s="3">
        <f t="shared" si="3"/>
        <v>2</v>
      </c>
      <c r="H19" s="3">
        <f t="shared" si="0"/>
        <v>12</v>
      </c>
      <c r="I19" s="3" t="str">
        <f t="shared" si="4"/>
        <v>W</v>
      </c>
    </row>
    <row r="20" spans="1:14" x14ac:dyDescent="0.25">
      <c r="A20" t="s">
        <v>41</v>
      </c>
      <c r="B20" t="s">
        <v>194</v>
      </c>
      <c r="C20" t="s">
        <v>239</v>
      </c>
      <c r="E20" s="1" t="str">
        <f t="shared" si="1"/>
        <v>Away</v>
      </c>
      <c r="F20" s="3">
        <f t="shared" si="2"/>
        <v>8</v>
      </c>
      <c r="G20" s="3">
        <f t="shared" si="3"/>
        <v>5</v>
      </c>
      <c r="H20" s="3">
        <f t="shared" si="0"/>
        <v>13</v>
      </c>
      <c r="I20" s="3" t="str">
        <f t="shared" si="4"/>
        <v>W</v>
      </c>
    </row>
    <row r="21" spans="1:14" x14ac:dyDescent="0.25">
      <c r="A21" t="s">
        <v>43</v>
      </c>
      <c r="B21" t="s">
        <v>194</v>
      </c>
      <c r="C21" t="s">
        <v>35</v>
      </c>
      <c r="E21" s="1" t="str">
        <f t="shared" si="1"/>
        <v>Away</v>
      </c>
      <c r="F21" s="3">
        <f t="shared" si="2"/>
        <v>4</v>
      </c>
      <c r="G21" s="3">
        <f t="shared" si="3"/>
        <v>1</v>
      </c>
      <c r="H21" s="3">
        <f t="shared" si="0"/>
        <v>5</v>
      </c>
      <c r="I21" s="3" t="str">
        <f t="shared" si="4"/>
        <v>W</v>
      </c>
    </row>
    <row r="22" spans="1:14" x14ac:dyDescent="0.25">
      <c r="A22" t="s">
        <v>45</v>
      </c>
      <c r="B22" t="s">
        <v>194</v>
      </c>
      <c r="C22" t="s">
        <v>240</v>
      </c>
      <c r="E22" s="1" t="str">
        <f t="shared" si="1"/>
        <v>Away</v>
      </c>
      <c r="F22" s="3">
        <f t="shared" si="2"/>
        <v>1</v>
      </c>
      <c r="G22" s="3">
        <f t="shared" si="3"/>
        <v>3</v>
      </c>
      <c r="H22" s="3">
        <f t="shared" si="0"/>
        <v>4</v>
      </c>
      <c r="I22" s="3" t="str">
        <f t="shared" si="4"/>
        <v>L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241</v>
      </c>
      <c r="C23" t="s">
        <v>242</v>
      </c>
      <c r="E23" s="1" t="str">
        <f t="shared" si="1"/>
        <v>Home</v>
      </c>
      <c r="F23" s="3">
        <f t="shared" si="2"/>
        <v>13</v>
      </c>
      <c r="G23" s="3">
        <f t="shared" si="3"/>
        <v>1</v>
      </c>
      <c r="H23" s="3">
        <f t="shared" si="0"/>
        <v>14</v>
      </c>
      <c r="I23" s="3" t="str">
        <f t="shared" si="4"/>
        <v>W</v>
      </c>
      <c r="K23" s="1">
        <f>COUNTIFS(Table3[At], "Home",Table3[Result], "W")</f>
        <v>12</v>
      </c>
      <c r="L23" s="1">
        <f>COUNTIFS(Table3[At], "Home",Table3[Result], "L")</f>
        <v>24</v>
      </c>
      <c r="M23" s="1">
        <f>COUNTIFS(Table3[At], "Away",Table3[Result], "W")</f>
        <v>11</v>
      </c>
      <c r="N23" s="1">
        <f>COUNTIFS(Table3[At], "Away",Table3[Result], "L")</f>
        <v>21</v>
      </c>
    </row>
    <row r="24" spans="1:14" x14ac:dyDescent="0.25">
      <c r="A24" t="s">
        <v>49</v>
      </c>
      <c r="B24" t="s">
        <v>241</v>
      </c>
      <c r="C24" t="s">
        <v>243</v>
      </c>
      <c r="E24" s="1" t="str">
        <f t="shared" si="1"/>
        <v>Home</v>
      </c>
      <c r="F24" s="3">
        <f t="shared" si="2"/>
        <v>15</v>
      </c>
      <c r="G24" s="3">
        <f t="shared" si="3"/>
        <v>6</v>
      </c>
      <c r="H24" s="3">
        <f t="shared" si="0"/>
        <v>21</v>
      </c>
      <c r="I24" s="3" t="str">
        <f t="shared" si="4"/>
        <v>W</v>
      </c>
      <c r="K24" s="1"/>
      <c r="M24" s="1"/>
      <c r="N24" s="1"/>
    </row>
    <row r="25" spans="1:14" x14ac:dyDescent="0.25">
      <c r="A25" t="s">
        <v>49</v>
      </c>
      <c r="B25" t="s">
        <v>241</v>
      </c>
      <c r="C25" t="s">
        <v>244</v>
      </c>
      <c r="E25" s="1" t="str">
        <f t="shared" si="1"/>
        <v>Home</v>
      </c>
      <c r="F25" s="3">
        <f t="shared" si="2"/>
        <v>6</v>
      </c>
      <c r="G25" s="3">
        <f t="shared" si="3"/>
        <v>3</v>
      </c>
      <c r="H25" s="3">
        <f t="shared" si="0"/>
        <v>9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241</v>
      </c>
      <c r="C26" t="s">
        <v>128</v>
      </c>
      <c r="E26" s="1" t="str">
        <f t="shared" si="1"/>
        <v>Home</v>
      </c>
      <c r="F26" s="3">
        <f t="shared" si="2"/>
        <v>6</v>
      </c>
      <c r="G26" s="3">
        <f t="shared" si="3"/>
        <v>5</v>
      </c>
      <c r="H26" s="3">
        <f t="shared" si="0"/>
        <v>11</v>
      </c>
      <c r="I26" s="3" t="str">
        <f t="shared" si="4"/>
        <v>W</v>
      </c>
      <c r="K26" s="1">
        <f>COUNTIFS(Table3[oR/G], "&gt;0",Table3[Result], "W")</f>
        <v>9</v>
      </c>
      <c r="L26" s="1">
        <f>COUNTIFS(Table3[oR/G], "&gt;0",Table3[Result], "l")</f>
        <v>23</v>
      </c>
      <c r="M26" s="1">
        <f>COUNTIFS(Table3[oR/G], "&lt;0",Table3[Result], "W")</f>
        <v>14</v>
      </c>
      <c r="N26" s="1">
        <f>COUNTIFS(Table3[oR/G], "&lt;0",Table3[Result], "l")</f>
        <v>22</v>
      </c>
    </row>
    <row r="27" spans="1:14" x14ac:dyDescent="0.25">
      <c r="A27" t="s">
        <v>53</v>
      </c>
      <c r="B27" t="s">
        <v>245</v>
      </c>
      <c r="C27" t="s">
        <v>48</v>
      </c>
      <c r="E27" s="1" t="str">
        <f t="shared" si="1"/>
        <v>Home</v>
      </c>
      <c r="F27" s="3">
        <f t="shared" si="2"/>
        <v>4</v>
      </c>
      <c r="G27" s="3">
        <f t="shared" si="3"/>
        <v>5</v>
      </c>
      <c r="H27" s="3">
        <f t="shared" si="0"/>
        <v>9</v>
      </c>
      <c r="I27" s="3" t="str">
        <f t="shared" si="4"/>
        <v>L</v>
      </c>
    </row>
    <row r="28" spans="1:14" x14ac:dyDescent="0.25">
      <c r="A28" t="s">
        <v>208</v>
      </c>
      <c r="B28" t="s">
        <v>245</v>
      </c>
      <c r="C28" t="s">
        <v>246</v>
      </c>
      <c r="E28" s="1" t="str">
        <f t="shared" si="1"/>
        <v>Home</v>
      </c>
      <c r="F28" s="3">
        <f t="shared" si="2"/>
        <v>4</v>
      </c>
      <c r="G28" s="3">
        <f t="shared" si="3"/>
        <v>6</v>
      </c>
      <c r="H28" s="3">
        <f t="shared" si="0"/>
        <v>10</v>
      </c>
      <c r="I28" s="3" t="str">
        <f t="shared" si="4"/>
        <v>L</v>
      </c>
    </row>
    <row r="29" spans="1:14" x14ac:dyDescent="0.25">
      <c r="A29" t="s">
        <v>247</v>
      </c>
      <c r="B29" t="s">
        <v>198</v>
      </c>
      <c r="C29" t="s">
        <v>48</v>
      </c>
      <c r="E29" s="1" t="str">
        <f t="shared" si="1"/>
        <v>Away</v>
      </c>
      <c r="F29" s="3">
        <f t="shared" si="2"/>
        <v>4</v>
      </c>
      <c r="G29" s="3">
        <f t="shared" si="3"/>
        <v>5</v>
      </c>
      <c r="H29" s="3">
        <f t="shared" si="0"/>
        <v>9</v>
      </c>
      <c r="I29" s="3" t="str">
        <f t="shared" si="4"/>
        <v>L</v>
      </c>
    </row>
    <row r="30" spans="1:14" x14ac:dyDescent="0.25">
      <c r="A30" t="s">
        <v>54</v>
      </c>
      <c r="B30" t="s">
        <v>198</v>
      </c>
      <c r="C30" t="s">
        <v>26</v>
      </c>
      <c r="E30" s="1" t="str">
        <f t="shared" si="1"/>
        <v>Away</v>
      </c>
      <c r="F30" s="3">
        <f t="shared" si="2"/>
        <v>10</v>
      </c>
      <c r="G30" s="3">
        <f t="shared" si="3"/>
        <v>6</v>
      </c>
      <c r="H30" s="3">
        <f t="shared" si="0"/>
        <v>16</v>
      </c>
      <c r="I30" s="3" t="str">
        <f t="shared" si="4"/>
        <v>W</v>
      </c>
    </row>
    <row r="31" spans="1:14" x14ac:dyDescent="0.25">
      <c r="A31" t="s">
        <v>57</v>
      </c>
      <c r="B31" t="s">
        <v>192</v>
      </c>
      <c r="C31" t="s">
        <v>59</v>
      </c>
      <c r="E31" s="1" t="str">
        <f t="shared" si="1"/>
        <v>Away</v>
      </c>
      <c r="F31" s="3">
        <f t="shared" si="2"/>
        <v>11</v>
      </c>
      <c r="G31" s="3">
        <f t="shared" si="3"/>
        <v>7</v>
      </c>
      <c r="H31" s="3">
        <f t="shared" si="0"/>
        <v>18</v>
      </c>
      <c r="I31" s="3" t="str">
        <f t="shared" si="4"/>
        <v>W</v>
      </c>
    </row>
    <row r="32" spans="1:14" x14ac:dyDescent="0.25">
      <c r="A32" t="s">
        <v>60</v>
      </c>
      <c r="B32" t="s">
        <v>192</v>
      </c>
      <c r="C32" t="s">
        <v>248</v>
      </c>
      <c r="E32" s="1" t="str">
        <f t="shared" si="1"/>
        <v>Away</v>
      </c>
      <c r="F32" s="3">
        <f t="shared" si="2"/>
        <v>4</v>
      </c>
      <c r="G32" s="3">
        <f t="shared" si="3"/>
        <v>15</v>
      </c>
      <c r="H32" s="3">
        <f t="shared" si="0"/>
        <v>19</v>
      </c>
      <c r="I32" s="3" t="str">
        <f t="shared" si="4"/>
        <v>L</v>
      </c>
    </row>
    <row r="33" spans="1:9" x14ac:dyDescent="0.25">
      <c r="A33" t="s">
        <v>62</v>
      </c>
      <c r="B33" t="s">
        <v>211</v>
      </c>
      <c r="C33" t="s">
        <v>207</v>
      </c>
      <c r="E33" s="1" t="str">
        <f t="shared" si="1"/>
        <v>Away</v>
      </c>
      <c r="F33" s="3">
        <f t="shared" si="2"/>
        <v>3</v>
      </c>
      <c r="G33" s="3">
        <f t="shared" si="3"/>
        <v>8</v>
      </c>
      <c r="H33" s="3">
        <f t="shared" si="0"/>
        <v>11</v>
      </c>
      <c r="I33" s="3" t="str">
        <f t="shared" si="4"/>
        <v>L</v>
      </c>
    </row>
    <row r="34" spans="1:9" x14ac:dyDescent="0.25">
      <c r="A34" t="s">
        <v>64</v>
      </c>
      <c r="B34" t="s">
        <v>211</v>
      </c>
      <c r="C34" t="s">
        <v>249</v>
      </c>
      <c r="E34" s="1" t="str">
        <f t="shared" si="1"/>
        <v>Away</v>
      </c>
      <c r="F34" s="3">
        <f t="shared" si="2"/>
        <v>9</v>
      </c>
      <c r="G34" s="3">
        <f t="shared" si="3"/>
        <v>11</v>
      </c>
      <c r="H34" s="3">
        <f t="shared" si="0"/>
        <v>20</v>
      </c>
      <c r="I34" s="3" t="str">
        <f t="shared" si="4"/>
        <v>L</v>
      </c>
    </row>
    <row r="35" spans="1:9" x14ac:dyDescent="0.25">
      <c r="A35" t="s">
        <v>66</v>
      </c>
      <c r="B35" t="s">
        <v>250</v>
      </c>
      <c r="C35" t="s">
        <v>202</v>
      </c>
      <c r="E35" s="1" t="str">
        <f t="shared" si="1"/>
        <v>Home</v>
      </c>
      <c r="F35" s="3">
        <f t="shared" si="2"/>
        <v>4</v>
      </c>
      <c r="G35" s="3">
        <f t="shared" si="3"/>
        <v>11</v>
      </c>
      <c r="H35" s="3">
        <f t="shared" si="0"/>
        <v>15</v>
      </c>
      <c r="I35" s="3" t="str">
        <f t="shared" si="4"/>
        <v>L</v>
      </c>
    </row>
    <row r="36" spans="1:9" x14ac:dyDescent="0.25">
      <c r="A36" t="s">
        <v>67</v>
      </c>
      <c r="B36" t="s">
        <v>250</v>
      </c>
      <c r="C36" t="s">
        <v>205</v>
      </c>
      <c r="E36" s="1" t="str">
        <f t="shared" si="1"/>
        <v>Home</v>
      </c>
      <c r="F36" s="3">
        <f t="shared" si="2"/>
        <v>5</v>
      </c>
      <c r="G36" s="3">
        <f t="shared" si="3"/>
        <v>6</v>
      </c>
      <c r="H36" s="3">
        <f t="shared" si="0"/>
        <v>11</v>
      </c>
      <c r="I36" s="3" t="str">
        <f t="shared" si="4"/>
        <v>L</v>
      </c>
    </row>
    <row r="37" spans="1:9" x14ac:dyDescent="0.25">
      <c r="A37" t="s">
        <v>68</v>
      </c>
      <c r="B37" t="s">
        <v>250</v>
      </c>
      <c r="C37" t="s">
        <v>199</v>
      </c>
      <c r="E37" s="1" t="str">
        <f t="shared" si="1"/>
        <v>Home</v>
      </c>
      <c r="F37" s="3">
        <f t="shared" si="2"/>
        <v>3</v>
      </c>
      <c r="G37" s="3">
        <f t="shared" si="3"/>
        <v>7</v>
      </c>
      <c r="H37" s="3">
        <f t="shared" si="0"/>
        <v>10</v>
      </c>
      <c r="I37" s="3" t="str">
        <f t="shared" si="4"/>
        <v>L</v>
      </c>
    </row>
    <row r="38" spans="1:9" x14ac:dyDescent="0.25">
      <c r="A38" t="s">
        <v>73</v>
      </c>
      <c r="B38" t="s">
        <v>201</v>
      </c>
      <c r="C38" t="s">
        <v>224</v>
      </c>
      <c r="E38" s="1" t="str">
        <f t="shared" si="1"/>
        <v>Away</v>
      </c>
      <c r="F38" s="3">
        <f t="shared" si="2"/>
        <v>0</v>
      </c>
      <c r="G38" s="3">
        <f t="shared" si="3"/>
        <v>6</v>
      </c>
      <c r="H38" s="3">
        <f t="shared" si="0"/>
        <v>6</v>
      </c>
      <c r="I38" s="3" t="str">
        <f t="shared" si="4"/>
        <v>L</v>
      </c>
    </row>
    <row r="39" spans="1:9" x14ac:dyDescent="0.25">
      <c r="A39" t="s">
        <v>209</v>
      </c>
      <c r="B39" t="s">
        <v>201</v>
      </c>
      <c r="C39" t="s">
        <v>251</v>
      </c>
      <c r="E39" s="1" t="str">
        <f t="shared" si="1"/>
        <v>Away</v>
      </c>
      <c r="F39" s="3">
        <f t="shared" si="2"/>
        <v>2</v>
      </c>
      <c r="G39" s="3">
        <f t="shared" si="3"/>
        <v>7</v>
      </c>
      <c r="H39" s="3">
        <f t="shared" si="0"/>
        <v>9</v>
      </c>
      <c r="I39" s="3" t="str">
        <f t="shared" si="4"/>
        <v>L</v>
      </c>
    </row>
    <row r="40" spans="1:9" x14ac:dyDescent="0.25">
      <c r="A40" t="s">
        <v>76</v>
      </c>
      <c r="B40" t="s">
        <v>235</v>
      </c>
      <c r="C40" t="s">
        <v>226</v>
      </c>
      <c r="E40" s="1" t="str">
        <f t="shared" si="1"/>
        <v>Home</v>
      </c>
      <c r="F40" s="3">
        <f t="shared" si="2"/>
        <v>3</v>
      </c>
      <c r="G40" s="3">
        <f t="shared" si="3"/>
        <v>2</v>
      </c>
      <c r="H40" s="3">
        <f t="shared" si="0"/>
        <v>5</v>
      </c>
      <c r="I40" s="3" t="str">
        <f t="shared" si="4"/>
        <v>W</v>
      </c>
    </row>
    <row r="41" spans="1:9" x14ac:dyDescent="0.25">
      <c r="A41" t="s">
        <v>78</v>
      </c>
      <c r="B41" t="s">
        <v>235</v>
      </c>
      <c r="C41" t="s">
        <v>252</v>
      </c>
      <c r="E41" s="1" t="str">
        <f t="shared" si="1"/>
        <v>Home</v>
      </c>
      <c r="F41" s="3">
        <f t="shared" si="2"/>
        <v>2</v>
      </c>
      <c r="G41" s="3">
        <f t="shared" si="3"/>
        <v>8</v>
      </c>
      <c r="H41" s="3">
        <f t="shared" si="0"/>
        <v>10</v>
      </c>
      <c r="I41" s="3" t="str">
        <f t="shared" si="4"/>
        <v>L</v>
      </c>
    </row>
    <row r="42" spans="1:9" x14ac:dyDescent="0.25">
      <c r="A42" t="s">
        <v>80</v>
      </c>
      <c r="B42" t="s">
        <v>211</v>
      </c>
      <c r="C42" t="s">
        <v>226</v>
      </c>
      <c r="E42" s="1" t="str">
        <f t="shared" si="1"/>
        <v>Away</v>
      </c>
      <c r="F42" s="3">
        <f t="shared" si="2"/>
        <v>3</v>
      </c>
      <c r="G42" s="3">
        <f t="shared" si="3"/>
        <v>2</v>
      </c>
      <c r="H42" s="3">
        <f t="shared" si="0"/>
        <v>5</v>
      </c>
      <c r="I42" s="3" t="str">
        <f t="shared" si="4"/>
        <v>W</v>
      </c>
    </row>
    <row r="43" spans="1:9" x14ac:dyDescent="0.25">
      <c r="A43" t="s">
        <v>81</v>
      </c>
      <c r="B43" t="s">
        <v>211</v>
      </c>
      <c r="C43" t="s">
        <v>253</v>
      </c>
      <c r="E43" s="1" t="str">
        <f t="shared" si="1"/>
        <v>Away</v>
      </c>
      <c r="F43" s="3">
        <f t="shared" si="2"/>
        <v>4</v>
      </c>
      <c r="G43" s="3">
        <f t="shared" si="3"/>
        <v>0</v>
      </c>
      <c r="H43" s="3">
        <f t="shared" si="0"/>
        <v>4</v>
      </c>
      <c r="I43" s="3" t="str">
        <f t="shared" si="4"/>
        <v>W</v>
      </c>
    </row>
    <row r="44" spans="1:9" x14ac:dyDescent="0.25">
      <c r="A44" t="s">
        <v>88</v>
      </c>
      <c r="B44" t="s">
        <v>201</v>
      </c>
      <c r="C44" t="s">
        <v>254</v>
      </c>
      <c r="E44" s="1" t="str">
        <f t="shared" si="1"/>
        <v>Away</v>
      </c>
      <c r="F44" s="3">
        <f t="shared" si="2"/>
        <v>5</v>
      </c>
      <c r="G44" s="3">
        <f t="shared" si="3"/>
        <v>4</v>
      </c>
      <c r="H44" s="3">
        <f t="shared" si="0"/>
        <v>9</v>
      </c>
      <c r="I44" s="3" t="str">
        <f t="shared" si="4"/>
        <v>W</v>
      </c>
    </row>
    <row r="45" spans="1:9" x14ac:dyDescent="0.25">
      <c r="A45" t="s">
        <v>91</v>
      </c>
      <c r="B45" t="s">
        <v>201</v>
      </c>
      <c r="C45" t="s">
        <v>92</v>
      </c>
      <c r="E45" s="1" t="str">
        <f t="shared" si="1"/>
        <v>Away</v>
      </c>
      <c r="F45" s="3">
        <f t="shared" si="2"/>
        <v>5</v>
      </c>
      <c r="G45" s="3">
        <f t="shared" si="3"/>
        <v>10</v>
      </c>
      <c r="H45" s="3">
        <f t="shared" si="0"/>
        <v>15</v>
      </c>
      <c r="I45" s="3" t="str">
        <f t="shared" si="4"/>
        <v>L</v>
      </c>
    </row>
    <row r="46" spans="1:9" x14ac:dyDescent="0.25">
      <c r="A46" t="s">
        <v>93</v>
      </c>
      <c r="B46" t="s">
        <v>222</v>
      </c>
      <c r="C46" t="s">
        <v>255</v>
      </c>
      <c r="E46" s="1" t="str">
        <f t="shared" si="1"/>
        <v>Home</v>
      </c>
      <c r="F46" s="3">
        <f t="shared" si="2"/>
        <v>4</v>
      </c>
      <c r="G46" s="3">
        <f t="shared" si="3"/>
        <v>10</v>
      </c>
      <c r="H46" s="3">
        <f t="shared" si="0"/>
        <v>14</v>
      </c>
      <c r="I46" s="3" t="str">
        <f t="shared" si="4"/>
        <v>L</v>
      </c>
    </row>
    <row r="47" spans="1:9" x14ac:dyDescent="0.25">
      <c r="A47" t="s">
        <v>96</v>
      </c>
      <c r="B47" t="s">
        <v>222</v>
      </c>
      <c r="C47" t="s">
        <v>256</v>
      </c>
      <c r="E47" s="1" t="str">
        <f t="shared" si="1"/>
        <v>Home</v>
      </c>
      <c r="F47" s="3">
        <f t="shared" si="2"/>
        <v>11</v>
      </c>
      <c r="G47" s="3">
        <f t="shared" si="3"/>
        <v>6</v>
      </c>
      <c r="H47" s="3">
        <f t="shared" si="0"/>
        <v>17</v>
      </c>
      <c r="I47" s="3" t="str">
        <f t="shared" si="4"/>
        <v>W</v>
      </c>
    </row>
    <row r="48" spans="1:9" x14ac:dyDescent="0.25">
      <c r="A48" t="s">
        <v>97</v>
      </c>
      <c r="B48" t="s">
        <v>225</v>
      </c>
      <c r="C48" t="s">
        <v>226</v>
      </c>
      <c r="E48" s="1" t="str">
        <f t="shared" si="1"/>
        <v>Home</v>
      </c>
      <c r="F48" s="3">
        <f t="shared" si="2"/>
        <v>3</v>
      </c>
      <c r="G48" s="3">
        <f t="shared" si="3"/>
        <v>2</v>
      </c>
      <c r="H48" s="3">
        <f t="shared" si="0"/>
        <v>5</v>
      </c>
      <c r="I48" s="3" t="str">
        <f t="shared" si="4"/>
        <v>W</v>
      </c>
    </row>
    <row r="49" spans="1:9" x14ac:dyDescent="0.25">
      <c r="A49" t="s">
        <v>100</v>
      </c>
      <c r="B49" t="s">
        <v>225</v>
      </c>
      <c r="C49" t="s">
        <v>257</v>
      </c>
      <c r="E49" s="1" t="str">
        <f t="shared" si="1"/>
        <v>Home</v>
      </c>
      <c r="F49" s="3">
        <f t="shared" si="2"/>
        <v>13</v>
      </c>
      <c r="G49" s="3">
        <f t="shared" si="3"/>
        <v>4</v>
      </c>
      <c r="H49" s="3">
        <f t="shared" si="0"/>
        <v>17</v>
      </c>
      <c r="I49" s="3" t="str">
        <f t="shared" si="4"/>
        <v>W</v>
      </c>
    </row>
    <row r="50" spans="1:9" x14ac:dyDescent="0.25">
      <c r="A50" t="s">
        <v>215</v>
      </c>
      <c r="B50" t="s">
        <v>258</v>
      </c>
      <c r="C50" t="s">
        <v>219</v>
      </c>
      <c r="E50" s="1" t="str">
        <f t="shared" si="1"/>
        <v>Home</v>
      </c>
      <c r="F50" s="3">
        <f t="shared" si="2"/>
        <v>0</v>
      </c>
      <c r="G50" s="3">
        <f t="shared" si="3"/>
        <v>2</v>
      </c>
      <c r="H50" s="3">
        <f t="shared" si="0"/>
        <v>2</v>
      </c>
      <c r="I50" s="3" t="str">
        <f t="shared" si="4"/>
        <v>L</v>
      </c>
    </row>
    <row r="51" spans="1:9" x14ac:dyDescent="0.25">
      <c r="A51" t="s">
        <v>102</v>
      </c>
      <c r="B51" t="s">
        <v>258</v>
      </c>
      <c r="C51" t="s">
        <v>259</v>
      </c>
      <c r="E51" s="1" t="str">
        <f t="shared" si="1"/>
        <v>Home</v>
      </c>
      <c r="F51" s="3">
        <f t="shared" si="2"/>
        <v>0</v>
      </c>
      <c r="G51" s="3">
        <f t="shared" si="3"/>
        <v>5</v>
      </c>
      <c r="H51" s="3">
        <f t="shared" si="0"/>
        <v>5</v>
      </c>
      <c r="I51" s="3" t="str">
        <f t="shared" si="4"/>
        <v>L</v>
      </c>
    </row>
    <row r="52" spans="1:9" x14ac:dyDescent="0.25">
      <c r="A52" t="s">
        <v>105</v>
      </c>
      <c r="B52" t="s">
        <v>258</v>
      </c>
      <c r="C52" t="s">
        <v>246</v>
      </c>
      <c r="E52" s="1" t="str">
        <f t="shared" si="1"/>
        <v>Home</v>
      </c>
      <c r="F52" s="3">
        <f t="shared" si="2"/>
        <v>4</v>
      </c>
      <c r="G52" s="3">
        <f t="shared" si="3"/>
        <v>6</v>
      </c>
      <c r="H52" s="3">
        <f t="shared" si="0"/>
        <v>10</v>
      </c>
      <c r="I52" s="3" t="str">
        <f t="shared" si="4"/>
        <v>L</v>
      </c>
    </row>
    <row r="53" spans="1:9" x14ac:dyDescent="0.25">
      <c r="A53" t="s">
        <v>107</v>
      </c>
      <c r="B53" t="s">
        <v>258</v>
      </c>
      <c r="C53" t="s">
        <v>260</v>
      </c>
      <c r="E53" s="1" t="str">
        <f t="shared" si="1"/>
        <v>Home</v>
      </c>
      <c r="F53" s="3">
        <f t="shared" si="2"/>
        <v>5</v>
      </c>
      <c r="G53" s="3">
        <f t="shared" si="3"/>
        <v>12</v>
      </c>
      <c r="H53" s="3">
        <f t="shared" si="0"/>
        <v>17</v>
      </c>
      <c r="I53" s="3" t="str">
        <f t="shared" si="4"/>
        <v>L</v>
      </c>
    </row>
    <row r="54" spans="1:9" x14ac:dyDescent="0.25">
      <c r="A54" t="s">
        <v>108</v>
      </c>
      <c r="B54" t="s">
        <v>210</v>
      </c>
      <c r="C54" t="s">
        <v>89</v>
      </c>
      <c r="E54" s="1" t="str">
        <f t="shared" si="1"/>
        <v>Away</v>
      </c>
      <c r="F54" s="3">
        <f t="shared" si="2"/>
        <v>1</v>
      </c>
      <c r="G54" s="3">
        <f t="shared" si="3"/>
        <v>6</v>
      </c>
      <c r="H54" s="3">
        <f t="shared" si="0"/>
        <v>7</v>
      </c>
      <c r="I54" s="3" t="str">
        <f t="shared" si="4"/>
        <v>L</v>
      </c>
    </row>
    <row r="55" spans="1:9" x14ac:dyDescent="0.25">
      <c r="A55" t="s">
        <v>110</v>
      </c>
      <c r="B55" t="s">
        <v>210</v>
      </c>
      <c r="C55" t="s">
        <v>128</v>
      </c>
      <c r="E55" s="1" t="str">
        <f t="shared" si="1"/>
        <v>Away</v>
      </c>
      <c r="F55" s="3">
        <f t="shared" si="2"/>
        <v>6</v>
      </c>
      <c r="G55" s="3">
        <f t="shared" si="3"/>
        <v>5</v>
      </c>
      <c r="H55" s="3">
        <f t="shared" si="0"/>
        <v>11</v>
      </c>
      <c r="I55" s="3" t="str">
        <f t="shared" si="4"/>
        <v>W</v>
      </c>
    </row>
    <row r="56" spans="1:9" x14ac:dyDescent="0.25">
      <c r="A56" t="s">
        <v>111</v>
      </c>
      <c r="B56" t="s">
        <v>192</v>
      </c>
      <c r="C56" t="s">
        <v>261</v>
      </c>
      <c r="E56" s="1" t="str">
        <f t="shared" si="1"/>
        <v>Away</v>
      </c>
      <c r="F56" s="3">
        <f t="shared" si="2"/>
        <v>7</v>
      </c>
      <c r="G56" s="3">
        <f t="shared" si="3"/>
        <v>16</v>
      </c>
      <c r="H56" s="3">
        <f t="shared" si="0"/>
        <v>23</v>
      </c>
      <c r="I56" s="3" t="str">
        <f t="shared" si="4"/>
        <v>L</v>
      </c>
    </row>
    <row r="57" spans="1:9" x14ac:dyDescent="0.25">
      <c r="A57" t="s">
        <v>112</v>
      </c>
      <c r="B57" t="s">
        <v>192</v>
      </c>
      <c r="C57" t="s">
        <v>262</v>
      </c>
      <c r="E57" s="1" t="str">
        <f t="shared" si="1"/>
        <v>Away</v>
      </c>
      <c r="F57" s="3">
        <f t="shared" si="2"/>
        <v>12</v>
      </c>
      <c r="G57" s="3">
        <f t="shared" si="3"/>
        <v>21</v>
      </c>
      <c r="H57" s="3">
        <f t="shared" si="0"/>
        <v>33</v>
      </c>
      <c r="I57" s="3" t="str">
        <f t="shared" si="4"/>
        <v>L</v>
      </c>
    </row>
    <row r="58" spans="1:9" x14ac:dyDescent="0.25">
      <c r="A58" t="s">
        <v>114</v>
      </c>
      <c r="B58" t="s">
        <v>190</v>
      </c>
      <c r="C58" t="s">
        <v>38</v>
      </c>
      <c r="E58" s="1" t="str">
        <f t="shared" si="1"/>
        <v>Away</v>
      </c>
      <c r="F58" s="3">
        <f t="shared" si="2"/>
        <v>3</v>
      </c>
      <c r="G58" s="3">
        <f t="shared" si="3"/>
        <v>5</v>
      </c>
      <c r="H58" s="3">
        <f t="shared" si="0"/>
        <v>8</v>
      </c>
      <c r="I58" s="3" t="str">
        <f t="shared" si="4"/>
        <v>L</v>
      </c>
    </row>
    <row r="59" spans="1:9" x14ac:dyDescent="0.25">
      <c r="A59" t="s">
        <v>117</v>
      </c>
      <c r="B59" t="s">
        <v>190</v>
      </c>
      <c r="C59" t="s">
        <v>240</v>
      </c>
      <c r="E59" s="1" t="str">
        <f t="shared" si="1"/>
        <v>Away</v>
      </c>
      <c r="F59" s="3">
        <f t="shared" si="2"/>
        <v>1</v>
      </c>
      <c r="G59" s="3">
        <f t="shared" si="3"/>
        <v>3</v>
      </c>
      <c r="H59" s="3">
        <f t="shared" si="0"/>
        <v>4</v>
      </c>
      <c r="I59" s="3" t="str">
        <f t="shared" si="4"/>
        <v>L</v>
      </c>
    </row>
    <row r="60" spans="1:9" x14ac:dyDescent="0.25">
      <c r="A60" t="s">
        <v>119</v>
      </c>
      <c r="B60" t="s">
        <v>263</v>
      </c>
      <c r="C60" t="s">
        <v>50</v>
      </c>
      <c r="E60" s="1" t="str">
        <f t="shared" si="1"/>
        <v>Home</v>
      </c>
      <c r="F60" s="3">
        <f t="shared" si="2"/>
        <v>3</v>
      </c>
      <c r="G60" s="3">
        <f t="shared" si="3"/>
        <v>4</v>
      </c>
      <c r="H60" s="3">
        <f t="shared" si="0"/>
        <v>7</v>
      </c>
      <c r="I60" s="3" t="str">
        <f t="shared" si="4"/>
        <v>L</v>
      </c>
    </row>
    <row r="61" spans="1:9" x14ac:dyDescent="0.25">
      <c r="A61" t="s">
        <v>122</v>
      </c>
      <c r="B61" t="s">
        <v>263</v>
      </c>
      <c r="C61" t="s">
        <v>264</v>
      </c>
      <c r="E61" s="1" t="str">
        <f t="shared" si="1"/>
        <v>Home</v>
      </c>
      <c r="F61" s="3">
        <f t="shared" si="2"/>
        <v>6</v>
      </c>
      <c r="G61" s="3">
        <f t="shared" si="3"/>
        <v>2</v>
      </c>
      <c r="H61" s="3">
        <f t="shared" si="0"/>
        <v>8</v>
      </c>
      <c r="I61" s="3" t="str">
        <f t="shared" si="4"/>
        <v>W</v>
      </c>
    </row>
    <row r="62" spans="1:9" x14ac:dyDescent="0.25">
      <c r="A62" t="s">
        <v>218</v>
      </c>
      <c r="B62" t="s">
        <v>263</v>
      </c>
      <c r="C62" t="s">
        <v>254</v>
      </c>
      <c r="E62" s="1" t="str">
        <f t="shared" si="1"/>
        <v>Home</v>
      </c>
      <c r="F62" s="3">
        <f t="shared" si="2"/>
        <v>5</v>
      </c>
      <c r="G62" s="3">
        <f t="shared" si="3"/>
        <v>4</v>
      </c>
      <c r="H62" s="3">
        <f t="shared" si="0"/>
        <v>9</v>
      </c>
      <c r="I62" s="3" t="str">
        <f t="shared" si="4"/>
        <v>W</v>
      </c>
    </row>
    <row r="63" spans="1:9" x14ac:dyDescent="0.25">
      <c r="A63" t="s">
        <v>123</v>
      </c>
      <c r="B63" t="s">
        <v>263</v>
      </c>
      <c r="C63" t="s">
        <v>265</v>
      </c>
      <c r="E63" s="1" t="str">
        <f t="shared" si="1"/>
        <v>Home</v>
      </c>
      <c r="F63" s="3">
        <f t="shared" si="2"/>
        <v>2</v>
      </c>
      <c r="G63" s="3">
        <f t="shared" si="3"/>
        <v>15</v>
      </c>
      <c r="H63" s="3">
        <f t="shared" si="0"/>
        <v>17</v>
      </c>
      <c r="I63" s="3" t="str">
        <f t="shared" si="4"/>
        <v>L</v>
      </c>
    </row>
    <row r="64" spans="1:9" x14ac:dyDescent="0.25">
      <c r="A64" t="s">
        <v>126</v>
      </c>
      <c r="B64" t="s">
        <v>250</v>
      </c>
      <c r="C64" t="s">
        <v>50</v>
      </c>
      <c r="E64" s="1" t="str">
        <f t="shared" si="1"/>
        <v>Home</v>
      </c>
      <c r="F64" s="3">
        <f t="shared" si="2"/>
        <v>3</v>
      </c>
      <c r="G64" s="3">
        <f t="shared" si="3"/>
        <v>4</v>
      </c>
      <c r="H64" s="3">
        <f t="shared" si="0"/>
        <v>7</v>
      </c>
      <c r="I64" s="3" t="str">
        <f t="shared" si="4"/>
        <v>L</v>
      </c>
    </row>
    <row r="65" spans="1:10" x14ac:dyDescent="0.25">
      <c r="A65" t="s">
        <v>126</v>
      </c>
      <c r="B65" t="s">
        <v>206</v>
      </c>
      <c r="C65" t="s">
        <v>246</v>
      </c>
      <c r="E65" s="1" t="str">
        <f t="shared" si="1"/>
        <v>Away</v>
      </c>
      <c r="F65" s="3">
        <f t="shared" si="2"/>
        <v>4</v>
      </c>
      <c r="G65" s="3">
        <f t="shared" si="3"/>
        <v>6</v>
      </c>
      <c r="H65" s="3">
        <f t="shared" si="0"/>
        <v>10</v>
      </c>
      <c r="I65" s="3" t="str">
        <f t="shared" si="4"/>
        <v>L</v>
      </c>
    </row>
    <row r="66" spans="1:10" x14ac:dyDescent="0.25">
      <c r="A66" t="s">
        <v>127</v>
      </c>
      <c r="B66" t="s">
        <v>206</v>
      </c>
      <c r="C66" t="s">
        <v>90</v>
      </c>
      <c r="E66" s="1" t="str">
        <f t="shared" si="1"/>
        <v>Away</v>
      </c>
      <c r="F66" s="3">
        <f t="shared" si="2"/>
        <v>0</v>
      </c>
      <c r="G66" s="3">
        <f t="shared" si="3"/>
        <v>8</v>
      </c>
      <c r="H66" s="3">
        <f t="shared" si="0"/>
        <v>8</v>
      </c>
      <c r="I66" s="3" t="str">
        <f t="shared" si="4"/>
        <v>L</v>
      </c>
    </row>
    <row r="67" spans="1:10" x14ac:dyDescent="0.25">
      <c r="A67" t="s">
        <v>129</v>
      </c>
      <c r="B67" t="s">
        <v>245</v>
      </c>
      <c r="C67" t="s">
        <v>266</v>
      </c>
      <c r="E67" s="1" t="str">
        <f t="shared" si="1"/>
        <v>Home</v>
      </c>
      <c r="F67" s="3">
        <f t="shared" si="2"/>
        <v>8</v>
      </c>
      <c r="G67" s="3">
        <f t="shared" si="3"/>
        <v>10</v>
      </c>
      <c r="H67" s="3">
        <f t="shared" ref="H67:H70" si="6">F67+G67</f>
        <v>18</v>
      </c>
      <c r="I67" s="3" t="str">
        <f t="shared" si="4"/>
        <v>L</v>
      </c>
    </row>
    <row r="68" spans="1:10" x14ac:dyDescent="0.25">
      <c r="A68" t="s">
        <v>131</v>
      </c>
      <c r="B68" t="s">
        <v>245</v>
      </c>
      <c r="C68" t="s">
        <v>254</v>
      </c>
      <c r="E68" s="1" t="str">
        <f t="shared" ref="E68:E70" si="7">IF(LEFT(B68,1)="@","Away","Home")</f>
        <v>Home</v>
      </c>
      <c r="F68" s="3">
        <f t="shared" ref="F68:F70" si="8">_xlfn.NUMBERVALUE(MID(LEFT(C68,FIND("-",C68)-1),FIND(" ",C68)+1,LEN(C68)))</f>
        <v>5</v>
      </c>
      <c r="G68" s="3">
        <f t="shared" ref="G68:G70" si="9">_xlfn.NUMBERVALUE(RIGHT(C68,LEN(C68)-FIND("-",C68)))</f>
        <v>4</v>
      </c>
      <c r="H68" s="3">
        <f t="shared" si="6"/>
        <v>9</v>
      </c>
      <c r="I68" s="3" t="str">
        <f t="shared" ref="I68:I70" si="10">LEFT(C68,1)</f>
        <v>W</v>
      </c>
    </row>
    <row r="69" spans="1:10" x14ac:dyDescent="0.25">
      <c r="A69" t="s">
        <v>133</v>
      </c>
      <c r="B69" t="s">
        <v>198</v>
      </c>
      <c r="C69" t="s">
        <v>267</v>
      </c>
      <c r="E69" s="1" t="str">
        <f t="shared" si="7"/>
        <v>Away</v>
      </c>
      <c r="F69" s="3">
        <f t="shared" si="8"/>
        <v>8</v>
      </c>
      <c r="G69" s="3">
        <f t="shared" si="9"/>
        <v>7</v>
      </c>
      <c r="H69" s="3">
        <f t="shared" si="6"/>
        <v>15</v>
      </c>
      <c r="I69" s="3" t="str">
        <f t="shared" si="10"/>
        <v>W</v>
      </c>
    </row>
    <row r="70" spans="1:10" x14ac:dyDescent="0.25">
      <c r="A70" t="s">
        <v>134</v>
      </c>
      <c r="B70" t="s">
        <v>198</v>
      </c>
      <c r="C70" t="s">
        <v>109</v>
      </c>
      <c r="E70" s="1" t="str">
        <f t="shared" si="7"/>
        <v>Away</v>
      </c>
      <c r="F70" s="3">
        <f t="shared" si="8"/>
        <v>3</v>
      </c>
      <c r="G70" s="3">
        <f t="shared" si="9"/>
        <v>13</v>
      </c>
      <c r="H70" s="3">
        <f t="shared" si="6"/>
        <v>16</v>
      </c>
      <c r="I70" s="3" t="str">
        <f t="shared" si="10"/>
        <v>L</v>
      </c>
    </row>
    <row r="71" spans="1:10" x14ac:dyDescent="0.25">
      <c r="E71" s="1"/>
      <c r="F71" s="3"/>
      <c r="G71" s="3"/>
      <c r="H71" s="3"/>
      <c r="I71" s="3"/>
    </row>
    <row r="72" spans="1:10" x14ac:dyDescent="0.25">
      <c r="A72" t="s">
        <v>1</v>
      </c>
      <c r="B72" t="s">
        <v>2</v>
      </c>
      <c r="C72" t="s">
        <v>469</v>
      </c>
      <c r="D72" t="s">
        <v>135</v>
      </c>
      <c r="E72" s="1" t="s">
        <v>136</v>
      </c>
      <c r="F72" s="3" t="s">
        <v>137</v>
      </c>
      <c r="G72" s="3" t="s">
        <v>138</v>
      </c>
      <c r="H72" s="3" t="s">
        <v>3</v>
      </c>
      <c r="I72" t="s">
        <v>494</v>
      </c>
      <c r="J72" s="3" t="s">
        <v>495</v>
      </c>
    </row>
    <row r="73" spans="1:10" x14ac:dyDescent="0.25">
      <c r="A73" t="s">
        <v>450</v>
      </c>
      <c r="B73" t="s">
        <v>263</v>
      </c>
      <c r="C73" t="s">
        <v>351</v>
      </c>
      <c r="D73" s="1" t="str">
        <f>IF(LEFT(Table3[[#This Row],[Opponent]],1)="@","Away","Home")</f>
        <v>Home</v>
      </c>
      <c r="E73" s="3">
        <f>_xlfn.NUMBERVALUE(MID(LEFT(Table3[[#This Row],[Score]],FIND("-",Table3[[#This Row],[Score]])-1),FIND(" ",Table3[[#This Row],[Score]])+1,LEN(Table3[[#This Row],[Score]])))</f>
        <v>2</v>
      </c>
      <c r="F73" s="3">
        <f>_xlfn.NUMBERVALUE(RIGHT(Table3[[#This Row],[Score]],LEN(Table3[[#This Row],[Score]])-FIND("-",Table3[[#This Row],[Score]])))</f>
        <v>1</v>
      </c>
      <c r="G73" s="3">
        <f t="shared" ref="G73:G93" si="11">E73+F73</f>
        <v>3</v>
      </c>
      <c r="H73" s="3" t="str">
        <f>LEFT(Table3[[#This Row],[Score]],1)</f>
        <v>W</v>
      </c>
      <c r="I73" s="17" t="str">
        <f>VLOOKUP(IF(Table3[[#This Row],[At]]="Home",Table3[[#This Row],[Opponent]],RIGHT(Table3[[#This Row],[Opponent]],LEN(Table3[[#This Row],[Opponent]])-1)),CHOOSE({1,2},[1]StandingsRAW!$J$1:$J$22,[1]StandingsRAW!$L$1:$L$22),2,FALSE)</f>
        <v>ROC</v>
      </c>
      <c r="J73" s="3">
        <f>VLOOKUP(Table3[[#This Row],[OPP]],Raw!$L$2:$S$23,7,FALSE)-Raw!$U$2</f>
        <v>-0.20920240606202639</v>
      </c>
    </row>
    <row r="74" spans="1:10" x14ac:dyDescent="0.25">
      <c r="A74" t="s">
        <v>451</v>
      </c>
      <c r="B74" t="s">
        <v>263</v>
      </c>
      <c r="C74" t="s">
        <v>128</v>
      </c>
      <c r="D74" s="1" t="str">
        <f>IF(LEFT(Table3[[#This Row],[Opponent]],1)="@","Away","Home")</f>
        <v>Home</v>
      </c>
      <c r="E74" s="3">
        <f>_xlfn.NUMBERVALUE(MID(LEFT(Table3[[#This Row],[Score]],FIND("-",Table3[[#This Row],[Score]])-1),FIND(" ",Table3[[#This Row],[Score]])+1,LEN(Table3[[#This Row],[Score]])))</f>
        <v>6</v>
      </c>
      <c r="F74" s="3">
        <f>_xlfn.NUMBERVALUE(RIGHT(Table3[[#This Row],[Score]],LEN(Table3[[#This Row],[Score]])-FIND("-",Table3[[#This Row],[Score]])))</f>
        <v>5</v>
      </c>
      <c r="G74" s="3">
        <f t="shared" si="11"/>
        <v>11</v>
      </c>
      <c r="H74" s="3" t="str">
        <f>LEFT(Table3[[#This Row],[Score]],1)</f>
        <v>W</v>
      </c>
      <c r="I74" s="17" t="str">
        <f>VLOOKUP(IF(Table3[[#This Row],[At]]="Home",Table3[[#This Row],[Opponent]],RIGHT(Table3[[#This Row],[Opponent]],LEN(Table3[[#This Row],[Opponent]])-1)),CHOOSE({1,2},[1]StandingsRAW!$J$1:$J$22,[1]StandingsRAW!$L$1:$L$22),2,FALSE)</f>
        <v>ROC</v>
      </c>
      <c r="J74" s="3">
        <f>VLOOKUP(Table3[[#This Row],[OPP]],Raw!$L$2:$S$23,7,FALSE)-Raw!$U$2</f>
        <v>-0.20920240606202639</v>
      </c>
    </row>
    <row r="75" spans="1:10" x14ac:dyDescent="0.25">
      <c r="A75" t="s">
        <v>453</v>
      </c>
      <c r="B75" t="s">
        <v>263</v>
      </c>
      <c r="C75" t="s">
        <v>83</v>
      </c>
      <c r="D75" s="1" t="str">
        <f>IF(LEFT(Table3[[#This Row],[Opponent]],1)="@","Away","Home")</f>
        <v>Home</v>
      </c>
      <c r="E75" s="3">
        <f>_xlfn.NUMBERVALUE(MID(LEFT(Table3[[#This Row],[Score]],FIND("-",Table3[[#This Row],[Score]])-1),FIND(" ",Table3[[#This Row],[Score]])+1,LEN(Table3[[#This Row],[Score]])))</f>
        <v>4</v>
      </c>
      <c r="F75" s="3">
        <f>_xlfn.NUMBERVALUE(RIGHT(Table3[[#This Row],[Score]],LEN(Table3[[#This Row],[Score]])-FIND("-",Table3[[#This Row],[Score]])))</f>
        <v>7</v>
      </c>
      <c r="G75" s="3">
        <f t="shared" si="11"/>
        <v>11</v>
      </c>
      <c r="H75" s="3" t="str">
        <f>LEFT(Table3[[#This Row],[Score]],1)</f>
        <v>L</v>
      </c>
      <c r="I75" s="17" t="str">
        <f>VLOOKUP(IF(Table3[[#This Row],[At]]="Home",Table3[[#This Row],[Opponent]],RIGHT(Table3[[#This Row],[Opponent]],LEN(Table3[[#This Row],[Opponent]])-1)),CHOOSE({1,2},[1]StandingsRAW!$J$1:$J$22,[1]StandingsRAW!$L$1:$L$22),2,FALSE)</f>
        <v>ROC</v>
      </c>
      <c r="J75" s="3">
        <f>VLOOKUP(Table3[[#This Row],[OPP]],Raw!$L$2:$S$23,7,FALSE)-Raw!$U$2</f>
        <v>-0.20920240606202639</v>
      </c>
    </row>
    <row r="76" spans="1:10" x14ac:dyDescent="0.25">
      <c r="A76" t="s">
        <v>454</v>
      </c>
      <c r="B76" t="s">
        <v>263</v>
      </c>
      <c r="C76" t="s">
        <v>59</v>
      </c>
      <c r="D76" s="1" t="str">
        <f>IF(LEFT(Table3[[#This Row],[Opponent]],1)="@","Away","Home")</f>
        <v>Home</v>
      </c>
      <c r="E76" s="3">
        <f>_xlfn.NUMBERVALUE(MID(LEFT(Table3[[#This Row],[Score]],FIND("-",Table3[[#This Row],[Score]])-1),FIND(" ",Table3[[#This Row],[Score]])+1,LEN(Table3[[#This Row],[Score]])))</f>
        <v>11</v>
      </c>
      <c r="F76" s="3">
        <f>_xlfn.NUMBERVALUE(RIGHT(Table3[[#This Row],[Score]],LEN(Table3[[#This Row],[Score]])-FIND("-",Table3[[#This Row],[Score]])))</f>
        <v>7</v>
      </c>
      <c r="G76" s="3">
        <f t="shared" si="11"/>
        <v>18</v>
      </c>
      <c r="H76" s="3" t="str">
        <f>LEFT(Table3[[#This Row],[Score]],1)</f>
        <v>W</v>
      </c>
      <c r="I76" s="17" t="str">
        <f>VLOOKUP(IF(Table3[[#This Row],[At]]="Home",Table3[[#This Row],[Opponent]],RIGHT(Table3[[#This Row],[Opponent]],LEN(Table3[[#This Row],[Opponent]])-1)),CHOOSE({1,2},[1]StandingsRAW!$J$1:$J$22,[1]StandingsRAW!$L$1:$L$22),2,FALSE)</f>
        <v>ROC</v>
      </c>
      <c r="J76" s="3">
        <f>VLOOKUP(Table3[[#This Row],[OPP]],Raw!$L$2:$S$23,7,FALSE)-Raw!$U$2</f>
        <v>-0.20920240606202639</v>
      </c>
    </row>
    <row r="77" spans="1:10" x14ac:dyDescent="0.25">
      <c r="A77" t="s">
        <v>455</v>
      </c>
      <c r="B77" t="s">
        <v>225</v>
      </c>
      <c r="C77" t="s">
        <v>251</v>
      </c>
      <c r="D77" s="1" t="str">
        <f>IF(LEFT(Table3[[#This Row],[Opponent]],1)="@","Away","Home")</f>
        <v>Home</v>
      </c>
      <c r="E77" s="3">
        <f>_xlfn.NUMBERVALUE(MID(LEFT(Table3[[#This Row],[Score]],FIND("-",Table3[[#This Row],[Score]])-1),FIND(" ",Table3[[#This Row],[Score]])+1,LEN(Table3[[#This Row],[Score]])))</f>
        <v>2</v>
      </c>
      <c r="F77" s="3">
        <f>_xlfn.NUMBERVALUE(RIGHT(Table3[[#This Row],[Score]],LEN(Table3[[#This Row],[Score]])-FIND("-",Table3[[#This Row],[Score]])))</f>
        <v>7</v>
      </c>
      <c r="G77" s="3">
        <f t="shared" si="11"/>
        <v>9</v>
      </c>
      <c r="H77" s="3" t="str">
        <f>LEFT(Table3[[#This Row],[Score]],1)</f>
        <v>L</v>
      </c>
      <c r="I77" s="17" t="str">
        <f>VLOOKUP(IF(Table3[[#This Row],[At]]="Home",Table3[[#This Row],[Opponent]],RIGHT(Table3[[#This Row],[Opponent]],LEN(Table3[[#This Row],[Opponent]])-1)),CHOOSE({1,2},[1]StandingsRAW!$J$1:$J$22,[1]StandingsRAW!$L$1:$L$22),2,FALSE)</f>
        <v>DUL</v>
      </c>
      <c r="J77" s="3">
        <f>VLOOKUP(Table3[[#This Row],[OPP]],Raw!$L$2:$S$23,7,FALSE)-Raw!$U$2</f>
        <v>-0.37645438147905891</v>
      </c>
    </row>
    <row r="78" spans="1:10" x14ac:dyDescent="0.25">
      <c r="A78" t="s">
        <v>456</v>
      </c>
      <c r="B78" t="s">
        <v>225</v>
      </c>
      <c r="C78" t="s">
        <v>212</v>
      </c>
      <c r="D78" s="1" t="str">
        <f>IF(LEFT(Table3[[#This Row],[Opponent]],1)="@","Away","Home")</f>
        <v>Home</v>
      </c>
      <c r="E78" s="3">
        <f>_xlfn.NUMBERVALUE(MID(LEFT(Table3[[#This Row],[Score]],FIND("-",Table3[[#This Row],[Score]])-1),FIND(" ",Table3[[#This Row],[Score]])+1,LEN(Table3[[#This Row],[Score]])))</f>
        <v>6</v>
      </c>
      <c r="F78" s="3">
        <f>_xlfn.NUMBERVALUE(RIGHT(Table3[[#This Row],[Score]],LEN(Table3[[#This Row],[Score]])-FIND("-",Table3[[#This Row],[Score]])))</f>
        <v>10</v>
      </c>
      <c r="G78" s="3">
        <f t="shared" si="11"/>
        <v>16</v>
      </c>
      <c r="H78" s="3" t="str">
        <f>LEFT(Table3[[#This Row],[Score]],1)</f>
        <v>L</v>
      </c>
      <c r="I78" s="17" t="str">
        <f>VLOOKUP(IF(Table3[[#This Row],[At]]="Home",Table3[[#This Row],[Opponent]],RIGHT(Table3[[#This Row],[Opponent]],LEN(Table3[[#This Row],[Opponent]])-1)),CHOOSE({1,2},[1]StandingsRAW!$J$1:$J$22,[1]StandingsRAW!$L$1:$L$22),2,FALSE)</f>
        <v>DUL</v>
      </c>
      <c r="J78" s="3">
        <f>VLOOKUP(Table3[[#This Row],[OPP]],Raw!$L$2:$S$23,7,FALSE)-Raw!$U$2</f>
        <v>-0.37645438147905891</v>
      </c>
    </row>
    <row r="79" spans="1:10" x14ac:dyDescent="0.25">
      <c r="A79" t="s">
        <v>470</v>
      </c>
      <c r="B79" t="s">
        <v>201</v>
      </c>
      <c r="C79" t="s">
        <v>306</v>
      </c>
      <c r="D79" s="1" t="str">
        <f>IF(LEFT(Table3[[#This Row],[Opponent]],1)="@","Away","Home")</f>
        <v>Away</v>
      </c>
      <c r="E79" s="3">
        <f>_xlfn.NUMBERVALUE(MID(LEFT(Table3[[#This Row],[Score]],FIND("-",Table3[[#This Row],[Score]])-1),FIND(" ",Table3[[#This Row],[Score]])+1,LEN(Table3[[#This Row],[Score]])))</f>
        <v>1</v>
      </c>
      <c r="F79" s="3">
        <f>_xlfn.NUMBERVALUE(RIGHT(Table3[[#This Row],[Score]],LEN(Table3[[#This Row],[Score]])-FIND("-",Table3[[#This Row],[Score]])))</f>
        <v>10</v>
      </c>
      <c r="G79" s="3">
        <f t="shared" si="11"/>
        <v>11</v>
      </c>
      <c r="H79" s="3" t="str">
        <f>LEFT(Table3[[#This Row],[Score]],1)</f>
        <v>L</v>
      </c>
      <c r="I79" s="17" t="str">
        <f>VLOOKUP(IF(Table3[[#This Row],[At]]="Home",Table3[[#This Row],[Opponent]],RIGHT(Table3[[#This Row],[Opponent]],LEN(Table3[[#This Row],[Opponent]])-1)),CHOOSE({1,2},[1]StandingsRAW!$J$1:$J$22,[1]StandingsRAW!$L$1:$L$22),2,FALSE)</f>
        <v>STC</v>
      </c>
      <c r="J79" s="3">
        <f>VLOOKUP(Table3[[#This Row],[OPP]],Raw!$L$2:$S$23,7,FALSE)-Raw!$U$2</f>
        <v>2.5702093586438561</v>
      </c>
    </row>
    <row r="80" spans="1:10" x14ac:dyDescent="0.25">
      <c r="A80" t="s">
        <v>457</v>
      </c>
      <c r="B80" t="s">
        <v>201</v>
      </c>
      <c r="C80" t="s">
        <v>240</v>
      </c>
      <c r="D80" s="1" t="str">
        <f>IF(LEFT(Table3[[#This Row],[Opponent]],1)="@","Away","Home")</f>
        <v>Away</v>
      </c>
      <c r="E80" s="3">
        <f>_xlfn.NUMBERVALUE(MID(LEFT(Table3[[#This Row],[Score]],FIND("-",Table3[[#This Row],[Score]])-1),FIND(" ",Table3[[#This Row],[Score]])+1,LEN(Table3[[#This Row],[Score]])))</f>
        <v>1</v>
      </c>
      <c r="F80" s="3">
        <f>_xlfn.NUMBERVALUE(RIGHT(Table3[[#This Row],[Score]],LEN(Table3[[#This Row],[Score]])-FIND("-",Table3[[#This Row],[Score]])))</f>
        <v>3</v>
      </c>
      <c r="G80" s="3">
        <f t="shared" si="11"/>
        <v>4</v>
      </c>
      <c r="H80" s="3" t="str">
        <f>LEFT(Table3[[#This Row],[Score]],1)</f>
        <v>L</v>
      </c>
      <c r="I80" s="17" t="str">
        <f>VLOOKUP(IF(Table3[[#This Row],[At]]="Home",Table3[[#This Row],[Opponent]],RIGHT(Table3[[#This Row],[Opponent]],LEN(Table3[[#This Row],[Opponent]])-1)),CHOOSE({1,2},[1]StandingsRAW!$J$1:$J$22,[1]StandingsRAW!$L$1:$L$22),2,FALSE)</f>
        <v>STC</v>
      </c>
      <c r="J80" s="3">
        <f>VLOOKUP(Table3[[#This Row],[OPP]],Raw!$L$2:$S$23,7,FALSE)-Raw!$U$2</f>
        <v>2.5702093586438561</v>
      </c>
    </row>
    <row r="81" spans="1:10" x14ac:dyDescent="0.25">
      <c r="A81" t="s">
        <v>458</v>
      </c>
      <c r="B81" t="s">
        <v>231</v>
      </c>
      <c r="C81" t="s">
        <v>249</v>
      </c>
      <c r="D81" s="1" t="str">
        <f>IF(LEFT(Table3[[#This Row],[Opponent]],1)="@","Away","Home")</f>
        <v>Home</v>
      </c>
      <c r="E81" s="3">
        <f>_xlfn.NUMBERVALUE(MID(LEFT(Table3[[#This Row],[Score]],FIND("-",Table3[[#This Row],[Score]])-1),FIND(" ",Table3[[#This Row],[Score]])+1,LEN(Table3[[#This Row],[Score]])))</f>
        <v>9</v>
      </c>
      <c r="F81" s="3">
        <f>_xlfn.NUMBERVALUE(RIGHT(Table3[[#This Row],[Score]],LEN(Table3[[#This Row],[Score]])-FIND("-",Table3[[#This Row],[Score]])))</f>
        <v>11</v>
      </c>
      <c r="G81" s="3">
        <f t="shared" si="11"/>
        <v>20</v>
      </c>
      <c r="H81" s="3" t="str">
        <f>LEFT(Table3[[#This Row],[Score]],1)</f>
        <v>L</v>
      </c>
      <c r="I81" s="17" t="str">
        <f>VLOOKUP(IF(Table3[[#This Row],[At]]="Home",Table3[[#This Row],[Opponent]],RIGHT(Table3[[#This Row],[Opponent]],LEN(Table3[[#This Row],[Opponent]])-1)),CHOOSE({1,2},[1]StandingsRAW!$J$1:$J$22,[1]StandingsRAW!$L$1:$L$22),2,FALSE)</f>
        <v>LAC</v>
      </c>
      <c r="J81" s="3">
        <f>VLOOKUP(Table3[[#This Row],[OPP]],Raw!$L$2:$S$23,7,FALSE)-Raw!$U$2</f>
        <v>-0.25332005312084993</v>
      </c>
    </row>
    <row r="82" spans="1:10" x14ac:dyDescent="0.25">
      <c r="A82" t="s">
        <v>459</v>
      </c>
      <c r="B82" t="s">
        <v>231</v>
      </c>
      <c r="C82" t="s">
        <v>327</v>
      </c>
      <c r="D82" s="1" t="str">
        <f>IF(LEFT(Table3[[#This Row],[Opponent]],1)="@","Away","Home")</f>
        <v>Home</v>
      </c>
      <c r="E82" s="3">
        <f>_xlfn.NUMBERVALUE(MID(LEFT(Table3[[#This Row],[Score]],FIND("-",Table3[[#This Row],[Score]])-1),FIND(" ",Table3[[#This Row],[Score]])+1,LEN(Table3[[#This Row],[Score]])))</f>
        <v>9</v>
      </c>
      <c r="F82" s="3">
        <f>_xlfn.NUMBERVALUE(RIGHT(Table3[[#This Row],[Score]],LEN(Table3[[#This Row],[Score]])-FIND("-",Table3[[#This Row],[Score]])))</f>
        <v>7</v>
      </c>
      <c r="G82" s="3">
        <f t="shared" si="11"/>
        <v>16</v>
      </c>
      <c r="H82" s="3" t="str">
        <f>LEFT(Table3[[#This Row],[Score]],1)</f>
        <v>W</v>
      </c>
      <c r="I82" s="17" t="str">
        <f>VLOOKUP(IF(Table3[[#This Row],[At]]="Home",Table3[[#This Row],[Opponent]],RIGHT(Table3[[#This Row],[Opponent]],LEN(Table3[[#This Row],[Opponent]])-1)),CHOOSE({1,2},[1]StandingsRAW!$J$1:$J$22,[1]StandingsRAW!$L$1:$L$22),2,FALSE)</f>
        <v>LAC</v>
      </c>
      <c r="J82" s="3">
        <f>VLOOKUP(Table3[[#This Row],[OPP]],Raw!$L$2:$S$23,7,FALSE)-Raw!$U$2</f>
        <v>-0.25332005312084993</v>
      </c>
    </row>
    <row r="83" spans="1:10" x14ac:dyDescent="0.25">
      <c r="A83" t="s">
        <v>460</v>
      </c>
      <c r="B83" t="s">
        <v>231</v>
      </c>
      <c r="C83" t="s">
        <v>220</v>
      </c>
      <c r="D83" s="1" t="str">
        <f>IF(LEFT(Table3[[#This Row],[Opponent]],1)="@","Away","Home")</f>
        <v>Home</v>
      </c>
      <c r="E83" s="3">
        <f>_xlfn.NUMBERVALUE(MID(LEFT(Table3[[#This Row],[Score]],FIND("-",Table3[[#This Row],[Score]])-1),FIND(" ",Table3[[#This Row],[Score]])+1,LEN(Table3[[#This Row],[Score]])))</f>
        <v>12</v>
      </c>
      <c r="F83" s="3">
        <f>_xlfn.NUMBERVALUE(RIGHT(Table3[[#This Row],[Score]],LEN(Table3[[#This Row],[Score]])-FIND("-",Table3[[#This Row],[Score]])))</f>
        <v>8</v>
      </c>
      <c r="G83" s="3">
        <f t="shared" si="11"/>
        <v>20</v>
      </c>
      <c r="H83" s="3" t="str">
        <f>LEFT(Table3[[#This Row],[Score]],1)</f>
        <v>W</v>
      </c>
      <c r="I83" s="17" t="str">
        <f>VLOOKUP(IF(Table3[[#This Row],[At]]="Home",Table3[[#This Row],[Opponent]],RIGHT(Table3[[#This Row],[Opponent]],LEN(Table3[[#This Row],[Opponent]])-1)),CHOOSE({1,2},[1]StandingsRAW!$J$1:$J$22,[1]StandingsRAW!$L$1:$L$22),2,FALSE)</f>
        <v>LAC</v>
      </c>
      <c r="J83" s="3">
        <f>VLOOKUP(Table3[[#This Row],[OPP]],Raw!$L$2:$S$23,7,FALSE)-Raw!$U$2</f>
        <v>-0.25332005312084993</v>
      </c>
    </row>
    <row r="84" spans="1:10" x14ac:dyDescent="0.25">
      <c r="A84" t="s">
        <v>471</v>
      </c>
      <c r="B84" t="s">
        <v>231</v>
      </c>
      <c r="C84" t="s">
        <v>90</v>
      </c>
      <c r="D84" s="1" t="str">
        <f>IF(LEFT(Table3[[#This Row],[Opponent]],1)="@","Away","Home")</f>
        <v>Home</v>
      </c>
      <c r="E84" s="3">
        <f>_xlfn.NUMBERVALUE(MID(LEFT(Table3[[#This Row],[Score]],FIND("-",Table3[[#This Row],[Score]])-1),FIND(" ",Table3[[#This Row],[Score]])+1,LEN(Table3[[#This Row],[Score]])))</f>
        <v>0</v>
      </c>
      <c r="F84" s="3">
        <f>_xlfn.NUMBERVALUE(RIGHT(Table3[[#This Row],[Score]],LEN(Table3[[#This Row],[Score]])-FIND("-",Table3[[#This Row],[Score]])))</f>
        <v>8</v>
      </c>
      <c r="G84" s="3">
        <f t="shared" si="11"/>
        <v>8</v>
      </c>
      <c r="H84" s="3" t="str">
        <f>LEFT(Table3[[#This Row],[Score]],1)</f>
        <v>L</v>
      </c>
      <c r="I84" s="17" t="str">
        <f>VLOOKUP(IF(Table3[[#This Row],[At]]="Home",Table3[[#This Row],[Opponent]],RIGHT(Table3[[#This Row],[Opponent]],LEN(Table3[[#This Row],[Opponent]])-1)),CHOOSE({1,2},[1]StandingsRAW!$J$1:$J$22,[1]StandingsRAW!$L$1:$L$22),2,FALSE)</f>
        <v>LAC</v>
      </c>
      <c r="J84" s="3">
        <f>VLOOKUP(Table3[[#This Row],[OPP]],Raw!$L$2:$S$23,7,FALSE)-Raw!$U$2</f>
        <v>-0.25332005312084993</v>
      </c>
    </row>
    <row r="85" spans="1:10" x14ac:dyDescent="0.25">
      <c r="A85" t="s">
        <v>461</v>
      </c>
      <c r="B85" t="s">
        <v>194</v>
      </c>
      <c r="C85" t="s">
        <v>322</v>
      </c>
      <c r="D85" s="1" t="str">
        <f>IF(LEFT(Table3[[#This Row],[Opponent]],1)="@","Away","Home")</f>
        <v>Away</v>
      </c>
      <c r="E85" s="3">
        <f>_xlfn.NUMBERVALUE(MID(LEFT(Table3[[#This Row],[Score]],FIND("-",Table3[[#This Row],[Score]])-1),FIND(" ",Table3[[#This Row],[Score]])+1,LEN(Table3[[#This Row],[Score]])))</f>
        <v>6</v>
      </c>
      <c r="F85" s="3">
        <f>_xlfn.NUMBERVALUE(RIGHT(Table3[[#This Row],[Score]],LEN(Table3[[#This Row],[Score]])-FIND("-",Table3[[#This Row],[Score]])))</f>
        <v>7</v>
      </c>
      <c r="G85" s="3">
        <f t="shared" si="11"/>
        <v>13</v>
      </c>
      <c r="H85" s="3" t="str">
        <f>LEFT(Table3[[#This Row],[Score]],1)</f>
        <v>L</v>
      </c>
      <c r="I85" s="17" t="str">
        <f>VLOOKUP(IF(Table3[[#This Row],[At]]="Home",Table3[[#This Row],[Opponent]],RIGHT(Table3[[#This Row],[Opponent]],LEN(Table3[[#This Row],[Opponent]])-1)),CHOOSE({1,2},[1]StandingsRAW!$J$1:$J$22,[1]StandingsRAW!$L$1:$L$22),2,FALSE)</f>
        <v>EC</v>
      </c>
      <c r="J85" s="3">
        <f>VLOOKUP(Table3[[#This Row],[OPP]],Raw!$L$2:$S$23,7,FALSE)-Raw!$U$2</f>
        <v>1.1143270057026795</v>
      </c>
    </row>
    <row r="86" spans="1:10" x14ac:dyDescent="0.25">
      <c r="A86" t="s">
        <v>462</v>
      </c>
      <c r="B86" t="s">
        <v>194</v>
      </c>
      <c r="C86" t="s">
        <v>36</v>
      </c>
      <c r="D86" s="1" t="str">
        <f>IF(LEFT(Table3[[#This Row],[Opponent]],1)="@","Away","Home")</f>
        <v>Away</v>
      </c>
      <c r="E86" s="3">
        <f>_xlfn.NUMBERVALUE(MID(LEFT(Table3[[#This Row],[Score]],FIND("-",Table3[[#This Row],[Score]])-1),FIND(" ",Table3[[#This Row],[Score]])+1,LEN(Table3[[#This Row],[Score]])))</f>
        <v>1</v>
      </c>
      <c r="F86" s="3">
        <f>_xlfn.NUMBERVALUE(RIGHT(Table3[[#This Row],[Score]],LEN(Table3[[#This Row],[Score]])-FIND("-",Table3[[#This Row],[Score]])))</f>
        <v>5</v>
      </c>
      <c r="G86" s="3">
        <f t="shared" si="11"/>
        <v>6</v>
      </c>
      <c r="H86" s="3" t="str">
        <f>LEFT(Table3[[#This Row],[Score]],1)</f>
        <v>L</v>
      </c>
      <c r="I86" s="17" t="str">
        <f>VLOOKUP(IF(Table3[[#This Row],[At]]="Home",Table3[[#This Row],[Opponent]],RIGHT(Table3[[#This Row],[Opponent]],LEN(Table3[[#This Row],[Opponent]])-1)),CHOOSE({1,2},[1]StandingsRAW!$J$1:$J$22,[1]StandingsRAW!$L$1:$L$22),2,FALSE)</f>
        <v>EC</v>
      </c>
      <c r="J86" s="3">
        <f>VLOOKUP(Table3[[#This Row],[OPP]],Raw!$L$2:$S$23,7,FALSE)-Raw!$U$2</f>
        <v>1.1143270057026795</v>
      </c>
    </row>
    <row r="87" spans="1:10" x14ac:dyDescent="0.25">
      <c r="A87" t="s">
        <v>463</v>
      </c>
      <c r="B87" t="s">
        <v>192</v>
      </c>
      <c r="C87" t="s">
        <v>48</v>
      </c>
      <c r="D87" s="1" t="str">
        <f>IF(LEFT(Table3[[#This Row],[Opponent]],1)="@","Away","Home")</f>
        <v>Away</v>
      </c>
      <c r="E87" s="3">
        <f>_xlfn.NUMBERVALUE(MID(LEFT(Table3[[#This Row],[Score]],FIND("-",Table3[[#This Row],[Score]])-1),FIND(" ",Table3[[#This Row],[Score]])+1,LEN(Table3[[#This Row],[Score]])))</f>
        <v>4</v>
      </c>
      <c r="F87" s="3">
        <f>_xlfn.NUMBERVALUE(RIGHT(Table3[[#This Row],[Score]],LEN(Table3[[#This Row],[Score]])-FIND("-",Table3[[#This Row],[Score]])))</f>
        <v>5</v>
      </c>
      <c r="G87" s="3">
        <f t="shared" si="11"/>
        <v>9</v>
      </c>
      <c r="H87" s="3" t="str">
        <f>LEFT(Table3[[#This Row],[Score]],1)</f>
        <v>L</v>
      </c>
      <c r="I87" s="17" t="str">
        <f>VLOOKUP(IF(Table3[[#This Row],[At]]="Home",Table3[[#This Row],[Opponent]],RIGHT(Table3[[#This Row],[Opponent]],LEN(Table3[[#This Row],[Opponent]])-1)),CHOOSE({1,2},[1]StandingsRAW!$J$1:$J$22,[1]StandingsRAW!$L$1:$L$22),2,FALSE)</f>
        <v>WAT</v>
      </c>
      <c r="J87" s="3">
        <f>VLOOKUP(Table3[[#This Row],[OPP]],Raw!$L$2:$S$23,7,FALSE)-Raw!$U$2</f>
        <v>-3.3415553472384971</v>
      </c>
    </row>
    <row r="88" spans="1:10" x14ac:dyDescent="0.25">
      <c r="A88" t="s">
        <v>463</v>
      </c>
      <c r="B88" t="s">
        <v>192</v>
      </c>
      <c r="C88" t="s">
        <v>11</v>
      </c>
      <c r="D88" s="1" t="str">
        <f>IF(LEFT(Table3[[#This Row],[Opponent]],1)="@","Away","Home")</f>
        <v>Away</v>
      </c>
      <c r="E88" s="3">
        <f>_xlfn.NUMBERVALUE(MID(LEFT(Table3[[#This Row],[Score]],FIND("-",Table3[[#This Row],[Score]])-1),FIND(" ",Table3[[#This Row],[Score]])+1,LEN(Table3[[#This Row],[Score]])))</f>
        <v>3</v>
      </c>
      <c r="F88" s="3">
        <f>_xlfn.NUMBERVALUE(RIGHT(Table3[[#This Row],[Score]],LEN(Table3[[#This Row],[Score]])-FIND("-",Table3[[#This Row],[Score]])))</f>
        <v>12</v>
      </c>
      <c r="G88" s="3">
        <f t="shared" si="11"/>
        <v>15</v>
      </c>
      <c r="H88" s="3" t="str">
        <f>LEFT(Table3[[#This Row],[Score]],1)</f>
        <v>L</v>
      </c>
      <c r="I88" s="17" t="str">
        <f>VLOOKUP(IF(Table3[[#This Row],[At]]="Home",Table3[[#This Row],[Opponent]],RIGHT(Table3[[#This Row],[Opponent]],LEN(Table3[[#This Row],[Opponent]])-1)),CHOOSE({1,2},[1]StandingsRAW!$J$1:$J$22,[1]StandingsRAW!$L$1:$L$22),2,FALSE)</f>
        <v>WAT</v>
      </c>
      <c r="J88" s="3">
        <f>VLOOKUP(Table3[[#This Row],[OPP]],Raw!$L$2:$S$23,7,FALSE)-Raw!$U$2</f>
        <v>-3.3415553472384971</v>
      </c>
    </row>
    <row r="89" spans="1:10" x14ac:dyDescent="0.25">
      <c r="A89" t="s">
        <v>464</v>
      </c>
      <c r="B89" t="s">
        <v>192</v>
      </c>
      <c r="C89" t="s">
        <v>384</v>
      </c>
      <c r="D89" s="1" t="str">
        <f>IF(LEFT(Table3[[#This Row],[Opponent]],1)="@","Away","Home")</f>
        <v>Away</v>
      </c>
      <c r="E89" s="3">
        <f>_xlfn.NUMBERVALUE(MID(LEFT(Table3[[#This Row],[Score]],FIND("-",Table3[[#This Row],[Score]])-1),FIND(" ",Table3[[#This Row],[Score]])+1,LEN(Table3[[#This Row],[Score]])))</f>
        <v>7</v>
      </c>
      <c r="F89" s="3">
        <f>_xlfn.NUMBERVALUE(RIGHT(Table3[[#This Row],[Score]],LEN(Table3[[#This Row],[Score]])-FIND("-",Table3[[#This Row],[Score]])))</f>
        <v>5</v>
      </c>
      <c r="G89" s="3">
        <f t="shared" si="11"/>
        <v>12</v>
      </c>
      <c r="H89" s="3" t="str">
        <f>LEFT(Table3[[#This Row],[Score]],1)</f>
        <v>W</v>
      </c>
      <c r="I89" s="17" t="str">
        <f>VLOOKUP(IF(Table3[[#This Row],[At]]="Home",Table3[[#This Row],[Opponent]],RIGHT(Table3[[#This Row],[Opponent]],LEN(Table3[[#This Row],[Opponent]])-1)),CHOOSE({1,2},[1]StandingsRAW!$J$1:$J$22,[1]StandingsRAW!$L$1:$L$22),2,FALSE)</f>
        <v>WAT</v>
      </c>
      <c r="J89" s="3">
        <f>VLOOKUP(Table3[[#This Row],[OPP]],Raw!$L$2:$S$23,7,FALSE)-Raw!$U$2</f>
        <v>-3.3415553472384971</v>
      </c>
    </row>
    <row r="90" spans="1:10" x14ac:dyDescent="0.25">
      <c r="A90" t="s">
        <v>465</v>
      </c>
      <c r="B90" t="s">
        <v>192</v>
      </c>
      <c r="C90" t="s">
        <v>85</v>
      </c>
      <c r="D90" s="1" t="str">
        <f>IF(LEFT(Table3[[#This Row],[Opponent]],1)="@","Away","Home")</f>
        <v>Away</v>
      </c>
      <c r="E90" s="3">
        <f>_xlfn.NUMBERVALUE(MID(LEFT(Table3[[#This Row],[Score]],FIND("-",Table3[[#This Row],[Score]])-1),FIND(" ",Table3[[#This Row],[Score]])+1,LEN(Table3[[#This Row],[Score]])))</f>
        <v>5</v>
      </c>
      <c r="F90" s="3">
        <f>_xlfn.NUMBERVALUE(RIGHT(Table3[[#This Row],[Score]],LEN(Table3[[#This Row],[Score]])-FIND("-",Table3[[#This Row],[Score]])))</f>
        <v>3</v>
      </c>
      <c r="G90" s="3">
        <f t="shared" si="11"/>
        <v>8</v>
      </c>
      <c r="H90" s="3" t="str">
        <f>LEFT(Table3[[#This Row],[Score]],1)</f>
        <v>W</v>
      </c>
      <c r="I90" s="17" t="str">
        <f>VLOOKUP(IF(Table3[[#This Row],[At]]="Home",Table3[[#This Row],[Opponent]],RIGHT(Table3[[#This Row],[Opponent]],LEN(Table3[[#This Row],[Opponent]])-1)),CHOOSE({1,2},[1]StandingsRAW!$J$1:$J$22,[1]StandingsRAW!$L$1:$L$22),2,FALSE)</f>
        <v>WAT</v>
      </c>
      <c r="J90" s="3">
        <f>VLOOKUP(Table3[[#This Row],[OPP]],Raw!$L$2:$S$23,7,FALSE)-Raw!$U$2</f>
        <v>-3.3415553472384971</v>
      </c>
    </row>
    <row r="91" spans="1:10" x14ac:dyDescent="0.25">
      <c r="A91" t="s">
        <v>466</v>
      </c>
      <c r="B91" t="s">
        <v>206</v>
      </c>
      <c r="C91" t="s">
        <v>85</v>
      </c>
      <c r="D91" s="1" t="str">
        <f>IF(LEFT(Table3[[#This Row],[Opponent]],1)="@","Away","Home")</f>
        <v>Away</v>
      </c>
      <c r="E91" s="3">
        <f>_xlfn.NUMBERVALUE(MID(LEFT(Table3[[#This Row],[Score]],FIND("-",Table3[[#This Row],[Score]])-1),FIND(" ",Table3[[#This Row],[Score]])+1,LEN(Table3[[#This Row],[Score]])))</f>
        <v>5</v>
      </c>
      <c r="F91" s="3">
        <f>_xlfn.NUMBERVALUE(RIGHT(Table3[[#This Row],[Score]],LEN(Table3[[#This Row],[Score]])-FIND("-",Table3[[#This Row],[Score]])))</f>
        <v>3</v>
      </c>
      <c r="G91" s="3">
        <f t="shared" si="11"/>
        <v>8</v>
      </c>
      <c r="H91" s="3" t="str">
        <f>LEFT(Table3[[#This Row],[Score]],1)</f>
        <v>W</v>
      </c>
      <c r="I91" s="17" t="str">
        <f>VLOOKUP(IF(Table3[[#This Row],[At]]="Home",Table3[[#This Row],[Opponent]],RIGHT(Table3[[#This Row],[Opponent]],LEN(Table3[[#This Row],[Opponent]])-1)),CHOOSE({1,2},[1]StandingsRAW!$J$1:$J$22,[1]StandingsRAW!$L$1:$L$22),2,FALSE)</f>
        <v>MAN</v>
      </c>
      <c r="J91" s="3">
        <f>VLOOKUP(Table3[[#This Row],[OPP]],Raw!$L$2:$S$23,7,FALSE)-Raw!$U$2</f>
        <v>0.73197406452620895</v>
      </c>
    </row>
    <row r="92" spans="1:10" x14ac:dyDescent="0.25">
      <c r="A92" t="s">
        <v>467</v>
      </c>
      <c r="B92" t="s">
        <v>206</v>
      </c>
      <c r="C92" t="s">
        <v>274</v>
      </c>
      <c r="D92" s="1" t="str">
        <f>IF(LEFT(Table3[[#This Row],[Opponent]],1)="@","Away","Home")</f>
        <v>Away</v>
      </c>
      <c r="E92" s="3">
        <f>_xlfn.NUMBERVALUE(MID(LEFT(Table3[[#This Row],[Score]],FIND("-",Table3[[#This Row],[Score]])-1),FIND(" ",Table3[[#This Row],[Score]])+1,LEN(Table3[[#This Row],[Score]])))</f>
        <v>9</v>
      </c>
      <c r="F92" s="3">
        <f>_xlfn.NUMBERVALUE(RIGHT(Table3[[#This Row],[Score]],LEN(Table3[[#This Row],[Score]])-FIND("-",Table3[[#This Row],[Score]])))</f>
        <v>10</v>
      </c>
      <c r="G92" s="3">
        <f t="shared" si="11"/>
        <v>19</v>
      </c>
      <c r="H92" s="3" t="str">
        <f>LEFT(Table3[[#This Row],[Score]],1)</f>
        <v>L</v>
      </c>
      <c r="I92" s="17" t="str">
        <f>VLOOKUP(IF(Table3[[#This Row],[At]]="Home",Table3[[#This Row],[Opponent]],RIGHT(Table3[[#This Row],[Opponent]],LEN(Table3[[#This Row],[Opponent]])-1)),CHOOSE({1,2},[1]StandingsRAW!$J$1:$J$22,[1]StandingsRAW!$L$1:$L$22),2,FALSE)</f>
        <v>MAN</v>
      </c>
      <c r="J92" s="3">
        <f>VLOOKUP(Table3[[#This Row],[OPP]],Raw!$L$2:$S$23,7,FALSE)-Raw!$U$2</f>
        <v>0.73197406452620895</v>
      </c>
    </row>
    <row r="93" spans="1:10" x14ac:dyDescent="0.25">
      <c r="A93" t="s">
        <v>468</v>
      </c>
      <c r="B93" t="s">
        <v>241</v>
      </c>
      <c r="C93" t="s">
        <v>246</v>
      </c>
      <c r="D93" s="1" t="str">
        <f>IF(LEFT(Table3[[#This Row],[Opponent]],1)="@","Away","Home")</f>
        <v>Home</v>
      </c>
      <c r="E93" s="3">
        <f>_xlfn.NUMBERVALUE(MID(LEFT(Table3[[#This Row],[Score]],FIND("-",Table3[[#This Row],[Score]])-1),FIND(" ",Table3[[#This Row],[Score]])+1,LEN(Table3[[#This Row],[Score]])))</f>
        <v>4</v>
      </c>
      <c r="F93" s="3">
        <f>_xlfn.NUMBERVALUE(RIGHT(Table3[[#This Row],[Score]],LEN(Table3[[#This Row],[Score]])-FIND("-",Table3[[#This Row],[Score]])))</f>
        <v>6</v>
      </c>
      <c r="G93" s="3">
        <f t="shared" si="11"/>
        <v>10</v>
      </c>
      <c r="H93" s="3" t="str">
        <f>LEFT(Table3[[#This Row],[Score]],1)</f>
        <v>L</v>
      </c>
      <c r="I93" s="17" t="str">
        <f>VLOOKUP(IF(Table3[[#This Row],[At]]="Home",Table3[[#This Row],[Opponent]],RIGHT(Table3[[#This Row],[Opponent]],LEN(Table3[[#This Row],[Opponent]])-1)),CHOOSE({1,2},[1]StandingsRAW!$J$1:$J$22,[1]StandingsRAW!$L$1:$L$22),2,FALSE)</f>
        <v>MIN</v>
      </c>
      <c r="J93" s="3">
        <f>VLOOKUP(Table3[[#This Row],[OPP]],Raw!$L$2:$S$23,7,FALSE)-Raw!$U$2</f>
        <v>-2.6422089420097388</v>
      </c>
    </row>
    <row r="94" spans="1:10" x14ac:dyDescent="0.25">
      <c r="A94" t="s">
        <v>498</v>
      </c>
      <c r="B94" t="s">
        <v>241</v>
      </c>
      <c r="C94" t="s">
        <v>397</v>
      </c>
      <c r="D94" t="str">
        <f>IF(LEFT(Table3[[#This Row],[Opponent]],1)="@","Away","Home")</f>
        <v>Home</v>
      </c>
      <c r="E94" s="3">
        <f>_xlfn.NUMBERVALUE(MID(LEFT(Table3[[#This Row],[Score]],FIND("-",Table3[[#This Row],[Score]])-1),FIND(" ",Table3[[#This Row],[Score]])+1,LEN(Table3[[#This Row],[Score]])))</f>
        <v>8</v>
      </c>
      <c r="F94" s="3">
        <f>_xlfn.NUMBERVALUE(RIGHT(Table3[[#This Row],[Score]],LEN(Table3[[#This Row],[Score]])-FIND("-",Table3[[#This Row],[Score]])))</f>
        <v>14</v>
      </c>
      <c r="G94" s="3">
        <f t="shared" ref="G94:G96" si="12">E94+F94</f>
        <v>22</v>
      </c>
      <c r="H94" s="3" t="str">
        <f>LEFT(Table3[[#This Row],[Score]],1)</f>
        <v>L</v>
      </c>
      <c r="I94" s="17" t="str">
        <f>VLOOKUP(IF(Table3[[#This Row],[At]]="Home",Table3[[#This Row],[Opponent]],RIGHT(Table3[[#This Row],[Opponent]],LEN(Table3[[#This Row],[Opponent]])-1)),CHOOSE({1,2},[1]StandingsRAW!$J$1:$J$22,[1]StandingsRAW!$L$1:$L$22),2,FALSE)</f>
        <v>MIN</v>
      </c>
      <c r="J94" s="3">
        <f>VLOOKUP(Table3[[#This Row],[OPP]],Raw!$L$2:$S$23,7,FALSE)-Raw!$U$2</f>
        <v>-2.6422089420097388</v>
      </c>
    </row>
    <row r="95" spans="1:10" x14ac:dyDescent="0.25">
      <c r="A95" t="s">
        <v>499</v>
      </c>
      <c r="B95" t="s">
        <v>241</v>
      </c>
      <c r="C95" t="s">
        <v>411</v>
      </c>
      <c r="D95" t="str">
        <f>IF(LEFT(Table3[[#This Row],[Opponent]],1)="@","Away","Home")</f>
        <v>Home</v>
      </c>
      <c r="E95" s="3">
        <f>_xlfn.NUMBERVALUE(MID(LEFT(Table3[[#This Row],[Score]],FIND("-",Table3[[#This Row],[Score]])-1),FIND(" ",Table3[[#This Row],[Score]])+1,LEN(Table3[[#This Row],[Score]])))</f>
        <v>6</v>
      </c>
      <c r="F95" s="3">
        <f>_xlfn.NUMBERVALUE(RIGHT(Table3[[#This Row],[Score]],LEN(Table3[[#This Row],[Score]])-FIND("-",Table3[[#This Row],[Score]])))</f>
        <v>16</v>
      </c>
      <c r="G95" s="3">
        <f t="shared" si="12"/>
        <v>22</v>
      </c>
      <c r="H95" s="3" t="str">
        <f>LEFT(Table3[[#This Row],[Score]],1)</f>
        <v>L</v>
      </c>
      <c r="I95" s="17" t="str">
        <f>VLOOKUP(IF(Table3[[#This Row],[At]]="Home",Table3[[#This Row],[Opponent]],RIGHT(Table3[[#This Row],[Opponent]],LEN(Table3[[#This Row],[Opponent]])-1)),CHOOSE({1,2},[1]StandingsRAW!$J$1:$J$22,[1]StandingsRAW!$L$1:$L$22),2,FALSE)</f>
        <v>MIN</v>
      </c>
      <c r="J95" s="3">
        <f>VLOOKUP(Table3[[#This Row],[OPP]],Raw!$L$2:$S$23,7,FALSE)-Raw!$U$2</f>
        <v>-2.6422089420097388</v>
      </c>
    </row>
    <row r="96" spans="1:10" x14ac:dyDescent="0.25">
      <c r="A96" t="s">
        <v>500</v>
      </c>
      <c r="B96" t="s">
        <v>241</v>
      </c>
      <c r="C96" t="s">
        <v>226</v>
      </c>
      <c r="D96" t="str">
        <f>IF(LEFT(Table3[[#This Row],[Opponent]],1)="@","Away","Home")</f>
        <v>Home</v>
      </c>
      <c r="E96" s="3">
        <f>_xlfn.NUMBERVALUE(MID(LEFT(Table3[[#This Row],[Score]],FIND("-",Table3[[#This Row],[Score]])-1),FIND(" ",Table3[[#This Row],[Score]])+1,LEN(Table3[[#This Row],[Score]])))</f>
        <v>3</v>
      </c>
      <c r="F96" s="3">
        <f>_xlfn.NUMBERVALUE(RIGHT(Table3[[#This Row],[Score]],LEN(Table3[[#This Row],[Score]])-FIND("-",Table3[[#This Row],[Score]])))</f>
        <v>2</v>
      </c>
      <c r="G96" s="3">
        <f t="shared" si="12"/>
        <v>5</v>
      </c>
      <c r="H96" s="3" t="str">
        <f>LEFT(Table3[[#This Row],[Score]],1)</f>
        <v>W</v>
      </c>
      <c r="I96" s="17" t="str">
        <f>VLOOKUP(IF(Table3[[#This Row],[At]]="Home",Table3[[#This Row],[Opponent]],RIGHT(Table3[[#This Row],[Opponent]],LEN(Table3[[#This Row],[Opponent]])-1)),CHOOSE({1,2},[1]StandingsRAW!$J$1:$J$22,[1]StandingsRAW!$L$1:$L$22),2,FALSE)</f>
        <v>MIN</v>
      </c>
      <c r="J96" s="3">
        <f>VLOOKUP(Table3[[#This Row],[OPP]],Raw!$L$2:$S$23,7,FALSE)-Raw!$U$2</f>
        <v>-2.6422089420097388</v>
      </c>
    </row>
    <row r="97" spans="1:10" x14ac:dyDescent="0.25">
      <c r="A97" t="s">
        <v>501</v>
      </c>
      <c r="B97" t="s">
        <v>198</v>
      </c>
      <c r="C97" t="s">
        <v>251</v>
      </c>
      <c r="D97" t="str">
        <f>IF(LEFT(Table3[[#This Row],[Opponent]],1)="@","Away","Home")</f>
        <v>Away</v>
      </c>
      <c r="E97" s="3">
        <f>_xlfn.NUMBERVALUE(MID(LEFT(Table3[[#This Row],[Score]],FIND("-",Table3[[#This Row],[Score]])-1),FIND(" ",Table3[[#This Row],[Score]])+1,LEN(Table3[[#This Row],[Score]])))</f>
        <v>2</v>
      </c>
      <c r="F97" s="3">
        <f>_xlfn.NUMBERVALUE(RIGHT(Table3[[#This Row],[Score]],LEN(Table3[[#This Row],[Score]])-FIND("-",Table3[[#This Row],[Score]])))</f>
        <v>7</v>
      </c>
      <c r="G97" s="3">
        <f t="shared" ref="G97:G98" si="13">E97+F97</f>
        <v>9</v>
      </c>
      <c r="H97" s="3" t="str">
        <f>LEFT(Table3[[#This Row],[Score]],1)</f>
        <v>L</v>
      </c>
      <c r="I97" s="3" t="str">
        <f>VLOOKUP(IF(Table3[[#This Row],[At]]="Home",Table3[[#This Row],[Opponent]],RIGHT(Table3[[#This Row],[Opponent]],LEN(Table3[[#This Row],[Opponent]])-1)),CHOOSE({1,2},[1]StandingsRAW!$J$1:$J$22,[1]StandingsRAW!$L$1:$L$22),2,FALSE)</f>
        <v>DUL</v>
      </c>
      <c r="J97" s="3">
        <f>VLOOKUP(Table3[[#This Row],[OPP]],Raw!$L$2:$S$23,7,FALSE)-Raw!$U$2</f>
        <v>-0.37645438147905891</v>
      </c>
    </row>
    <row r="98" spans="1:10" x14ac:dyDescent="0.25">
      <c r="A98" t="s">
        <v>502</v>
      </c>
      <c r="B98" t="s">
        <v>198</v>
      </c>
      <c r="C98" t="s">
        <v>386</v>
      </c>
      <c r="D98" t="str">
        <f>IF(LEFT(Table3[[#This Row],[Opponent]],1)="@","Away","Home")</f>
        <v>Away</v>
      </c>
      <c r="E98" s="3">
        <f>_xlfn.NUMBERVALUE(MID(LEFT(Table3[[#This Row],[Score]],FIND("-",Table3[[#This Row],[Score]])-1),FIND(" ",Table3[[#This Row],[Score]])+1,LEN(Table3[[#This Row],[Score]])))</f>
        <v>8</v>
      </c>
      <c r="F98" s="3">
        <f>_xlfn.NUMBERVALUE(RIGHT(Table3[[#This Row],[Score]],LEN(Table3[[#This Row],[Score]])-FIND("-",Table3[[#This Row],[Score]])))</f>
        <v>12</v>
      </c>
      <c r="G98" s="3">
        <f t="shared" si="13"/>
        <v>20</v>
      </c>
      <c r="H98" s="3" t="str">
        <f>LEFT(Table3[[#This Row],[Score]],1)</f>
        <v>L</v>
      </c>
      <c r="I98" s="3" t="str">
        <f>VLOOKUP(IF(Table3[[#This Row],[At]]="Home",Table3[[#This Row],[Opponent]],RIGHT(Table3[[#This Row],[Opponent]],LEN(Table3[[#This Row],[Opponent]])-1)),CHOOSE({1,2},[1]StandingsRAW!$J$1:$J$22,[1]StandingsRAW!$L$1:$L$22),2,FALSE)</f>
        <v>DUL</v>
      </c>
      <c r="J98" s="3">
        <f>VLOOKUP(Table3[[#This Row],[OPP]],Raw!$L$2:$S$23,7,FALSE)-Raw!$U$2</f>
        <v>-0.37645438147905891</v>
      </c>
    </row>
    <row r="99" spans="1:10" x14ac:dyDescent="0.25">
      <c r="A99" t="s">
        <v>505</v>
      </c>
      <c r="B99" t="s">
        <v>210</v>
      </c>
      <c r="C99" t="s">
        <v>280</v>
      </c>
      <c r="D99" t="str">
        <f>IF(LEFT(Table3[[#This Row],[Opponent]],1)="@","Away","Home")</f>
        <v>Away</v>
      </c>
      <c r="E99" s="3">
        <f>_xlfn.NUMBERVALUE(MID(LEFT(Table3[[#This Row],[Score]],FIND("-",Table3[[#This Row],[Score]])-1),FIND(" ",Table3[[#This Row],[Score]])+1,LEN(Table3[[#This Row],[Score]])))</f>
        <v>8</v>
      </c>
      <c r="F99" s="3">
        <f>_xlfn.NUMBERVALUE(RIGHT(Table3[[#This Row],[Score]],LEN(Table3[[#This Row],[Score]])-FIND("-",Table3[[#This Row],[Score]])))</f>
        <v>3</v>
      </c>
      <c r="G99" s="3">
        <f>E99+F99</f>
        <v>11</v>
      </c>
      <c r="H99" s="3" t="str">
        <f>LEFT(Table3[[#This Row],[Score]],1)</f>
        <v>W</v>
      </c>
      <c r="I99" s="3" t="str">
        <f>VLOOKUP(IF(Table3[[#This Row],[At]]="Home",Table3[[#This Row],[Opponent]],RIGHT(Table3[[#This Row],[Opponent]],LEN(Table3[[#This Row],[Opponent]])-1)),CHOOSE({1,2},[1]StandingsRAW!$J$1:$J$22,[1]StandingsRAW!$L$1:$L$22),2,FALSE)</f>
        <v>ROC</v>
      </c>
      <c r="J99" s="3">
        <f>VLOOKUP(Table3[[#This Row],[OPP]],Raw!$L$2:$S$23,7,FALSE)-Raw!$U$2</f>
        <v>-0.20920240606202639</v>
      </c>
    </row>
    <row r="100" spans="1:10" x14ac:dyDescent="0.25">
      <c r="A100" t="s">
        <v>508</v>
      </c>
      <c r="B100" t="s">
        <v>210</v>
      </c>
      <c r="C100" t="s">
        <v>55</v>
      </c>
      <c r="D100" t="str">
        <f>IF(LEFT(Table3[[#This Row],[Opponent]],1)="@","Away","Home")</f>
        <v>Away</v>
      </c>
      <c r="E100" s="3">
        <f>_xlfn.NUMBERVALUE(MID(LEFT(Table3[[#This Row],[Score]],FIND("-",Table3[[#This Row],[Score]])-1),FIND(" ",Table3[[#This Row],[Score]])+1,LEN(Table3[[#This Row],[Score]])))</f>
        <v>5</v>
      </c>
      <c r="F100" s="3">
        <f>_xlfn.NUMBERVALUE(RIGHT(Table3[[#This Row],[Score]],LEN(Table3[[#This Row],[Score]])-FIND("-",Table3[[#This Row],[Score]])))</f>
        <v>7</v>
      </c>
      <c r="G100" s="3">
        <f t="shared" ref="G100:G102" si="14">E100+F100</f>
        <v>12</v>
      </c>
      <c r="H100" s="3" t="str">
        <f>LEFT(Table3[[#This Row],[Score]],1)</f>
        <v>L</v>
      </c>
      <c r="I100" s="3" t="str">
        <f>VLOOKUP(IF(Table3[[#This Row],[At]]="Home",Table3[[#This Row],[Opponent]],RIGHT(Table3[[#This Row],[Opponent]],LEN(Table3[[#This Row],[Opponent]])-1)),CHOOSE({1,2},[1]StandingsRAW!$J$1:$J$22,[1]StandingsRAW!$L$1:$L$22),2,FALSE)</f>
        <v>ROC</v>
      </c>
      <c r="J100" s="3">
        <f>VLOOKUP(Table3[[#This Row],[OPP]],Raw!$L$2:$S$23,7,FALSE)-Raw!$U$2</f>
        <v>-0.20920240606202639</v>
      </c>
    </row>
    <row r="101" spans="1:10" x14ac:dyDescent="0.25">
      <c r="A101" t="s">
        <v>509</v>
      </c>
      <c r="B101" t="s">
        <v>245</v>
      </c>
      <c r="C101" t="s">
        <v>101</v>
      </c>
      <c r="D101" t="str">
        <f>IF(LEFT(Table3[[#This Row],[Opponent]],1)="@","Away","Home")</f>
        <v>Home</v>
      </c>
      <c r="E101" s="3">
        <f>_xlfn.NUMBERVALUE(MID(LEFT(Table3[[#This Row],[Score]],FIND("-",Table3[[#This Row],[Score]])-1),FIND(" ",Table3[[#This Row],[Score]])+1,LEN(Table3[[#This Row],[Score]])))</f>
        <v>0</v>
      </c>
      <c r="F101" s="3">
        <f>_xlfn.NUMBERVALUE(RIGHT(Table3[[#This Row],[Score]],LEN(Table3[[#This Row],[Score]])-FIND("-",Table3[[#This Row],[Score]])))</f>
        <v>7</v>
      </c>
      <c r="G101" s="3">
        <f t="shared" si="14"/>
        <v>7</v>
      </c>
      <c r="H101" s="3" t="str">
        <f>LEFT(Table3[[#This Row],[Score]],1)</f>
        <v>L</v>
      </c>
      <c r="I101" s="3" t="str">
        <f>VLOOKUP(IF(Table3[[#This Row],[At]]="Home",Table3[[#This Row],[Opponent]],RIGHT(Table3[[#This Row],[Opponent]],LEN(Table3[[#This Row],[Opponent]])-1)),CHOOSE({1,2},[1]StandingsRAW!$J$1:$J$22,[1]StandingsRAW!$L$1:$L$22),2,FALSE)</f>
        <v>STC</v>
      </c>
      <c r="J101" s="3">
        <f>VLOOKUP(Table3[[#This Row],[OPP]],Raw!$L$2:$S$23,7,FALSE)-Raw!$U$2</f>
        <v>2.5702093586438561</v>
      </c>
    </row>
    <row r="102" spans="1:10" x14ac:dyDescent="0.25">
      <c r="A102" t="s">
        <v>510</v>
      </c>
      <c r="B102" t="s">
        <v>245</v>
      </c>
      <c r="C102" t="s">
        <v>374</v>
      </c>
      <c r="D102" t="str">
        <f>IF(LEFT(Table3[[#This Row],[Opponent]],1)="@","Away","Home")</f>
        <v>Home</v>
      </c>
      <c r="E102" s="3">
        <f>_xlfn.NUMBERVALUE(MID(LEFT(Table3[[#This Row],[Score]],FIND("-",Table3[[#This Row],[Score]])-1),FIND(" ",Table3[[#This Row],[Score]])+1,LEN(Table3[[#This Row],[Score]])))</f>
        <v>6</v>
      </c>
      <c r="F102" s="3">
        <f>_xlfn.NUMBERVALUE(RIGHT(Table3[[#This Row],[Score]],LEN(Table3[[#This Row],[Score]])-FIND("-",Table3[[#This Row],[Score]])))</f>
        <v>9</v>
      </c>
      <c r="G102" s="3">
        <f t="shared" si="14"/>
        <v>15</v>
      </c>
      <c r="H102" s="3" t="str">
        <f>LEFT(Table3[[#This Row],[Score]],1)</f>
        <v>L</v>
      </c>
      <c r="I102" s="3" t="str">
        <f>VLOOKUP(IF(Table3[[#This Row],[At]]="Home",Table3[[#This Row],[Opponent]],RIGHT(Table3[[#This Row],[Opponent]],LEN(Table3[[#This Row],[Opponent]])-1)),CHOOSE({1,2},[1]StandingsRAW!$J$1:$J$22,[1]StandingsRAW!$L$1:$L$22),2,FALSE)</f>
        <v>STC</v>
      </c>
      <c r="J102" s="3">
        <f>VLOOKUP(Table3[[#This Row],[OPP]],Raw!$L$2:$S$23,7,FALSE)-Raw!$U$2</f>
        <v>2.5702093586438561</v>
      </c>
    </row>
    <row r="103" spans="1:10" x14ac:dyDescent="0.25">
      <c r="A103" t="s">
        <v>515</v>
      </c>
      <c r="B103" t="s">
        <v>222</v>
      </c>
      <c r="C103" t="s">
        <v>267</v>
      </c>
      <c r="D103" t="str">
        <f>IF(LEFT(Table3[[#This Row],[Opponent]],1)="@","Away","Home")</f>
        <v>Home</v>
      </c>
      <c r="E103" s="3">
        <f>_xlfn.NUMBERVALUE(MID(LEFT(Table3[[#This Row],[Score]],FIND("-",Table3[[#This Row],[Score]])-1),FIND(" ",Table3[[#This Row],[Score]])+1,LEN(Table3[[#This Row],[Score]])))</f>
        <v>8</v>
      </c>
      <c r="F103" s="3">
        <f>_xlfn.NUMBERVALUE(RIGHT(Table3[[#This Row],[Score]],LEN(Table3[[#This Row],[Score]])-FIND("-",Table3[[#This Row],[Score]])))</f>
        <v>7</v>
      </c>
      <c r="G103" s="3">
        <f>E103+F103</f>
        <v>15</v>
      </c>
      <c r="H103" s="3" t="str">
        <f>LEFT(Table3[[#This Row],[Score]],1)</f>
        <v>W</v>
      </c>
      <c r="I103" s="3" t="str">
        <f>VLOOKUP(IF(Table3[[#This Row],[At]]="Home",Table3[[#This Row],[Opponent]],RIGHT(Table3[[#This Row],[Opponent]],LEN(Table3[[#This Row],[Opponent]])-1)),CHOOSE({1,2},[1]StandingsRAW!$J$1:$J$22,[1]StandingsRAW!$L$1:$L$22),2,FALSE)</f>
        <v>WIL</v>
      </c>
      <c r="J103" s="3">
        <f>VLOOKUP(Table3[[#This Row],[OPP]],Raw!$L$2:$S$23,7,FALSE)-Raw!$U$2</f>
        <v>3.0407975939379734</v>
      </c>
    </row>
    <row r="104" spans="1:10" x14ac:dyDescent="0.25">
      <c r="A104" t="s">
        <v>518</v>
      </c>
      <c r="B104" t="s">
        <v>222</v>
      </c>
      <c r="C104" t="s">
        <v>276</v>
      </c>
      <c r="D104" t="str">
        <f>IF(LEFT(Table3[[#This Row],[Opponent]],1)="@","Away","Home")</f>
        <v>Home</v>
      </c>
      <c r="E104" s="3">
        <f>_xlfn.NUMBERVALUE(MID(LEFT(Table3[[#This Row],[Score]],FIND("-",Table3[[#This Row],[Score]])-1),FIND(" ",Table3[[#This Row],[Score]])+1,LEN(Table3[[#This Row],[Score]])))</f>
        <v>2</v>
      </c>
      <c r="F104" s="3">
        <f>_xlfn.NUMBERVALUE(RIGHT(Table3[[#This Row],[Score]],LEN(Table3[[#This Row],[Score]])-FIND("-",Table3[[#This Row],[Score]])))</f>
        <v>4</v>
      </c>
      <c r="G104" s="3">
        <f t="shared" ref="G104:G107" si="15">E104+F104</f>
        <v>6</v>
      </c>
      <c r="H104" s="3" t="str">
        <f>LEFT(Table3[[#This Row],[Score]],1)</f>
        <v>L</v>
      </c>
      <c r="I104" s="3" t="str">
        <f>VLOOKUP(IF(Table3[[#This Row],[At]]="Home",Table3[[#This Row],[Opponent]],RIGHT(Table3[[#This Row],[Opponent]],LEN(Table3[[#This Row],[Opponent]])-1)),CHOOSE({1,2},[1]StandingsRAW!$J$1:$J$22,[1]StandingsRAW!$L$1:$L$22),2,FALSE)</f>
        <v>WIL</v>
      </c>
      <c r="J104" s="3">
        <f>VLOOKUP(Table3[[#This Row],[OPP]],Raw!$L$2:$S$23,7,FALSE)-Raw!$U$2</f>
        <v>3.0407975939379734</v>
      </c>
    </row>
    <row r="105" spans="1:10" x14ac:dyDescent="0.25">
      <c r="A105" t="s">
        <v>519</v>
      </c>
      <c r="B105" t="s">
        <v>222</v>
      </c>
      <c r="C105" t="s">
        <v>322</v>
      </c>
      <c r="D105" t="str">
        <f>IF(LEFT(Table3[[#This Row],[Opponent]],1)="@","Away","Home")</f>
        <v>Home</v>
      </c>
      <c r="E105" s="3">
        <f>_xlfn.NUMBERVALUE(MID(LEFT(Table3[[#This Row],[Score]],FIND("-",Table3[[#This Row],[Score]])-1),FIND(" ",Table3[[#This Row],[Score]])+1,LEN(Table3[[#This Row],[Score]])))</f>
        <v>6</v>
      </c>
      <c r="F105" s="3">
        <f>_xlfn.NUMBERVALUE(RIGHT(Table3[[#This Row],[Score]],LEN(Table3[[#This Row],[Score]])-FIND("-",Table3[[#This Row],[Score]])))</f>
        <v>7</v>
      </c>
      <c r="G105" s="3">
        <f t="shared" si="15"/>
        <v>13</v>
      </c>
      <c r="H105" s="3" t="str">
        <f>LEFT(Table3[[#This Row],[Score]],1)</f>
        <v>L</v>
      </c>
      <c r="I105" s="3" t="str">
        <f>VLOOKUP(IF(Table3[[#This Row],[At]]="Home",Table3[[#This Row],[Opponent]],RIGHT(Table3[[#This Row],[Opponent]],LEN(Table3[[#This Row],[Opponent]])-1)),CHOOSE({1,2},[1]StandingsRAW!$J$1:$J$22,[1]StandingsRAW!$L$1:$L$22),2,FALSE)</f>
        <v>WIL</v>
      </c>
      <c r="J105" s="3">
        <f>VLOOKUP(Table3[[#This Row],[OPP]],Raw!$L$2:$S$23,7,FALSE)-Raw!$U$2</f>
        <v>3.0407975939379734</v>
      </c>
    </row>
    <row r="106" spans="1:10" x14ac:dyDescent="0.25">
      <c r="A106" t="s">
        <v>520</v>
      </c>
      <c r="B106" t="s">
        <v>222</v>
      </c>
      <c r="C106" t="s">
        <v>6</v>
      </c>
      <c r="D106" t="str">
        <f>IF(LEFT(Table3[[#This Row],[Opponent]],1)="@","Away","Home")</f>
        <v>Home</v>
      </c>
      <c r="E106" s="3">
        <f>_xlfn.NUMBERVALUE(MID(LEFT(Table3[[#This Row],[Score]],FIND("-",Table3[[#This Row],[Score]])-1),FIND(" ",Table3[[#This Row],[Score]])+1,LEN(Table3[[#This Row],[Score]])))</f>
        <v>2</v>
      </c>
      <c r="F106" s="3">
        <f>_xlfn.NUMBERVALUE(RIGHT(Table3[[#This Row],[Score]],LEN(Table3[[#This Row],[Score]])-FIND("-",Table3[[#This Row],[Score]])))</f>
        <v>6</v>
      </c>
      <c r="G106" s="3">
        <f t="shared" si="15"/>
        <v>8</v>
      </c>
      <c r="H106" s="3" t="str">
        <f>LEFT(Table3[[#This Row],[Score]],1)</f>
        <v>L</v>
      </c>
      <c r="I106" s="3" t="str">
        <f>VLOOKUP(IF(Table3[[#This Row],[At]]="Home",Table3[[#This Row],[Opponent]],RIGHT(Table3[[#This Row],[Opponent]],LEN(Table3[[#This Row],[Opponent]])-1)),CHOOSE({1,2},[1]StandingsRAW!$J$1:$J$22,[1]StandingsRAW!$L$1:$L$22),2,FALSE)</f>
        <v>WIL</v>
      </c>
      <c r="J106" s="3">
        <f>VLOOKUP(Table3[[#This Row],[OPP]],Raw!$L$2:$S$23,7,FALSE)-Raw!$U$2</f>
        <v>3.0407975939379734</v>
      </c>
    </row>
    <row r="107" spans="1:10" x14ac:dyDescent="0.25">
      <c r="A107" t="s">
        <v>521</v>
      </c>
      <c r="B107" t="s">
        <v>198</v>
      </c>
      <c r="C107" t="s">
        <v>336</v>
      </c>
      <c r="D107" t="str">
        <f>IF(LEFT(Table3[[#This Row],[Opponent]],1)="@","Away","Home")</f>
        <v>Away</v>
      </c>
      <c r="E107" s="3">
        <f>_xlfn.NUMBERVALUE(MID(LEFT(Table3[[#This Row],[Score]],FIND("-",Table3[[#This Row],[Score]])-1),FIND(" ",Table3[[#This Row],[Score]])+1,LEN(Table3[[#This Row],[Score]])))</f>
        <v>8</v>
      </c>
      <c r="F107" s="3">
        <f>_xlfn.NUMBERVALUE(RIGHT(Table3[[#This Row],[Score]],LEN(Table3[[#This Row],[Score]])-FIND("-",Table3[[#This Row],[Score]])))</f>
        <v>4</v>
      </c>
      <c r="G107" s="3">
        <f t="shared" si="15"/>
        <v>12</v>
      </c>
      <c r="H107" s="3" t="str">
        <f>LEFT(Table3[[#This Row],[Score]],1)</f>
        <v>W</v>
      </c>
      <c r="I107" s="3" t="str">
        <f>VLOOKUP(IF(Table3[[#This Row],[At]]="Home",Table3[[#This Row],[Opponent]],RIGHT(Table3[[#This Row],[Opponent]],LEN(Table3[[#This Row],[Opponent]])-1)),CHOOSE({1,2},[1]StandingsRAW!$J$1:$J$22,[1]StandingsRAW!$L$1:$L$22),2,FALSE)</f>
        <v>DUL</v>
      </c>
      <c r="J107" s="3">
        <f>VLOOKUP(Table3[[#This Row],[OPP]],Raw!$L$2:$S$23,7,FALSE)-Raw!$U$2</f>
        <v>-0.37645438147905891</v>
      </c>
    </row>
    <row r="108" spans="1:10" x14ac:dyDescent="0.25">
      <c r="A108" t="s">
        <v>524</v>
      </c>
      <c r="B108" t="s">
        <v>198</v>
      </c>
      <c r="C108" t="s">
        <v>531</v>
      </c>
      <c r="D108" t="str">
        <f>IF(LEFT(Table3[[#This Row],[Opponent]],1)="@","Away","Home")</f>
        <v>Away</v>
      </c>
      <c r="E108" s="3">
        <f>_xlfn.NUMBERVALUE(MID(LEFT(Table3[[#This Row],[Score]],FIND("-",Table3[[#This Row],[Score]])-1),FIND(" ",Table3[[#This Row],[Score]])+1,LEN(Table3[[#This Row],[Score]])))</f>
        <v>11</v>
      </c>
      <c r="F108" s="3">
        <f>_xlfn.NUMBERVALUE(RIGHT(Table3[[#This Row],[Score]],LEN(Table3[[#This Row],[Score]])-FIND("-",Table3[[#This Row],[Score]])))</f>
        <v>12</v>
      </c>
      <c r="G108" s="3">
        <f t="shared" ref="G108:G114" si="16">E108+F108</f>
        <v>23</v>
      </c>
      <c r="H108" s="3" t="str">
        <f>LEFT(Table3[[#This Row],[Score]],1)</f>
        <v>L</v>
      </c>
      <c r="I108" s="3" t="str">
        <f>VLOOKUP(IF(Table3[[#This Row],[At]]="Home",Table3[[#This Row],[Opponent]],RIGHT(Table3[[#This Row],[Opponent]],LEN(Table3[[#This Row],[Opponent]])-1)),CHOOSE({1,2},[1]StandingsRAW!$J$1:$J$22,[1]StandingsRAW!$L$1:$L$22),2,FALSE)</f>
        <v>DUL</v>
      </c>
      <c r="J108" s="3">
        <f>VLOOKUP(Table3[[#This Row],[OPP]],Raw!$L$2:$S$23,7,FALSE)-Raw!$U$2</f>
        <v>-0.37645438147905891</v>
      </c>
    </row>
    <row r="109" spans="1:10" x14ac:dyDescent="0.25">
      <c r="A109" t="s">
        <v>525</v>
      </c>
      <c r="B109" t="s">
        <v>235</v>
      </c>
      <c r="C109" t="s">
        <v>202</v>
      </c>
      <c r="D109" t="str">
        <f>IF(LEFT(Table3[[#This Row],[Opponent]],1)="@","Away","Home")</f>
        <v>Home</v>
      </c>
      <c r="E109" s="3">
        <f>_xlfn.NUMBERVALUE(MID(LEFT(Table3[[#This Row],[Score]],FIND("-",Table3[[#This Row],[Score]])-1),FIND(" ",Table3[[#This Row],[Score]])+1,LEN(Table3[[#This Row],[Score]])))</f>
        <v>4</v>
      </c>
      <c r="F109" s="3">
        <f>_xlfn.NUMBERVALUE(RIGHT(Table3[[#This Row],[Score]],LEN(Table3[[#This Row],[Score]])-FIND("-",Table3[[#This Row],[Score]])))</f>
        <v>11</v>
      </c>
      <c r="G109" s="3">
        <f t="shared" si="16"/>
        <v>15</v>
      </c>
      <c r="H109" s="3" t="str">
        <f>LEFT(Table3[[#This Row],[Score]],1)</f>
        <v>L</v>
      </c>
      <c r="I109" s="3" t="str">
        <f>VLOOKUP(IF(Table3[[#This Row],[At]]="Home",Table3[[#This Row],[Opponent]],RIGHT(Table3[[#This Row],[Opponent]],LEN(Table3[[#This Row],[Opponent]])-1)),CHOOSE({1,2},[1]StandingsRAW!$J$1:$J$22,[1]StandingsRAW!$L$1:$L$22),2,FALSE)</f>
        <v>EC</v>
      </c>
      <c r="J109" s="3">
        <f>VLOOKUP(Table3[[#This Row],[OPP]],Raw!$L$2:$S$23,7,FALSE)-Raw!$U$2</f>
        <v>1.1143270057026795</v>
      </c>
    </row>
    <row r="110" spans="1:10" x14ac:dyDescent="0.25">
      <c r="A110" t="s">
        <v>526</v>
      </c>
      <c r="B110" t="s">
        <v>235</v>
      </c>
      <c r="C110" t="s">
        <v>95</v>
      </c>
      <c r="D110" t="str">
        <f>IF(LEFT(Table3[[#This Row],[Opponent]],1)="@","Away","Home")</f>
        <v>Home</v>
      </c>
      <c r="E110" s="3">
        <f>_xlfn.NUMBERVALUE(MID(LEFT(Table3[[#This Row],[Score]],FIND("-",Table3[[#This Row],[Score]])-1),FIND(" ",Table3[[#This Row],[Score]])+1,LEN(Table3[[#This Row],[Score]])))</f>
        <v>5</v>
      </c>
      <c r="F110" s="3">
        <f>_xlfn.NUMBERVALUE(RIGHT(Table3[[#This Row],[Score]],LEN(Table3[[#This Row],[Score]])-FIND("-",Table3[[#This Row],[Score]])))</f>
        <v>17</v>
      </c>
      <c r="G110" s="3">
        <f t="shared" si="16"/>
        <v>22</v>
      </c>
      <c r="H110" s="3" t="str">
        <f>LEFT(Table3[[#This Row],[Score]],1)</f>
        <v>L</v>
      </c>
      <c r="I110" s="3" t="str">
        <f>VLOOKUP(IF(Table3[[#This Row],[At]]="Home",Table3[[#This Row],[Opponent]],RIGHT(Table3[[#This Row],[Opponent]],LEN(Table3[[#This Row],[Opponent]])-1)),CHOOSE({1,2},[1]StandingsRAW!$J$1:$J$22,[1]StandingsRAW!$L$1:$L$22),2,FALSE)</f>
        <v>EC</v>
      </c>
      <c r="J110" s="3">
        <f>VLOOKUP(Table3[[#This Row],[OPP]],Raw!$L$2:$S$23,7,FALSE)-Raw!$U$2</f>
        <v>1.1143270057026795</v>
      </c>
    </row>
    <row r="111" spans="1:10" x14ac:dyDescent="0.25">
      <c r="A111" t="s">
        <v>527</v>
      </c>
      <c r="B111" t="s">
        <v>235</v>
      </c>
      <c r="C111" t="s">
        <v>94</v>
      </c>
      <c r="D111" t="str">
        <f>IF(LEFT(Table3[[#This Row],[Opponent]],1)="@","Away","Home")</f>
        <v>Home</v>
      </c>
      <c r="E111" s="3">
        <f>_xlfn.NUMBERVALUE(MID(LEFT(Table3[[#This Row],[Score]],FIND("-",Table3[[#This Row],[Score]])-1),FIND(" ",Table3[[#This Row],[Score]])+1,LEN(Table3[[#This Row],[Score]])))</f>
        <v>4</v>
      </c>
      <c r="F111" s="3">
        <f>_xlfn.NUMBERVALUE(RIGHT(Table3[[#This Row],[Score]],LEN(Table3[[#This Row],[Score]])-FIND("-",Table3[[#This Row],[Score]])))</f>
        <v>8</v>
      </c>
      <c r="G111" s="3">
        <f t="shared" si="16"/>
        <v>12</v>
      </c>
      <c r="H111" s="3" t="str">
        <f>LEFT(Table3[[#This Row],[Score]],1)</f>
        <v>L</v>
      </c>
      <c r="I111" s="3" t="str">
        <f>VLOOKUP(IF(Table3[[#This Row],[At]]="Home",Table3[[#This Row],[Opponent]],RIGHT(Table3[[#This Row],[Opponent]],LEN(Table3[[#This Row],[Opponent]])-1)),CHOOSE({1,2},[1]StandingsRAW!$J$1:$J$22,[1]StandingsRAW!$L$1:$L$22),2,FALSE)</f>
        <v>EC</v>
      </c>
      <c r="J111" s="3">
        <f>VLOOKUP(Table3[[#This Row],[OPP]],Raw!$L$2:$S$23,7,FALSE)-Raw!$U$2</f>
        <v>1.1143270057026795</v>
      </c>
    </row>
    <row r="112" spans="1:10" x14ac:dyDescent="0.25">
      <c r="A112" t="s">
        <v>528</v>
      </c>
      <c r="B112" t="s">
        <v>235</v>
      </c>
      <c r="C112" t="s">
        <v>228</v>
      </c>
      <c r="D112" t="str">
        <f>IF(LEFT(Table3[[#This Row],[Opponent]],1)="@","Away","Home")</f>
        <v>Home</v>
      </c>
      <c r="E112" s="3">
        <f>_xlfn.NUMBERVALUE(MID(LEFT(Table3[[#This Row],[Score]],FIND("-",Table3[[#This Row],[Score]])-1),FIND(" ",Table3[[#This Row],[Score]])+1,LEN(Table3[[#This Row],[Score]])))</f>
        <v>10</v>
      </c>
      <c r="F112" s="3">
        <f>_xlfn.NUMBERVALUE(RIGHT(Table3[[#This Row],[Score]],LEN(Table3[[#This Row],[Score]])-FIND("-",Table3[[#This Row],[Score]])))</f>
        <v>3</v>
      </c>
      <c r="G112" s="3">
        <f t="shared" si="16"/>
        <v>13</v>
      </c>
      <c r="H112" s="3" t="str">
        <f>LEFT(Table3[[#This Row],[Score]],1)</f>
        <v>W</v>
      </c>
      <c r="I112" s="3" t="str">
        <f>VLOOKUP(IF(Table3[[#This Row],[At]]="Home",Table3[[#This Row],[Opponent]],RIGHT(Table3[[#This Row],[Opponent]],LEN(Table3[[#This Row],[Opponent]])-1)),CHOOSE({1,2},[1]StandingsRAW!$J$1:$J$22,[1]StandingsRAW!$L$1:$L$22),2,FALSE)</f>
        <v>EC</v>
      </c>
      <c r="J112" s="3">
        <f>VLOOKUP(Table3[[#This Row],[OPP]],Raw!$L$2:$S$23,7,FALSE)-Raw!$U$2</f>
        <v>1.1143270057026795</v>
      </c>
    </row>
    <row r="113" spans="1:10" x14ac:dyDescent="0.25">
      <c r="A113" t="s">
        <v>529</v>
      </c>
      <c r="B113" t="s">
        <v>250</v>
      </c>
      <c r="C113" t="s">
        <v>217</v>
      </c>
      <c r="D113" t="str">
        <f>IF(LEFT(Table3[[#This Row],[Opponent]],1)="@","Away","Home")</f>
        <v>Home</v>
      </c>
      <c r="E113" s="3">
        <f>_xlfn.NUMBERVALUE(MID(LEFT(Table3[[#This Row],[Score]],FIND("-",Table3[[#This Row],[Score]])-1),FIND(" ",Table3[[#This Row],[Score]])+1,LEN(Table3[[#This Row],[Score]])))</f>
        <v>3</v>
      </c>
      <c r="F113" s="3">
        <f>_xlfn.NUMBERVALUE(RIGHT(Table3[[#This Row],[Score]],LEN(Table3[[#This Row],[Score]])-FIND("-",Table3[[#This Row],[Score]])))</f>
        <v>0</v>
      </c>
      <c r="G113" s="3">
        <f t="shared" si="16"/>
        <v>3</v>
      </c>
      <c r="H113" s="3" t="str">
        <f>LEFT(Table3[[#This Row],[Score]],1)</f>
        <v>W</v>
      </c>
      <c r="I113" s="3" t="str">
        <f>VLOOKUP(IF(Table3[[#This Row],[At]]="Home",Table3[[#This Row],[Opponent]],RIGHT(Table3[[#This Row],[Opponent]],LEN(Table3[[#This Row],[Opponent]])-1)),CHOOSE({1,2},[1]StandingsRAW!$J$1:$J$22,[1]StandingsRAW!$L$1:$L$22),2,FALSE)</f>
        <v>MAN</v>
      </c>
      <c r="J113" s="3">
        <f>VLOOKUP(Table3[[#This Row],[OPP]],Raw!$L$2:$S$23,7,FALSE)-Raw!$U$2</f>
        <v>0.73197406452620895</v>
      </c>
    </row>
    <row r="114" spans="1:10" x14ac:dyDescent="0.25">
      <c r="A114" t="s">
        <v>530</v>
      </c>
      <c r="B114" t="s">
        <v>250</v>
      </c>
      <c r="C114" t="s">
        <v>338</v>
      </c>
      <c r="D114" t="str">
        <f>IF(LEFT(Table3[[#This Row],[Opponent]],1)="@","Away","Home")</f>
        <v>Home</v>
      </c>
      <c r="E114" s="3">
        <f>_xlfn.NUMBERVALUE(MID(LEFT(Table3[[#This Row],[Score]],FIND("-",Table3[[#This Row],[Score]])-1),FIND(" ",Table3[[#This Row],[Score]])+1,LEN(Table3[[#This Row],[Score]])))</f>
        <v>0</v>
      </c>
      <c r="F114" s="3">
        <f>_xlfn.NUMBERVALUE(RIGHT(Table3[[#This Row],[Score]],LEN(Table3[[#This Row],[Score]])-FIND("-",Table3[[#This Row],[Score]])))</f>
        <v>11</v>
      </c>
      <c r="G114" s="3">
        <f t="shared" si="16"/>
        <v>11</v>
      </c>
      <c r="H114" s="3" t="str">
        <f>LEFT(Table3[[#This Row],[Score]],1)</f>
        <v>L</v>
      </c>
      <c r="I114" s="3" t="str">
        <f>VLOOKUP(IF(Table3[[#This Row],[At]]="Home",Table3[[#This Row],[Opponent]],RIGHT(Table3[[#This Row],[Opponent]],LEN(Table3[[#This Row],[Opponent]])-1)),CHOOSE({1,2},[1]StandingsRAW!$J$1:$J$22,[1]StandingsRAW!$L$1:$L$22),2,FALSE)</f>
        <v>MAN</v>
      </c>
      <c r="J114" s="3">
        <f>VLOOKUP(Table3[[#This Row],[OPP]],Raw!$L$2:$S$23,7,FALSE)-Raw!$U$2</f>
        <v>0.73197406452620895</v>
      </c>
    </row>
    <row r="115" spans="1:10" x14ac:dyDescent="0.25">
      <c r="A115" t="s">
        <v>541</v>
      </c>
      <c r="B115" t="s">
        <v>190</v>
      </c>
      <c r="C115" t="s">
        <v>274</v>
      </c>
      <c r="D115" t="str">
        <f>IF(LEFT(Table3[[#This Row],[Opponent]],1)="@","Away","Home")</f>
        <v>Away</v>
      </c>
      <c r="E115" s="3">
        <f>_xlfn.NUMBERVALUE(MID(LEFT(Table3[[#This Row],[Score]],FIND("-",Table3[[#This Row],[Score]])-1),FIND(" ",Table3[[#This Row],[Score]])+1,LEN(Table3[[#This Row],[Score]])))</f>
        <v>9</v>
      </c>
      <c r="F115" s="3">
        <f>_xlfn.NUMBERVALUE(RIGHT(Table3[[#This Row],[Score]],LEN(Table3[[#This Row],[Score]])-FIND("-",Table3[[#This Row],[Score]])))</f>
        <v>10</v>
      </c>
      <c r="G115" s="3">
        <f>E115+F115</f>
        <v>19</v>
      </c>
      <c r="H115" s="3" t="str">
        <f>LEFT(Table3[[#This Row],[Score]],1)</f>
        <v>L</v>
      </c>
      <c r="I115" s="3" t="str">
        <f>VLOOKUP(IF(Table3[[#This Row],[At]]="Home",Table3[[#This Row],[Opponent]],RIGHT(Table3[[#This Row],[Opponent]],LEN(Table3[[#This Row],[Opponent]])-1)),CHOOSE({1,2},[1]StandingsRAW!$J$1:$J$22,[1]StandingsRAW!$L$1:$L$22),2,FALSE)</f>
        <v>LAC</v>
      </c>
      <c r="J115" s="3">
        <f>VLOOKUP(Table3[[#This Row],[OPP]],Raw!$L$2:$S$23,7,FALSE)-Raw!$U$2</f>
        <v>-0.25332005312084993</v>
      </c>
    </row>
    <row r="116" spans="1:10" x14ac:dyDescent="0.25">
      <c r="A116" t="s">
        <v>542</v>
      </c>
      <c r="B116" t="s">
        <v>190</v>
      </c>
      <c r="C116" t="s">
        <v>274</v>
      </c>
      <c r="D116" t="str">
        <f>IF(LEFT(Table3[[#This Row],[Opponent]],1)="@","Away","Home")</f>
        <v>Away</v>
      </c>
      <c r="E116" s="3">
        <f>_xlfn.NUMBERVALUE(MID(LEFT(Table3[[#This Row],[Score]],FIND("-",Table3[[#This Row],[Score]])-1),FIND(" ",Table3[[#This Row],[Score]])+1,LEN(Table3[[#This Row],[Score]])))</f>
        <v>9</v>
      </c>
      <c r="F116" s="3">
        <f>_xlfn.NUMBERVALUE(RIGHT(Table3[[#This Row],[Score]],LEN(Table3[[#This Row],[Score]])-FIND("-",Table3[[#This Row],[Score]])))</f>
        <v>10</v>
      </c>
      <c r="G116" s="3">
        <f>E116+F116</f>
        <v>19</v>
      </c>
      <c r="H116" s="3" t="str">
        <f>LEFT(Table3[[#This Row],[Score]],1)</f>
        <v>L</v>
      </c>
      <c r="I116" s="3" t="str">
        <f>VLOOKUP(IF(Table3[[#This Row],[At]]="Home",Table3[[#This Row],[Opponent]],RIGHT(Table3[[#This Row],[Opponent]],LEN(Table3[[#This Row],[Opponent]])-1)),CHOOSE({1,2},[1]StandingsRAW!$J$1:$J$22,[1]StandingsRAW!$L$1:$L$22),2,FALSE)</f>
        <v>LAC</v>
      </c>
      <c r="J116" s="3">
        <f>VLOOKUP(Table3[[#This Row],[OPP]],Raw!$L$2:$S$23,7,FALSE)-Raw!$U$2</f>
        <v>-0.25332005312084993</v>
      </c>
    </row>
    <row r="117" spans="1:10" x14ac:dyDescent="0.25">
      <c r="A117" t="s">
        <v>543</v>
      </c>
      <c r="B117" t="s">
        <v>190</v>
      </c>
      <c r="C117" t="s">
        <v>544</v>
      </c>
      <c r="D117" t="str">
        <f>IF(LEFT(Table3[[#This Row],[Opponent]],1)="@","Away","Home")</f>
        <v>Away</v>
      </c>
      <c r="E117" s="3">
        <f>_xlfn.NUMBERVALUE(MID(LEFT(Table3[[#This Row],[Score]],FIND("-",Table3[[#This Row],[Score]])-1),FIND(" ",Table3[[#This Row],[Score]])+1,LEN(Table3[[#This Row],[Score]])))</f>
        <v>12</v>
      </c>
      <c r="F117" s="3">
        <f>_xlfn.NUMBERVALUE(RIGHT(Table3[[#This Row],[Score]],LEN(Table3[[#This Row],[Score]])-FIND("-",Table3[[#This Row],[Score]])))</f>
        <v>1</v>
      </c>
      <c r="G117" s="3">
        <f>E117+F117</f>
        <v>13</v>
      </c>
      <c r="H117" s="3" t="str">
        <f>LEFT(Table3[[#This Row],[Score]],1)</f>
        <v>W</v>
      </c>
      <c r="I117" s="3" t="str">
        <f>VLOOKUP(IF(Table3[[#This Row],[At]]="Home",Table3[[#This Row],[Opponent]],RIGHT(Table3[[#This Row],[Opponent]],LEN(Table3[[#This Row],[Opponent]])-1)),CHOOSE({1,2},[1]StandingsRAW!$J$1:$J$22,[1]StandingsRAW!$L$1:$L$22),2,FALSE)</f>
        <v>LAC</v>
      </c>
      <c r="J117" s="3">
        <f>VLOOKUP(Table3[[#This Row],[OPP]],Raw!$L$2:$S$23,7,FALSE)-Raw!$U$2</f>
        <v>-0.25332005312084993</v>
      </c>
    </row>
    <row r="118" spans="1:10" x14ac:dyDescent="0.25">
      <c r="A118" t="s">
        <v>546</v>
      </c>
      <c r="B118" t="s">
        <v>190</v>
      </c>
      <c r="C118" t="s">
        <v>266</v>
      </c>
      <c r="D118" t="str">
        <f>IF(LEFT(Table3[[#This Row],[Opponent]],1)="@","Away","Home")</f>
        <v>Away</v>
      </c>
      <c r="E118" s="3">
        <f>_xlfn.NUMBERVALUE(MID(LEFT(Table3[[#This Row],[Score]],FIND("-",Table3[[#This Row],[Score]])-1),FIND(" ",Table3[[#This Row],[Score]])+1,LEN(Table3[[#This Row],[Score]])))</f>
        <v>8</v>
      </c>
      <c r="F118" s="3">
        <f>_xlfn.NUMBERVALUE(RIGHT(Table3[[#This Row],[Score]],LEN(Table3[[#This Row],[Score]])-FIND("-",Table3[[#This Row],[Score]])))</f>
        <v>10</v>
      </c>
      <c r="G118" s="3">
        <f>E118+F118</f>
        <v>18</v>
      </c>
      <c r="H118" s="3" t="str">
        <f>LEFT(Table3[[#This Row],[Score]],1)</f>
        <v>L</v>
      </c>
      <c r="I118" s="3" t="str">
        <f>VLOOKUP(IF(Table3[[#This Row],[At]]="Home",Table3[[#This Row],[Opponent]],RIGHT(Table3[[#This Row],[Opponent]],LEN(Table3[[#This Row],[Opponent]])-1)),CHOOSE({1,2},[1]StandingsRAW!$J$1:$J$22,[1]StandingsRAW!$L$1:$L$22),2,FALSE)</f>
        <v>LAC</v>
      </c>
      <c r="J118" s="3">
        <f>VLOOKUP(Table3[[#This Row],[OPP]],Raw!$L$2:$S$23,7,FALSE)-Raw!$U$2</f>
        <v>-0.25332005312084993</v>
      </c>
    </row>
    <row r="119" spans="1:10" x14ac:dyDescent="0.25">
      <c r="A119" t="s">
        <v>549</v>
      </c>
      <c r="B119" t="s">
        <v>201</v>
      </c>
      <c r="C119" t="s">
        <v>324</v>
      </c>
      <c r="D119" t="str">
        <f>IF(LEFT(Table3[[#This Row],[Opponent]],1)="@","Away","Home")</f>
        <v>Away</v>
      </c>
      <c r="E119" s="3">
        <f>_xlfn.NUMBERVALUE(MID(LEFT(Table3[[#This Row],[Score]],FIND("-",Table3[[#This Row],[Score]])-1),FIND(" ",Table3[[#This Row],[Score]])+1,LEN(Table3[[#This Row],[Score]])))</f>
        <v>14</v>
      </c>
      <c r="F119" s="3">
        <f>_xlfn.NUMBERVALUE(RIGHT(Table3[[#This Row],[Score]],LEN(Table3[[#This Row],[Score]])-FIND("-",Table3[[#This Row],[Score]])))</f>
        <v>4</v>
      </c>
      <c r="G119" s="3">
        <f t="shared" ref="G119:G122" si="17">E119+F119</f>
        <v>18</v>
      </c>
      <c r="H119" s="3" t="str">
        <f>LEFT(Table3[[#This Row],[Score]],1)</f>
        <v>W</v>
      </c>
      <c r="I119" s="3" t="str">
        <f>VLOOKUP(IF(Table3[[#This Row],[At]]="Home",Table3[[#This Row],[Opponent]],RIGHT(Table3[[#This Row],[Opponent]],LEN(Table3[[#This Row],[Opponent]])-1)),CHOOSE({1,2},[1]StandingsRAW!$J$1:$J$22,[1]StandingsRAW!$L$1:$L$22),2,FALSE)</f>
        <v>STC</v>
      </c>
      <c r="J119" s="3">
        <f>VLOOKUP(Table3[[#This Row],[OPP]],Raw!$L$2:$S$23,7,FALSE)-Raw!$U$2</f>
        <v>2.5702093586438561</v>
      </c>
    </row>
    <row r="120" spans="1:10" x14ac:dyDescent="0.25">
      <c r="A120" t="s">
        <v>550</v>
      </c>
      <c r="B120" t="s">
        <v>201</v>
      </c>
      <c r="C120" t="s">
        <v>205</v>
      </c>
      <c r="D120" t="str">
        <f>IF(LEFT(Table3[[#This Row],[Opponent]],1)="@","Away","Home")</f>
        <v>Away</v>
      </c>
      <c r="E120" s="3">
        <f>_xlfn.NUMBERVALUE(MID(LEFT(Table3[[#This Row],[Score]],FIND("-",Table3[[#This Row],[Score]])-1),FIND(" ",Table3[[#This Row],[Score]])+1,LEN(Table3[[#This Row],[Score]])))</f>
        <v>5</v>
      </c>
      <c r="F120" s="3">
        <f>_xlfn.NUMBERVALUE(RIGHT(Table3[[#This Row],[Score]],LEN(Table3[[#This Row],[Score]])-FIND("-",Table3[[#This Row],[Score]])))</f>
        <v>6</v>
      </c>
      <c r="G120" s="3">
        <f t="shared" si="17"/>
        <v>11</v>
      </c>
      <c r="H120" s="3" t="str">
        <f>LEFT(Table3[[#This Row],[Score]],1)</f>
        <v>L</v>
      </c>
      <c r="I120" s="3" t="str">
        <f>VLOOKUP(IF(Table3[[#This Row],[At]]="Home",Table3[[#This Row],[Opponent]],RIGHT(Table3[[#This Row],[Opponent]],LEN(Table3[[#This Row],[Opponent]])-1)),CHOOSE({1,2},[1]StandingsRAW!$J$1:$J$22,[1]StandingsRAW!$L$1:$L$22),2,FALSE)</f>
        <v>STC</v>
      </c>
      <c r="J120" s="3">
        <f>VLOOKUP(Table3[[#This Row],[OPP]],Raw!$L$2:$S$23,7,FALSE)-Raw!$U$2</f>
        <v>2.5702093586438561</v>
      </c>
    </row>
    <row r="121" spans="1:10" x14ac:dyDescent="0.25">
      <c r="A121" t="s">
        <v>551</v>
      </c>
      <c r="B121" t="s">
        <v>206</v>
      </c>
      <c r="C121" t="s">
        <v>38</v>
      </c>
      <c r="D121" t="str">
        <f>IF(LEFT(Table3[[#This Row],[Opponent]],1)="@","Away","Home")</f>
        <v>Away</v>
      </c>
      <c r="E121" s="3">
        <f>_xlfn.NUMBERVALUE(MID(LEFT(Table3[[#This Row],[Score]],FIND("-",Table3[[#This Row],[Score]])-1),FIND(" ",Table3[[#This Row],[Score]])+1,LEN(Table3[[#This Row],[Score]])))</f>
        <v>3</v>
      </c>
      <c r="F121" s="3">
        <f>_xlfn.NUMBERVALUE(RIGHT(Table3[[#This Row],[Score]],LEN(Table3[[#This Row],[Score]])-FIND("-",Table3[[#This Row],[Score]])))</f>
        <v>5</v>
      </c>
      <c r="G121" s="3">
        <f t="shared" si="17"/>
        <v>8</v>
      </c>
      <c r="H121" s="3" t="str">
        <f>LEFT(Table3[[#This Row],[Score]],1)</f>
        <v>L</v>
      </c>
      <c r="I121" s="3" t="str">
        <f>VLOOKUP(IF(Table3[[#This Row],[At]]="Home",Table3[[#This Row],[Opponent]],RIGHT(Table3[[#This Row],[Opponent]],LEN(Table3[[#This Row],[Opponent]])-1)),CHOOSE({1,2},[1]StandingsRAW!$J$1:$J$22,[1]StandingsRAW!$L$1:$L$22),2,FALSE)</f>
        <v>MAN</v>
      </c>
      <c r="J121" s="3">
        <f>VLOOKUP(Table3[[#This Row],[OPP]],Raw!$L$2:$S$23,7,FALSE)-Raw!$U$2</f>
        <v>0.73197406452620895</v>
      </c>
    </row>
    <row r="122" spans="1:10" x14ac:dyDescent="0.25">
      <c r="A122" t="s">
        <v>552</v>
      </c>
      <c r="B122" t="s">
        <v>206</v>
      </c>
      <c r="C122" t="s">
        <v>336</v>
      </c>
      <c r="D122" t="str">
        <f>IF(LEFT(Table3[[#This Row],[Opponent]],1)="@","Away","Home")</f>
        <v>Away</v>
      </c>
      <c r="E122" s="3">
        <f>_xlfn.NUMBERVALUE(MID(LEFT(Table3[[#This Row],[Score]],FIND("-",Table3[[#This Row],[Score]])-1),FIND(" ",Table3[[#This Row],[Score]])+1,LEN(Table3[[#This Row],[Score]])))</f>
        <v>8</v>
      </c>
      <c r="F122" s="3">
        <f>_xlfn.NUMBERVALUE(RIGHT(Table3[[#This Row],[Score]],LEN(Table3[[#This Row],[Score]])-FIND("-",Table3[[#This Row],[Score]])))</f>
        <v>4</v>
      </c>
      <c r="G122" s="3">
        <f t="shared" si="17"/>
        <v>12</v>
      </c>
      <c r="H122" s="3" t="str">
        <f>LEFT(Table3[[#This Row],[Score]],1)</f>
        <v>W</v>
      </c>
      <c r="I122" s="3" t="str">
        <f>VLOOKUP(IF(Table3[[#This Row],[At]]="Home",Table3[[#This Row],[Opponent]],RIGHT(Table3[[#This Row],[Opponent]],LEN(Table3[[#This Row],[Opponent]])-1)),CHOOSE({1,2},[1]StandingsRAW!$J$1:$J$22,[1]StandingsRAW!$L$1:$L$22),2,FALSE)</f>
        <v>MAN</v>
      </c>
      <c r="J122" s="3">
        <f>VLOOKUP(Table3[[#This Row],[OPP]],Raw!$L$2:$S$23,7,FALSE)-Raw!$U$2</f>
        <v>0.73197406452620895</v>
      </c>
    </row>
    <row r="123" spans="1:10" x14ac:dyDescent="0.25">
      <c r="A123" t="s">
        <v>555</v>
      </c>
      <c r="B123" t="s">
        <v>258</v>
      </c>
      <c r="C123" t="s">
        <v>355</v>
      </c>
      <c r="D123" t="str">
        <f>IF(LEFT(Table3[[#This Row],[Opponent]],1)="@","Away","Home")</f>
        <v>Home</v>
      </c>
      <c r="E123" s="3">
        <f>_xlfn.NUMBERVALUE(MID(LEFT(Table3[[#This Row],[Score]],FIND("-",Table3[[#This Row],[Score]])-1),FIND(" ",Table3[[#This Row],[Score]])+1,LEN(Table3[[#This Row],[Score]])))</f>
        <v>5</v>
      </c>
      <c r="F123" s="3">
        <f>_xlfn.NUMBERVALUE(RIGHT(Table3[[#This Row],[Score]],LEN(Table3[[#This Row],[Score]])-FIND("-",Table3[[#This Row],[Score]])))</f>
        <v>15</v>
      </c>
      <c r="G123" s="3">
        <f>E123+F123</f>
        <v>20</v>
      </c>
      <c r="H123" s="3" t="str">
        <f>LEFT(Table3[[#This Row],[Score]],1)</f>
        <v>L</v>
      </c>
      <c r="I123" s="3" t="str">
        <f>VLOOKUP(IF(Table3[[#This Row],[At]]="Home",Table3[[#This Row],[Opponent]],RIGHT(Table3[[#This Row],[Opponent]],LEN(Table3[[#This Row],[Opponent]])-1)),CHOOSE({1,2},[1]StandingsRAW!$J$1:$J$22,[1]StandingsRAW!$L$1:$L$22),2,FALSE)</f>
        <v>WAT</v>
      </c>
      <c r="J123" s="3">
        <f>VLOOKUP(Table3[[#This Row],[OPP]],Raw!$L$2:$S$23,7,FALSE)-Raw!$U$2</f>
        <v>-3.3415553472384971</v>
      </c>
    </row>
    <row r="124" spans="1:10" x14ac:dyDescent="0.25">
      <c r="A124" t="s">
        <v>557</v>
      </c>
      <c r="B124" t="s">
        <v>258</v>
      </c>
      <c r="C124" t="s">
        <v>301</v>
      </c>
      <c r="D124" t="str">
        <f>IF(LEFT(Table3[[#This Row],[Opponent]],1)="@","Away","Home")</f>
        <v>Home</v>
      </c>
      <c r="E124" s="3">
        <f>_xlfn.NUMBERVALUE(MID(LEFT(Table3[[#This Row],[Score]],FIND("-",Table3[[#This Row],[Score]])-1),FIND(" ",Table3[[#This Row],[Score]])+1,LEN(Table3[[#This Row],[Score]])))</f>
        <v>3</v>
      </c>
      <c r="F124" s="3">
        <f>_xlfn.NUMBERVALUE(RIGHT(Table3[[#This Row],[Score]],LEN(Table3[[#This Row],[Score]])-FIND("-",Table3[[#This Row],[Score]])))</f>
        <v>9</v>
      </c>
      <c r="G124" s="3">
        <f t="shared" ref="G124:G125" si="18">E124+F124</f>
        <v>12</v>
      </c>
      <c r="H124" s="3" t="str">
        <f>LEFT(Table3[[#This Row],[Score]],1)</f>
        <v>L</v>
      </c>
      <c r="I124" s="3" t="str">
        <f>VLOOKUP(IF(Table3[[#This Row],[At]]="Home",Table3[[#This Row],[Opponent]],RIGHT(Table3[[#This Row],[Opponent]],LEN(Table3[[#This Row],[Opponent]])-1)),CHOOSE({1,2},[1]StandingsRAW!$J$1:$J$22,[1]StandingsRAW!$L$1:$L$22),2,FALSE)</f>
        <v>WAT</v>
      </c>
      <c r="J124" s="3">
        <f>VLOOKUP(Table3[[#This Row],[OPP]],Raw!$L$2:$S$23,7,FALSE)-Raw!$U$2</f>
        <v>-3.3415553472384971</v>
      </c>
    </row>
    <row r="125" spans="1:10" x14ac:dyDescent="0.25">
      <c r="A125" t="s">
        <v>557</v>
      </c>
      <c r="B125" t="s">
        <v>258</v>
      </c>
      <c r="C125" t="s">
        <v>205</v>
      </c>
      <c r="D125" t="str">
        <f>IF(LEFT(Table3[[#This Row],[Opponent]],1)="@","Away","Home")</f>
        <v>Home</v>
      </c>
      <c r="E125" s="3">
        <f>_xlfn.NUMBERVALUE(MID(LEFT(Table3[[#This Row],[Score]],FIND("-",Table3[[#This Row],[Score]])-1),FIND(" ",Table3[[#This Row],[Score]])+1,LEN(Table3[[#This Row],[Score]])))</f>
        <v>5</v>
      </c>
      <c r="F125" s="3">
        <f>_xlfn.NUMBERVALUE(RIGHT(Table3[[#This Row],[Score]],LEN(Table3[[#This Row],[Score]])-FIND("-",Table3[[#This Row],[Score]])))</f>
        <v>6</v>
      </c>
      <c r="G125" s="3">
        <f t="shared" si="18"/>
        <v>11</v>
      </c>
      <c r="H125" s="3" t="str">
        <f>LEFT(Table3[[#This Row],[Score]],1)</f>
        <v>L</v>
      </c>
      <c r="I125" s="3" t="str">
        <f>VLOOKUP(IF(Table3[[#This Row],[At]]="Home",Table3[[#This Row],[Opponent]],RIGHT(Table3[[#This Row],[Opponent]],LEN(Table3[[#This Row],[Opponent]])-1)),CHOOSE({1,2},[1]StandingsRAW!$J$1:$J$22,[1]StandingsRAW!$L$1:$L$22),2,FALSE)</f>
        <v>WAT</v>
      </c>
      <c r="J125" s="3">
        <f>VLOOKUP(Table3[[#This Row],[OPP]],Raw!$L$2:$S$23,7,FALSE)-Raw!$U$2</f>
        <v>-3.3415553472384971</v>
      </c>
    </row>
    <row r="126" spans="1:10" x14ac:dyDescent="0.25">
      <c r="A126" t="s">
        <v>558</v>
      </c>
      <c r="B126" t="s">
        <v>258</v>
      </c>
      <c r="C126" t="s">
        <v>559</v>
      </c>
      <c r="D126" t="str">
        <f>IF(LEFT(Table3[[#This Row],[Opponent]],1)="@","Away","Home")</f>
        <v>Home</v>
      </c>
      <c r="E126" s="3">
        <f>_xlfn.NUMBERVALUE(MID(LEFT(Table3[[#This Row],[Score]],FIND("-",Table3[[#This Row],[Score]])-1),FIND(" ",Table3[[#This Row],[Score]])+1,LEN(Table3[[#This Row],[Score]])))</f>
        <v>14</v>
      </c>
      <c r="F126" s="3">
        <f>_xlfn.NUMBERVALUE(RIGHT(Table3[[#This Row],[Score]],LEN(Table3[[#This Row],[Score]])-FIND("-",Table3[[#This Row],[Score]])))</f>
        <v>3</v>
      </c>
      <c r="G126" s="3">
        <f>E126+F126</f>
        <v>17</v>
      </c>
      <c r="H126" s="3" t="str">
        <f>LEFT(Table3[[#This Row],[Score]],1)</f>
        <v>W</v>
      </c>
      <c r="I126" s="3" t="str">
        <f>VLOOKUP(IF(Table3[[#This Row],[At]]="Home",Table3[[#This Row],[Opponent]],RIGHT(Table3[[#This Row],[Opponent]],LEN(Table3[[#This Row],[Opponent]])-1)),CHOOSE({1,2},[1]StandingsRAW!$J$1:$J$22,[1]StandingsRAW!$L$1:$L$22),2,FALSE)</f>
        <v>WAT</v>
      </c>
      <c r="J126" s="3">
        <f>VLOOKUP(Table3[[#This Row],[OPP]],Raw!$L$2:$S$23,7,FALSE)-Raw!$U$2</f>
        <v>-3.3415553472384971</v>
      </c>
    </row>
    <row r="127" spans="1:10" x14ac:dyDescent="0.25">
      <c r="A127" t="s">
        <v>563</v>
      </c>
      <c r="B127" t="s">
        <v>225</v>
      </c>
      <c r="C127" t="s">
        <v>323</v>
      </c>
      <c r="D127" t="str">
        <f>IF(LEFT(Table3[[#This Row],[Opponent]],1)="@","Away","Home")</f>
        <v>Home</v>
      </c>
      <c r="E127" s="3">
        <f>_xlfn.NUMBERVALUE(MID(LEFT(Table3[[#This Row],[Score]],FIND("-",Table3[[#This Row],[Score]])-1),FIND(" ",Table3[[#This Row],[Score]])+1,LEN(Table3[[#This Row],[Score]])))</f>
        <v>7</v>
      </c>
      <c r="F127" s="3">
        <f>_xlfn.NUMBERVALUE(RIGHT(Table3[[#This Row],[Score]],LEN(Table3[[#This Row],[Score]])-FIND("-",Table3[[#This Row],[Score]])))</f>
        <v>6</v>
      </c>
      <c r="G127" s="3">
        <f>E127+F127</f>
        <v>13</v>
      </c>
      <c r="H127" s="3" t="str">
        <f>LEFT(Table3[[#This Row],[Score]],1)</f>
        <v>W</v>
      </c>
      <c r="I127" s="3" t="str">
        <f>VLOOKUP(IF(Table3[[#This Row],[At]]="Home",Table3[[#This Row],[Opponent]],RIGHT(Table3[[#This Row],[Opponent]],LEN(Table3[[#This Row],[Opponent]])-1)),CHOOSE({1,2},[1]StandingsRAW!$J$1:$J$22,[1]StandingsRAW!$L$1:$L$22),2,FALSE)</f>
        <v>DUL</v>
      </c>
      <c r="J127" s="3">
        <f>VLOOKUP(Table3[[#This Row],[OPP]],Raw!$L$2:$S$23,7,FALSE)-Raw!$U$2</f>
        <v>-0.37645438147905891</v>
      </c>
    </row>
    <row r="128" spans="1:10" x14ac:dyDescent="0.25">
      <c r="A128" t="s">
        <v>564</v>
      </c>
      <c r="B128" t="s">
        <v>225</v>
      </c>
      <c r="C128" t="s">
        <v>65</v>
      </c>
      <c r="D128" t="str">
        <f>IF(LEFT(Table3[[#This Row],[Opponent]],1)="@","Away","Home")</f>
        <v>Home</v>
      </c>
      <c r="E128" s="3">
        <f>_xlfn.NUMBERVALUE(MID(LEFT(Table3[[#This Row],[Score]],FIND("-",Table3[[#This Row],[Score]])-1),FIND(" ",Table3[[#This Row],[Score]])+1,LEN(Table3[[#This Row],[Score]])))</f>
        <v>1</v>
      </c>
      <c r="F128" s="3">
        <f>_xlfn.NUMBERVALUE(RIGHT(Table3[[#This Row],[Score]],LEN(Table3[[#This Row],[Score]])-FIND("-",Table3[[#This Row],[Score]])))</f>
        <v>4</v>
      </c>
      <c r="G128" s="3">
        <f t="shared" ref="G128:G131" si="19">E128+F128</f>
        <v>5</v>
      </c>
      <c r="H128" s="3" t="str">
        <f>LEFT(Table3[[#This Row],[Score]],1)</f>
        <v>L</v>
      </c>
      <c r="I128" s="3" t="str">
        <f>VLOOKUP(IF(Table3[[#This Row],[At]]="Home",Table3[[#This Row],[Opponent]],RIGHT(Table3[[#This Row],[Opponent]],LEN(Table3[[#This Row],[Opponent]])-1)),CHOOSE({1,2},[1]StandingsRAW!$J$1:$J$22,[1]StandingsRAW!$L$1:$L$22),2,FALSE)</f>
        <v>DUL</v>
      </c>
      <c r="J128" s="3">
        <f>VLOOKUP(Table3[[#This Row],[OPP]],Raw!$L$2:$S$23,7,FALSE)-Raw!$U$2</f>
        <v>-0.37645438147905891</v>
      </c>
    </row>
    <row r="129" spans="1:10" x14ac:dyDescent="0.25">
      <c r="A129" t="s">
        <v>565</v>
      </c>
      <c r="B129" t="s">
        <v>211</v>
      </c>
      <c r="C129" t="s">
        <v>322</v>
      </c>
      <c r="D129" t="str">
        <f>IF(LEFT(Table3[[#This Row],[Opponent]],1)="@","Away","Home")</f>
        <v>Away</v>
      </c>
      <c r="E129" s="3">
        <f>_xlfn.NUMBERVALUE(MID(LEFT(Table3[[#This Row],[Score]],FIND("-",Table3[[#This Row],[Score]])-1),FIND(" ",Table3[[#This Row],[Score]])+1,LEN(Table3[[#This Row],[Score]])))</f>
        <v>6</v>
      </c>
      <c r="F129" s="3">
        <f>_xlfn.NUMBERVALUE(RIGHT(Table3[[#This Row],[Score]],LEN(Table3[[#This Row],[Score]])-FIND("-",Table3[[#This Row],[Score]])))</f>
        <v>7</v>
      </c>
      <c r="G129" s="3">
        <f t="shared" si="19"/>
        <v>13</v>
      </c>
      <c r="H129" s="3" t="str">
        <f>LEFT(Table3[[#This Row],[Score]],1)</f>
        <v>L</v>
      </c>
      <c r="I129" s="3" t="str">
        <f>VLOOKUP(IF(Table3[[#This Row],[At]]="Home",Table3[[#This Row],[Opponent]],RIGHT(Table3[[#This Row],[Opponent]],LEN(Table3[[#This Row],[Opponent]])-1)),CHOOSE({1,2},[1]StandingsRAW!$J$1:$J$22,[1]StandingsRAW!$L$1:$L$22),2,FALSE)</f>
        <v>WIL</v>
      </c>
      <c r="J129" s="3">
        <f>VLOOKUP(Table3[[#This Row],[OPP]],Raw!$L$2:$S$23,7,FALSE)-Raw!$U$2</f>
        <v>3.0407975939379734</v>
      </c>
    </row>
    <row r="130" spans="1:10" x14ac:dyDescent="0.25">
      <c r="A130" t="s">
        <v>566</v>
      </c>
      <c r="B130" t="s">
        <v>211</v>
      </c>
      <c r="C130" t="s">
        <v>569</v>
      </c>
      <c r="D130" t="str">
        <f>IF(LEFT(Table3[[#This Row],[Opponent]],1)="@","Away","Home")</f>
        <v>Away</v>
      </c>
      <c r="E130" s="3">
        <f>_xlfn.NUMBERVALUE(MID(LEFT(Table3[[#This Row],[Score]],FIND("-",Table3[[#This Row],[Score]])-1),FIND(" ",Table3[[#This Row],[Score]])+1,LEN(Table3[[#This Row],[Score]])))</f>
        <v>2</v>
      </c>
      <c r="F130" s="3">
        <f>_xlfn.NUMBERVALUE(RIGHT(Table3[[#This Row],[Score]],LEN(Table3[[#This Row],[Score]])-FIND("-",Table3[[#This Row],[Score]])))</f>
        <v>27</v>
      </c>
      <c r="G130" s="3">
        <f t="shared" si="19"/>
        <v>29</v>
      </c>
      <c r="H130" s="3" t="str">
        <f>LEFT(Table3[[#This Row],[Score]],1)</f>
        <v>L</v>
      </c>
      <c r="I130" s="3" t="str">
        <f>VLOOKUP(IF(Table3[[#This Row],[At]]="Home",Table3[[#This Row],[Opponent]],RIGHT(Table3[[#This Row],[Opponent]],LEN(Table3[[#This Row],[Opponent]])-1)),CHOOSE({1,2},[1]StandingsRAW!$J$1:$J$22,[1]StandingsRAW!$L$1:$L$22),2,FALSE)</f>
        <v>WIL</v>
      </c>
      <c r="J130" s="3">
        <f>VLOOKUP(Table3[[#This Row],[OPP]],Raw!$L$2:$S$23,7,FALSE)-Raw!$U$2</f>
        <v>3.0407975939379734</v>
      </c>
    </row>
    <row r="131" spans="1:10" x14ac:dyDescent="0.25">
      <c r="A131" t="s">
        <v>568</v>
      </c>
      <c r="B131" t="s">
        <v>210</v>
      </c>
      <c r="C131" t="s">
        <v>531</v>
      </c>
      <c r="D131" t="str">
        <f>IF(LEFT(Table3[[#This Row],[Opponent]],1)="@","Away","Home")</f>
        <v>Away</v>
      </c>
      <c r="E131" s="3">
        <f>_xlfn.NUMBERVALUE(MID(LEFT(Table3[[#This Row],[Score]],FIND("-",Table3[[#This Row],[Score]])-1),FIND(" ",Table3[[#This Row],[Score]])+1,LEN(Table3[[#This Row],[Score]])))</f>
        <v>11</v>
      </c>
      <c r="F131" s="3">
        <f>_xlfn.NUMBERVALUE(RIGHT(Table3[[#This Row],[Score]],LEN(Table3[[#This Row],[Score]])-FIND("-",Table3[[#This Row],[Score]])))</f>
        <v>12</v>
      </c>
      <c r="G131" s="3">
        <f t="shared" si="19"/>
        <v>23</v>
      </c>
      <c r="H131" s="3" t="str">
        <f>LEFT(Table3[[#This Row],[Score]],1)</f>
        <v>L</v>
      </c>
      <c r="I131" s="3" t="str">
        <f>VLOOKUP(IF(Table3[[#This Row],[At]]="Home",Table3[[#This Row],[Opponent]],RIGHT(Table3[[#This Row],[Opponent]],LEN(Table3[[#This Row],[Opponent]])-1)),CHOOSE({1,2},[1]StandingsRAW!$J$1:$J$22,[1]StandingsRAW!$L$1:$L$22),2,FALSE)</f>
        <v>ROC</v>
      </c>
      <c r="J131" s="3">
        <f>VLOOKUP(Table3[[#This Row],[OPP]],Raw!$L$2:$S$23,7,FALSE)-Raw!$U$2</f>
        <v>-0.20920240606202639</v>
      </c>
    </row>
    <row r="132" spans="1:10" x14ac:dyDescent="0.25">
      <c r="A132" t="s">
        <v>589</v>
      </c>
      <c r="B132" t="s">
        <v>210</v>
      </c>
      <c r="C132" t="s">
        <v>326</v>
      </c>
      <c r="D132" t="str">
        <f>IF(LEFT(Table3[[#This Row],[Opponent]],1)="@","Away","Home")</f>
        <v>Away</v>
      </c>
      <c r="E132" s="3">
        <f>_xlfn.NUMBERVALUE(MID(LEFT(Table3[[#This Row],[Score]],FIND("-",Table3[[#This Row],[Score]])-1),FIND(" ",Table3[[#This Row],[Score]])+1,LEN(Table3[[#This Row],[Score]])))</f>
        <v>10</v>
      </c>
      <c r="F132" s="3">
        <f>_xlfn.NUMBERVALUE(RIGHT(Table3[[#This Row],[Score]],LEN(Table3[[#This Row],[Score]])-FIND("-",Table3[[#This Row],[Score]])))</f>
        <v>9</v>
      </c>
      <c r="G132" s="3">
        <f>E132+F132</f>
        <v>19</v>
      </c>
      <c r="H132" s="3" t="str">
        <f>LEFT(Table3[[#This Row],[Score]],1)</f>
        <v>W</v>
      </c>
      <c r="I132" s="3" t="str">
        <f>VLOOKUP(IF(Table3[[#This Row],[At]]="Home",Table3[[#This Row],[Opponent]],RIGHT(Table3[[#This Row],[Opponent]],LEN(Table3[[#This Row],[Opponent]])-1)),CHOOSE({1,2},[1]StandingsRAW!$J$1:$J$22,[1]StandingsRAW!$L$1:$L$22),2,FALSE)</f>
        <v>ROC</v>
      </c>
      <c r="J132" s="3">
        <f>VLOOKUP(Table3[[#This Row],[OPP]],Raw!$L$2:$S$23,7,FALSE)-Raw!$U$2</f>
        <v>-0.20920240606202639</v>
      </c>
    </row>
    <row r="133" spans="1:10" x14ac:dyDescent="0.25">
      <c r="A133" t="s">
        <v>592</v>
      </c>
      <c r="B133" t="s">
        <v>194</v>
      </c>
      <c r="C133" t="s">
        <v>292</v>
      </c>
      <c r="D133" t="str">
        <f>IF(LEFT(Table3[[#This Row],[Opponent]],1)="@","Away","Home")</f>
        <v>Away</v>
      </c>
      <c r="E133" s="3">
        <f>_xlfn.NUMBERVALUE(MID(LEFT(Table3[[#This Row],[Score]],FIND("-",Table3[[#This Row],[Score]])-1),FIND(" ",Table3[[#This Row],[Score]])+1,LEN(Table3[[#This Row],[Score]])))</f>
        <v>7</v>
      </c>
      <c r="F133" s="3">
        <f>_xlfn.NUMBERVALUE(RIGHT(Table3[[#This Row],[Score]],LEN(Table3[[#This Row],[Score]])-FIND("-",Table3[[#This Row],[Score]])))</f>
        <v>8</v>
      </c>
      <c r="G133" s="3">
        <f>E133+F133</f>
        <v>15</v>
      </c>
      <c r="H133" s="3" t="str">
        <f>LEFT(Table3[[#This Row],[Score]],1)</f>
        <v>L</v>
      </c>
      <c r="I133" s="3" t="str">
        <f>VLOOKUP(IF(Table3[[#This Row],[At]]="Home",Table3[[#This Row],[Opponent]],RIGHT(Table3[[#This Row],[Opponent]],LEN(Table3[[#This Row],[Opponent]])-1)),CHOOSE({1,2},[1]StandingsRAW!$J$1:$J$22,[1]StandingsRAW!$L$1:$L$22),2,FALSE)</f>
        <v>EC</v>
      </c>
      <c r="J133" s="3">
        <f>VLOOKUP(Table3[[#This Row],[OPP]],Raw!$L$2:$S$23,7,FALSE)-Raw!$U$2</f>
        <v>1.1143270057026795</v>
      </c>
    </row>
    <row r="134" spans="1:10" x14ac:dyDescent="0.25">
      <c r="A134" t="s">
        <v>595</v>
      </c>
      <c r="B134" t="s">
        <v>194</v>
      </c>
      <c r="C134" t="s">
        <v>226</v>
      </c>
      <c r="D134" t="str">
        <f>IF(LEFT(Table3[[#This Row],[Opponent]],1)="@","Away","Home")</f>
        <v>Away</v>
      </c>
      <c r="E134" s="3">
        <f>_xlfn.NUMBERVALUE(MID(LEFT(Table3[[#This Row],[Score]],FIND("-",Table3[[#This Row],[Score]])-1),FIND(" ",Table3[[#This Row],[Score]])+1,LEN(Table3[[#This Row],[Score]])))</f>
        <v>3</v>
      </c>
      <c r="F134" s="3">
        <f>_xlfn.NUMBERVALUE(RIGHT(Table3[[#This Row],[Score]],LEN(Table3[[#This Row],[Score]])-FIND("-",Table3[[#This Row],[Score]])))</f>
        <v>2</v>
      </c>
      <c r="G134" s="3">
        <f>E134+F134</f>
        <v>5</v>
      </c>
      <c r="H134" s="3" t="str">
        <f>LEFT(Table3[[#This Row],[Score]],1)</f>
        <v>W</v>
      </c>
      <c r="I134" s="3" t="str">
        <f>VLOOKUP(IF(Table3[[#This Row],[At]]="Home",Table3[[#This Row],[Opponent]],RIGHT(Table3[[#This Row],[Opponent]],LEN(Table3[[#This Row],[Opponent]])-1)),CHOOSE({1,2},[1]StandingsRAW!$J$1:$J$22,[1]StandingsRAW!$L$1:$L$22),2,FALSE)</f>
        <v>EC</v>
      </c>
      <c r="J134" s="3">
        <f>VLOOKUP(Table3[[#This Row],[OPP]],Raw!$L$2:$S$23,7,FALSE)-Raw!$U$2</f>
        <v>1.1143270057026795</v>
      </c>
    </row>
    <row r="135" spans="1:10" x14ac:dyDescent="0.25">
      <c r="A135" t="s">
        <v>598</v>
      </c>
      <c r="B135" t="s">
        <v>250</v>
      </c>
      <c r="C135" t="s">
        <v>94</v>
      </c>
      <c r="D135" t="str">
        <f>IF(LEFT(Table3[[#This Row],[Opponent]],1)="@","Away","Home")</f>
        <v>Home</v>
      </c>
      <c r="E135" s="3">
        <f>_xlfn.NUMBERVALUE(MID(LEFT(Table3[[#This Row],[Score]],FIND("-",Table3[[#This Row],[Score]])-1),FIND(" ",Table3[[#This Row],[Score]])+1,LEN(Table3[[#This Row],[Score]])))</f>
        <v>4</v>
      </c>
      <c r="F135" s="3">
        <f>_xlfn.NUMBERVALUE(RIGHT(Table3[[#This Row],[Score]],LEN(Table3[[#This Row],[Score]])-FIND("-",Table3[[#This Row],[Score]])))</f>
        <v>8</v>
      </c>
      <c r="G135" s="3">
        <f>E135+F135</f>
        <v>12</v>
      </c>
      <c r="H135" s="3" t="str">
        <f>LEFT(Table3[[#This Row],[Score]],1)</f>
        <v>L</v>
      </c>
      <c r="I135" s="3" t="str">
        <f>VLOOKUP(IF(Table3[[#This Row],[At]]="Home",Table3[[#This Row],[Opponent]],RIGHT(Table3[[#This Row],[Opponent]],LEN(Table3[[#This Row],[Opponent]])-1)),CHOOSE({1,2},[1]StandingsRAW!$J$1:$J$22,[1]StandingsRAW!$L$1:$L$22),2,FALSE)</f>
        <v>MAN</v>
      </c>
      <c r="J135" s="3">
        <f>VLOOKUP(Table3[[#This Row],[OPP]],Raw!$L$2:$S$23,7,FALSE)-Raw!$U$2</f>
        <v>0.73197406452620895</v>
      </c>
    </row>
    <row r="136" spans="1:10" x14ac:dyDescent="0.25">
      <c r="A136" t="s">
        <v>599</v>
      </c>
      <c r="B136" t="s">
        <v>250</v>
      </c>
      <c r="C136" t="s">
        <v>121</v>
      </c>
      <c r="D136" t="str">
        <f>IF(LEFT(Table3[[#This Row],[Opponent]],1)="@","Away","Home")</f>
        <v>Home</v>
      </c>
      <c r="E136" s="3">
        <f>_xlfn.NUMBERVALUE(MID(LEFT(Table3[[#This Row],[Score]],FIND("-",Table3[[#This Row],[Score]])-1),FIND(" ",Table3[[#This Row],[Score]])+1,LEN(Table3[[#This Row],[Score]])))</f>
        <v>2</v>
      </c>
      <c r="F136" s="3">
        <f>_xlfn.NUMBERVALUE(RIGHT(Table3[[#This Row],[Score]],LEN(Table3[[#This Row],[Score]])-FIND("-",Table3[[#This Row],[Score]])))</f>
        <v>11</v>
      </c>
      <c r="G136" s="3">
        <f>E136+F136</f>
        <v>13</v>
      </c>
      <c r="H136" s="3" t="str">
        <f>LEFT(Table3[[#This Row],[Score]],1)</f>
        <v>L</v>
      </c>
      <c r="I136" s="3" t="str">
        <f>VLOOKUP(IF(Table3[[#This Row],[At]]="Home",Table3[[#This Row],[Opponent]],RIGHT(Table3[[#This Row],[Opponent]],LEN(Table3[[#This Row],[Opponent]])-1)),CHOOSE({1,2},[1]StandingsRAW!$J$1:$J$22,[1]StandingsRAW!$L$1:$L$22),2,FALSE)</f>
        <v>MAN</v>
      </c>
      <c r="J136" s="3">
        <f>VLOOKUP(Table3[[#This Row],[OPP]],Raw!$L$2:$S$23,7,FALSE)-Raw!$U$2</f>
        <v>0.73197406452620895</v>
      </c>
    </row>
    <row r="137" spans="1:10" x14ac:dyDescent="0.25">
      <c r="A137" t="s">
        <v>602</v>
      </c>
      <c r="B137" t="s">
        <v>211</v>
      </c>
      <c r="C137" t="s">
        <v>338</v>
      </c>
      <c r="D137" t="str">
        <f>IF(LEFT(Table3[[#This Row],[Opponent]],1)="@","Away","Home")</f>
        <v>Away</v>
      </c>
      <c r="E137" s="3">
        <f>_xlfn.NUMBERVALUE(MID(LEFT(Table3[[#This Row],[Score]],FIND("-",Table3[[#This Row],[Score]])-1),FIND(" ",Table3[[#This Row],[Score]])+1,LEN(Table3[[#This Row],[Score]])))</f>
        <v>0</v>
      </c>
      <c r="F137" s="3">
        <f>_xlfn.NUMBERVALUE(RIGHT(Table3[[#This Row],[Score]],LEN(Table3[[#This Row],[Score]])-FIND("-",Table3[[#This Row],[Score]])))</f>
        <v>11</v>
      </c>
      <c r="G137" s="3">
        <f t="shared" ref="G137:G138" si="20">E137+F137</f>
        <v>11</v>
      </c>
      <c r="H137" s="3" t="str">
        <f>LEFT(Table3[[#This Row],[Score]],1)</f>
        <v>L</v>
      </c>
      <c r="I137" s="3" t="str">
        <f>VLOOKUP(IF(Table3[[#This Row],[At]]="Home",Table3[[#This Row],[Opponent]],RIGHT(Table3[[#This Row],[Opponent]],LEN(Table3[[#This Row],[Opponent]])-1)),CHOOSE({1,2},[1]StandingsRAW!$J$1:$J$22,[1]StandingsRAW!$L$1:$L$22),2,FALSE)</f>
        <v>WIL</v>
      </c>
      <c r="J137" s="3">
        <f>VLOOKUP(Table3[[#This Row],[OPP]],Raw!$L$2:$S$23,7,FALSE)-Raw!$U$2</f>
        <v>3.0407975939379734</v>
      </c>
    </row>
    <row r="138" spans="1:10" x14ac:dyDescent="0.25">
      <c r="A138" t="s">
        <v>603</v>
      </c>
      <c r="B138" t="s">
        <v>211</v>
      </c>
      <c r="C138" t="s">
        <v>15</v>
      </c>
      <c r="D138" t="str">
        <f>IF(LEFT(Table3[[#This Row],[Opponent]],1)="@","Away","Home")</f>
        <v>Away</v>
      </c>
      <c r="E138" s="3">
        <f>_xlfn.NUMBERVALUE(MID(LEFT(Table3[[#This Row],[Score]],FIND("-",Table3[[#This Row],[Score]])-1),FIND(" ",Table3[[#This Row],[Score]])+1,LEN(Table3[[#This Row],[Score]])))</f>
        <v>3</v>
      </c>
      <c r="F138" s="3">
        <f>_xlfn.NUMBERVALUE(RIGHT(Table3[[#This Row],[Score]],LEN(Table3[[#This Row],[Score]])-FIND("-",Table3[[#This Row],[Score]])))</f>
        <v>1</v>
      </c>
      <c r="G138" s="3">
        <f t="shared" si="20"/>
        <v>4</v>
      </c>
      <c r="H138" s="3" t="str">
        <f>LEFT(Table3[[#This Row],[Score]],1)</f>
        <v>W</v>
      </c>
      <c r="I138" s="3" t="str">
        <f>VLOOKUP(IF(Table3[[#This Row],[At]]="Home",Table3[[#This Row],[Opponent]],RIGHT(Table3[[#This Row],[Opponent]],LEN(Table3[[#This Row],[Opponent]])-1)),CHOOSE({1,2},[1]StandingsRAW!$J$1:$J$22,[1]StandingsRAW!$L$1:$L$22),2,FALSE)</f>
        <v>WIL</v>
      </c>
      <c r="J138" s="3">
        <f>VLOOKUP(Table3[[#This Row],[OPP]],Raw!$L$2:$S$23,7,FALSE)-Raw!$U$2</f>
        <v>3.0407975939379734</v>
      </c>
    </row>
    <row r="139" spans="1:10" x14ac:dyDescent="0.25">
      <c r="A139" t="s">
        <v>608</v>
      </c>
      <c r="B139" t="s">
        <v>245</v>
      </c>
      <c r="C139" t="s">
        <v>28</v>
      </c>
      <c r="D139" s="91" t="str">
        <f>IF(LEFT(Table3[[#This Row],[Opponent]],1)="@","Away","Home")</f>
        <v>Home</v>
      </c>
      <c r="E139" s="3">
        <f>_xlfn.NUMBERVALUE(MID(LEFT(Table3[[#This Row],[Score]],FIND("-",Table3[[#This Row],[Score]])-1),FIND(" ",Table3[[#This Row],[Score]])+1,LEN(Table3[[#This Row],[Score]])))</f>
        <v>4</v>
      </c>
      <c r="F139" s="3">
        <f>_xlfn.NUMBERVALUE(RIGHT(Table3[[#This Row],[Score]],LEN(Table3[[#This Row],[Score]])-FIND("-",Table3[[#This Row],[Score]])))</f>
        <v>2</v>
      </c>
      <c r="G139" s="3">
        <f t="shared" ref="G139:G140" si="21">E139+F139</f>
        <v>6</v>
      </c>
      <c r="H139" s="3" t="str">
        <f>LEFT(Table3[[#This Row],[Score]],1)</f>
        <v>W</v>
      </c>
      <c r="I139" s="3" t="str">
        <f>VLOOKUP(IF(Table3[[#This Row],[At]]="Home",Table3[[#This Row],[Opponent]],RIGHT(Table3[[#This Row],[Opponent]],LEN(Table3[[#This Row],[Opponent]])-1)),CHOOSE({1,2},[1]StandingsRAW!$J$1:$J$22,[1]StandingsRAW!$L$1:$L$22),2,FALSE)</f>
        <v>STC</v>
      </c>
      <c r="J139" s="3">
        <f>VLOOKUP(Table3[[#This Row],[OPP]],Raw!$L$2:$S$23,7,FALSE)-Raw!$U$2</f>
        <v>2.5702093586438561</v>
      </c>
    </row>
    <row r="140" spans="1:10" x14ac:dyDescent="0.25">
      <c r="A140" t="s">
        <v>609</v>
      </c>
      <c r="B140" t="s">
        <v>245</v>
      </c>
      <c r="C140" t="s">
        <v>132</v>
      </c>
      <c r="D140" s="91" t="str">
        <f>IF(LEFT(Table3[[#This Row],[Opponent]],1)="@","Away","Home")</f>
        <v>Home</v>
      </c>
      <c r="E140" s="3">
        <f>_xlfn.NUMBERVALUE(MID(LEFT(Table3[[#This Row],[Score]],FIND("-",Table3[[#This Row],[Score]])-1),FIND(" ",Table3[[#This Row],[Score]])+1,LEN(Table3[[#This Row],[Score]])))</f>
        <v>3</v>
      </c>
      <c r="F140" s="3">
        <f>_xlfn.NUMBERVALUE(RIGHT(Table3[[#This Row],[Score]],LEN(Table3[[#This Row],[Score]])-FIND("-",Table3[[#This Row],[Score]])))</f>
        <v>6</v>
      </c>
      <c r="G140" s="3">
        <f t="shared" si="21"/>
        <v>9</v>
      </c>
      <c r="H140" s="3" t="str">
        <f>LEFT(Table3[[#This Row],[Score]],1)</f>
        <v>L</v>
      </c>
      <c r="I140" s="3" t="str">
        <f>VLOOKUP(IF(Table3[[#This Row],[At]]="Home",Table3[[#This Row],[Opponent]],RIGHT(Table3[[#This Row],[Opponent]],LEN(Table3[[#This Row],[Opponent]])-1)),CHOOSE({1,2},[1]StandingsRAW!$J$1:$J$22,[1]StandingsRAW!$L$1:$L$22),2,FALSE)</f>
        <v>STC</v>
      </c>
      <c r="J140" s="3">
        <f>VLOOKUP(Table3[[#This Row],[OPP]],Raw!$L$2:$S$23,7,FALSE)-Raw!$U$2</f>
        <v>2.5702093586438561</v>
      </c>
    </row>
  </sheetData>
  <conditionalFormatting sqref="L17">
    <cfRule type="cellIs" dxfId="104" priority="4" operator="greaterThan">
      <formula>100</formula>
    </cfRule>
    <cfRule type="cellIs" dxfId="103" priority="5" operator="lessThan">
      <formula>100</formula>
    </cfRule>
  </conditionalFormatting>
  <conditionalFormatting sqref="L18">
    <cfRule type="cellIs" dxfId="102" priority="2" operator="greaterThan">
      <formula>100</formula>
    </cfRule>
    <cfRule type="cellIs" dxfId="101" priority="3" operator="lessThan">
      <formula>100</formula>
    </cfRule>
  </conditionalFormatting>
  <conditionalFormatting sqref="L17:L18">
    <cfRule type="cellIs" dxfId="100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98C7-B598-4986-AAE6-475F11B64B6F}">
  <sheetPr codeName="Sheet5"/>
  <dimension ref="A1:P140"/>
  <sheetViews>
    <sheetView topLeftCell="A68" workbookViewId="0">
      <selection activeCell="A73" sqref="A73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268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258</v>
      </c>
      <c r="C3" t="s">
        <v>259</v>
      </c>
      <c r="E3" s="1" t="str">
        <f>IF(LEFT(B3,1)="@","Away","Home")</f>
        <v>Home</v>
      </c>
      <c r="F3" s="3">
        <f>_xlfn.NUMBERVALUE(MID(LEFT(C3,FIND("-",C3)-1),FIND(" ",C3)+1,LEN(C3)))</f>
        <v>0</v>
      </c>
      <c r="G3" s="3">
        <f>_xlfn.NUMBERVALUE(RIGHT(C3,LEN(C3)-FIND("-",C3)))</f>
        <v>5</v>
      </c>
      <c r="H3" s="3">
        <f t="shared" ref="H3:H66" si="0">F3+G3</f>
        <v>5</v>
      </c>
      <c r="I3" s="3" t="str">
        <f>LEFT(C3,1)</f>
        <v>L</v>
      </c>
      <c r="K3" s="4" t="s">
        <v>139</v>
      </c>
      <c r="L3" s="5">
        <f>(SUMIF($E$3:$E$74,$K3,F$3:F$74) + SUMIF(Table4[At],$K3,Table4[Scored]))/(COUNTIF($E$3:$E$74,$K3) + COUNTIF(Table4[At],$K3))</f>
        <v>5.5972222222222223</v>
      </c>
      <c r="M3" s="5">
        <f>(SUMIF($E$3:$E$74,$K3,G$3:G$74) + SUMIF(Table4[At],$K3,Table4[Allowed]))/(COUNTIF($E$3:$E$74,$K3) + COUNTIF(Table4[At],$K3))</f>
        <v>5.8472222222222223</v>
      </c>
      <c r="N3" s="5">
        <f>L3+M3</f>
        <v>11.444444444444445</v>
      </c>
      <c r="O3" s="5">
        <f>(COUNTIFS($E$3:$E$74,$K3,$I$3:$I$74,O$2) + COUNTIFS(Table4[At],$K3,Table4[Result],O$2))/(COUNTIF($E$3:$E$74,$K3) + COUNTIF(Table4[At],$K3))</f>
        <v>0.52777777777777779</v>
      </c>
      <c r="P3" s="5">
        <f>(COUNTIFS($E$3:$E$74,$K3,$I$3:$I$74,P$2) + COUNTIFS(Table4[At],$K3,Table4[Result],P$2))/(COUNTIF($E$3:$E$74,$K3) + COUNTIF(Table4[At],$K3))</f>
        <v>0.47222222222222221</v>
      </c>
    </row>
    <row r="4" spans="1:16" x14ac:dyDescent="0.25">
      <c r="A4" t="s">
        <v>7</v>
      </c>
      <c r="B4" t="s">
        <v>258</v>
      </c>
      <c r="C4" t="s">
        <v>26</v>
      </c>
      <c r="E4" s="1" t="str">
        <f t="shared" ref="E4:E67" si="1">IF(LEFT(B4,1)="@","Away","Home")</f>
        <v>Home</v>
      </c>
      <c r="F4" s="3">
        <f t="shared" ref="F4:F67" si="2">_xlfn.NUMBERVALUE(MID(LEFT(C4,FIND("-",C4)-1),FIND(" ",C4)+1,LEN(C4)))</f>
        <v>10</v>
      </c>
      <c r="G4" s="3">
        <f t="shared" ref="G4:G67" si="3">_xlfn.NUMBERVALUE(RIGHT(C4,LEN(C4)-FIND("-",C4)))</f>
        <v>6</v>
      </c>
      <c r="H4" s="3">
        <f t="shared" si="0"/>
        <v>16</v>
      </c>
      <c r="I4" s="3" t="str">
        <f t="shared" ref="I4:I67" si="4">LEFT(C4,1)</f>
        <v>W</v>
      </c>
      <c r="K4" s="4" t="s">
        <v>140</v>
      </c>
      <c r="L4" s="5">
        <f>(SUMIF($E$3:$E$74,$K4,F$3:F$74) + SUMIF(Table4[At],$K4,Table4[Scored]))/(COUNTIF($E$3:$E$74,$K4) + COUNTIF(Table4[At],$K4))</f>
        <v>5.0625</v>
      </c>
      <c r="M4" s="5">
        <f>(SUMIF($E$3:$E$74,$K4,G$3:G$74) + SUMIF(Table4[At],$K4,Table4[Allowed]))/(COUNTIF($E$3:$E$74,$K4) + COUNTIF(Table4[At],$K4))</f>
        <v>6.03125</v>
      </c>
      <c r="N4" s="5">
        <f>L4+M4</f>
        <v>11.09375</v>
      </c>
      <c r="O4" s="5">
        <f>(COUNTIFS($E$3:$E$74,$K4,$I$3:$I$74,O$2) + COUNTIFS(Table4[At],$K4,Table4[Result],O$2))/(COUNTIF($E$3:$E$74,$K4) + COUNTIF(Table4[At],$K4))</f>
        <v>0.40625</v>
      </c>
      <c r="P4" s="5">
        <f>(COUNTIFS($E$3:$E$74,$K4,$I$3:$I$74,P$2) + COUNTIFS(Table4[At],$K4,Table4[Result],P$2))/(COUNTIF($E$3:$E$74,$K4) + COUNTIF(Table4[At],$K4))</f>
        <v>0.59375</v>
      </c>
    </row>
    <row r="5" spans="1:16" x14ac:dyDescent="0.25">
      <c r="A5" t="s">
        <v>9</v>
      </c>
      <c r="B5" t="s">
        <v>203</v>
      </c>
      <c r="C5" t="s">
        <v>269</v>
      </c>
      <c r="E5" s="1" t="str">
        <f t="shared" si="1"/>
        <v>Away</v>
      </c>
      <c r="F5" s="3">
        <f t="shared" si="2"/>
        <v>2</v>
      </c>
      <c r="G5" s="3">
        <f t="shared" si="3"/>
        <v>3</v>
      </c>
      <c r="H5" s="3">
        <f t="shared" si="0"/>
        <v>5</v>
      </c>
      <c r="I5" s="3" t="str">
        <f t="shared" si="4"/>
        <v>L</v>
      </c>
    </row>
    <row r="6" spans="1:16" x14ac:dyDescent="0.25">
      <c r="A6" t="s">
        <v>12</v>
      </c>
      <c r="B6" t="s">
        <v>203</v>
      </c>
      <c r="C6" t="s">
        <v>83</v>
      </c>
      <c r="E6" s="1" t="str">
        <f t="shared" si="1"/>
        <v>Away</v>
      </c>
      <c r="F6" s="3">
        <f t="shared" si="2"/>
        <v>4</v>
      </c>
      <c r="G6" s="3">
        <f t="shared" si="3"/>
        <v>7</v>
      </c>
      <c r="H6" s="3">
        <f t="shared" si="0"/>
        <v>11</v>
      </c>
      <c r="I6" s="3" t="str">
        <f t="shared" si="4"/>
        <v>L</v>
      </c>
      <c r="K6" s="4" t="s">
        <v>144</v>
      </c>
      <c r="L6" s="5">
        <f>N3/N4</f>
        <v>1.0316118935837246</v>
      </c>
      <c r="O6" s="4" t="s">
        <v>178</v>
      </c>
      <c r="P6" s="1" t="s">
        <v>180</v>
      </c>
    </row>
    <row r="7" spans="1:16" x14ac:dyDescent="0.25">
      <c r="A7" t="s">
        <v>14</v>
      </c>
      <c r="B7" t="s">
        <v>201</v>
      </c>
      <c r="C7" t="s">
        <v>48</v>
      </c>
      <c r="E7" s="1" t="str">
        <f t="shared" si="1"/>
        <v>Away</v>
      </c>
      <c r="F7" s="3">
        <f t="shared" si="2"/>
        <v>4</v>
      </c>
      <c r="G7" s="3">
        <f t="shared" si="3"/>
        <v>5</v>
      </c>
      <c r="H7" s="3">
        <f t="shared" si="0"/>
        <v>9</v>
      </c>
      <c r="I7" s="3" t="str">
        <f t="shared" si="4"/>
        <v>L</v>
      </c>
      <c r="K7" s="7" t="s">
        <v>143</v>
      </c>
      <c r="L7" s="5">
        <f>(18.5 - O3)/(18.5-P4)</f>
        <v>1.003684312584836</v>
      </c>
      <c r="O7" s="4" t="s">
        <v>147</v>
      </c>
      <c r="P7" s="1">
        <f>VLOOKUP($P$6,'Full League'!$L$4:$N$5,2,FALSE)</f>
        <v>10</v>
      </c>
    </row>
    <row r="8" spans="1:16" x14ac:dyDescent="0.25">
      <c r="A8" t="s">
        <v>16</v>
      </c>
      <c r="B8" t="s">
        <v>245</v>
      </c>
      <c r="C8" t="s">
        <v>6</v>
      </c>
      <c r="E8" s="1" t="str">
        <f t="shared" si="1"/>
        <v>Home</v>
      </c>
      <c r="F8" s="3">
        <f t="shared" si="2"/>
        <v>2</v>
      </c>
      <c r="G8" s="3">
        <f t="shared" si="3"/>
        <v>6</v>
      </c>
      <c r="H8" s="3">
        <f t="shared" si="0"/>
        <v>8</v>
      </c>
      <c r="I8" s="3" t="str">
        <f t="shared" si="4"/>
        <v>L</v>
      </c>
      <c r="K8" s="7" t="s">
        <v>146</v>
      </c>
      <c r="L8" s="5">
        <f>L6/L7</f>
        <v>1.0278250647626099</v>
      </c>
      <c r="O8" s="4" t="s">
        <v>151</v>
      </c>
      <c r="P8" s="2">
        <f>VLOOKUP($P$6,'Full League'!$L$4:$N$5,3,FALSE)</f>
        <v>11.586233565351895</v>
      </c>
    </row>
    <row r="9" spans="1:16" x14ac:dyDescent="0.25">
      <c r="A9" t="s">
        <v>19</v>
      </c>
      <c r="B9" t="s">
        <v>235</v>
      </c>
      <c r="C9" t="s">
        <v>270</v>
      </c>
      <c r="E9" s="1" t="str">
        <f t="shared" si="1"/>
        <v>Home</v>
      </c>
      <c r="F9" s="3">
        <f t="shared" si="2"/>
        <v>4</v>
      </c>
      <c r="G9" s="3">
        <f t="shared" si="3"/>
        <v>3</v>
      </c>
      <c r="H9" s="3">
        <f t="shared" si="0"/>
        <v>7</v>
      </c>
      <c r="I9" s="3" t="str">
        <f t="shared" si="4"/>
        <v>W</v>
      </c>
      <c r="K9" s="7" t="s">
        <v>145</v>
      </c>
      <c r="L9" s="5">
        <f>(P7)/(P7-1+L8)</f>
        <v>0.99722521438268941</v>
      </c>
      <c r="O9" s="4"/>
      <c r="P9" s="1"/>
    </row>
    <row r="10" spans="1:16" x14ac:dyDescent="0.25">
      <c r="A10" t="s">
        <v>193</v>
      </c>
      <c r="B10" t="s">
        <v>194</v>
      </c>
      <c r="C10" t="s">
        <v>269</v>
      </c>
      <c r="E10" s="1" t="str">
        <f t="shared" si="1"/>
        <v>Away</v>
      </c>
      <c r="F10" s="3">
        <f t="shared" si="2"/>
        <v>2</v>
      </c>
      <c r="G10" s="3">
        <f t="shared" si="3"/>
        <v>3</v>
      </c>
      <c r="H10" s="3">
        <f t="shared" si="0"/>
        <v>5</v>
      </c>
      <c r="I10" s="3" t="str">
        <f t="shared" si="4"/>
        <v>L</v>
      </c>
      <c r="K10" s="4" t="s">
        <v>149</v>
      </c>
      <c r="L10" s="5">
        <f>L8*L9</f>
        <v>1.0249730705557953</v>
      </c>
      <c r="O10" s="4"/>
      <c r="P10" s="1"/>
    </row>
    <row r="11" spans="1:16" x14ac:dyDescent="0.25">
      <c r="A11" t="s">
        <v>22</v>
      </c>
      <c r="B11" t="s">
        <v>231</v>
      </c>
      <c r="C11" t="s">
        <v>132</v>
      </c>
      <c r="E11" s="1" t="str">
        <f t="shared" si="1"/>
        <v>Home</v>
      </c>
      <c r="F11" s="3">
        <f t="shared" si="2"/>
        <v>3</v>
      </c>
      <c r="G11" s="3">
        <f t="shared" si="3"/>
        <v>6</v>
      </c>
      <c r="H11" s="3">
        <f t="shared" si="0"/>
        <v>9</v>
      </c>
      <c r="I11" s="3" t="str">
        <f t="shared" si="4"/>
        <v>L</v>
      </c>
      <c r="K11" s="4" t="s">
        <v>148</v>
      </c>
      <c r="L11" s="5">
        <f>1 - ((L10-1)/(P7-1))</f>
        <v>0.99722521438268941</v>
      </c>
      <c r="O11" s="4"/>
      <c r="P11" s="1"/>
    </row>
    <row r="12" spans="1:16" x14ac:dyDescent="0.25">
      <c r="A12" t="s">
        <v>196</v>
      </c>
      <c r="B12" t="s">
        <v>231</v>
      </c>
      <c r="C12" t="s">
        <v>59</v>
      </c>
      <c r="E12" s="1" t="str">
        <f t="shared" si="1"/>
        <v>Home</v>
      </c>
      <c r="F12" s="3">
        <f t="shared" si="2"/>
        <v>11</v>
      </c>
      <c r="G12" s="3">
        <f t="shared" si="3"/>
        <v>7</v>
      </c>
      <c r="H12" s="3">
        <f t="shared" si="0"/>
        <v>18</v>
      </c>
      <c r="I12" s="3" t="str">
        <f t="shared" si="4"/>
        <v>W</v>
      </c>
      <c r="K12" s="4" t="s">
        <v>150</v>
      </c>
      <c r="L12" s="5">
        <f>(($L4/$L11)+($L3/$L10)) * (1 + (L13-1)/($P7-1)) / $P8</f>
        <v>0.90947886191649585</v>
      </c>
      <c r="M12" s="5">
        <f t="shared" ref="M12:O12" si="5">(($L4/$L11)+($L3/$L10)) * (1 + (M13-1)/($P7-1)) / $P8</f>
        <v>0.90990053578799734</v>
      </c>
      <c r="N12" s="5">
        <f t="shared" si="5"/>
        <v>0.90990533846012778</v>
      </c>
      <c r="O12" s="8">
        <f t="shared" si="5"/>
        <v>0.90990539316036212</v>
      </c>
      <c r="P12" s="5"/>
    </row>
    <row r="13" spans="1:16" x14ac:dyDescent="0.25">
      <c r="A13" t="s">
        <v>25</v>
      </c>
      <c r="B13" t="s">
        <v>201</v>
      </c>
      <c r="C13" t="s">
        <v>271</v>
      </c>
      <c r="E13" s="1" t="str">
        <f t="shared" si="1"/>
        <v>Away</v>
      </c>
      <c r="F13" s="3">
        <f t="shared" si="2"/>
        <v>5</v>
      </c>
      <c r="G13" s="3">
        <f t="shared" si="3"/>
        <v>11</v>
      </c>
      <c r="H13" s="3">
        <f t="shared" si="0"/>
        <v>16</v>
      </c>
      <c r="I13" s="3" t="str">
        <f t="shared" si="4"/>
        <v>L</v>
      </c>
      <c r="K13" s="4" t="s">
        <v>182</v>
      </c>
      <c r="L13" s="5">
        <v>1</v>
      </c>
      <c r="M13" s="5">
        <f>(($M4/$L11)+($M3/$L10)) * (1 + (L12-1)/($P7-1)) / $P8</f>
        <v>1.0041727905973723</v>
      </c>
      <c r="N13" s="5">
        <f>(($M4/$L11)+($M3/$L10)) * (1 + (M12-1)/($P7-1)) / $P8</f>
        <v>1.004220316769759</v>
      </c>
      <c r="O13" s="5">
        <f>(($M4/$L11)+($M3/$L10)) * (1 + (N12-1)/($P7-1)) / $P8</f>
        <v>1.0042208580710799</v>
      </c>
      <c r="P13" s="8">
        <f>(($M4/$L11)+($M3/$L10)) * (1 + (O12-1)/($P7-1)) / $P8</f>
        <v>1.0042208642362538</v>
      </c>
    </row>
    <row r="14" spans="1:16" x14ac:dyDescent="0.25">
      <c r="A14" t="s">
        <v>27</v>
      </c>
      <c r="B14" t="s">
        <v>201</v>
      </c>
      <c r="C14" t="s">
        <v>272</v>
      </c>
      <c r="E14" s="1" t="str">
        <f t="shared" si="1"/>
        <v>Away</v>
      </c>
      <c r="F14" s="3">
        <f t="shared" si="2"/>
        <v>0</v>
      </c>
      <c r="G14" s="3">
        <f t="shared" si="3"/>
        <v>12</v>
      </c>
      <c r="H14" s="3">
        <f t="shared" si="0"/>
        <v>12</v>
      </c>
      <c r="I14" s="3" t="str">
        <f t="shared" si="4"/>
        <v>L</v>
      </c>
      <c r="K14" s="4" t="s">
        <v>183</v>
      </c>
      <c r="L14" s="5">
        <f xml:space="preserve"> (L10+L11) / (2 * (1 + ((P13-1)/(P7-1))))</f>
        <v>1.0106251745075383</v>
      </c>
      <c r="N14" s="5"/>
    </row>
    <row r="15" spans="1:16" x14ac:dyDescent="0.25">
      <c r="A15" t="s">
        <v>29</v>
      </c>
      <c r="B15" t="s">
        <v>192</v>
      </c>
      <c r="C15" t="s">
        <v>273</v>
      </c>
      <c r="E15" s="1" t="str">
        <f t="shared" si="1"/>
        <v>Away</v>
      </c>
      <c r="F15" s="3">
        <f t="shared" si="2"/>
        <v>14</v>
      </c>
      <c r="G15" s="3">
        <f t="shared" si="3"/>
        <v>12</v>
      </c>
      <c r="H15" s="3">
        <f t="shared" si="0"/>
        <v>26</v>
      </c>
      <c r="I15" s="3" t="str">
        <f t="shared" si="4"/>
        <v>W</v>
      </c>
      <c r="K15" s="4" t="s">
        <v>184</v>
      </c>
      <c r="L15" s="5">
        <f xml:space="preserve"> (L10+L11) / (2 * (1 + ((O12-1)/(P7-1))))</f>
        <v>1.0213231095819111</v>
      </c>
    </row>
    <row r="16" spans="1:16" ht="15.75" thickBot="1" x14ac:dyDescent="0.3">
      <c r="A16" t="s">
        <v>32</v>
      </c>
      <c r="B16" t="s">
        <v>192</v>
      </c>
      <c r="C16" t="s">
        <v>234</v>
      </c>
      <c r="E16" s="1" t="str">
        <f t="shared" si="1"/>
        <v>Away</v>
      </c>
      <c r="F16" s="3">
        <f t="shared" si="2"/>
        <v>2</v>
      </c>
      <c r="G16" s="3">
        <f t="shared" si="3"/>
        <v>5</v>
      </c>
      <c r="H16" s="3">
        <f t="shared" si="0"/>
        <v>7</v>
      </c>
      <c r="I16" s="3" t="str">
        <f t="shared" si="4"/>
        <v>L</v>
      </c>
    </row>
    <row r="17" spans="1:14" x14ac:dyDescent="0.25">
      <c r="A17" t="s">
        <v>34</v>
      </c>
      <c r="B17" t="s">
        <v>241</v>
      </c>
      <c r="C17" t="s">
        <v>61</v>
      </c>
      <c r="E17" s="1" t="str">
        <f t="shared" si="1"/>
        <v>Home</v>
      </c>
      <c r="F17" s="3">
        <f t="shared" si="2"/>
        <v>7</v>
      </c>
      <c r="G17" s="3">
        <f t="shared" si="3"/>
        <v>3</v>
      </c>
      <c r="H17" s="3">
        <f t="shared" si="0"/>
        <v>10</v>
      </c>
      <c r="I17" s="3" t="str">
        <f t="shared" si="4"/>
        <v>W</v>
      </c>
      <c r="K17" s="9" t="s">
        <v>185</v>
      </c>
      <c r="L17" s="10">
        <f>L14*100</f>
        <v>101.06251745075383</v>
      </c>
    </row>
    <row r="18" spans="1:14" ht="15.75" thickBot="1" x14ac:dyDescent="0.3">
      <c r="A18" t="s">
        <v>37</v>
      </c>
      <c r="B18" t="s">
        <v>241</v>
      </c>
      <c r="C18" t="s">
        <v>90</v>
      </c>
      <c r="E18" s="1" t="str">
        <f t="shared" si="1"/>
        <v>Home</v>
      </c>
      <c r="F18" s="3">
        <f t="shared" si="2"/>
        <v>0</v>
      </c>
      <c r="G18" s="3">
        <f t="shared" si="3"/>
        <v>8</v>
      </c>
      <c r="H18" s="3">
        <f t="shared" si="0"/>
        <v>8</v>
      </c>
      <c r="I18" s="3" t="str">
        <f t="shared" si="4"/>
        <v>L</v>
      </c>
      <c r="K18" s="11" t="s">
        <v>186</v>
      </c>
      <c r="L18" s="12">
        <f>L15*100</f>
        <v>102.13231095819111</v>
      </c>
    </row>
    <row r="19" spans="1:14" x14ac:dyDescent="0.25">
      <c r="A19" t="s">
        <v>39</v>
      </c>
      <c r="B19" t="s">
        <v>192</v>
      </c>
      <c r="C19" t="s">
        <v>199</v>
      </c>
      <c r="E19" s="1" t="str">
        <f t="shared" si="1"/>
        <v>Away</v>
      </c>
      <c r="F19" s="3">
        <f t="shared" si="2"/>
        <v>3</v>
      </c>
      <c r="G19" s="3">
        <f t="shared" si="3"/>
        <v>7</v>
      </c>
      <c r="H19" s="3">
        <f t="shared" si="0"/>
        <v>10</v>
      </c>
      <c r="I19" s="3" t="str">
        <f t="shared" si="4"/>
        <v>L</v>
      </c>
    </row>
    <row r="20" spans="1:14" x14ac:dyDescent="0.25">
      <c r="A20" t="s">
        <v>41</v>
      </c>
      <c r="B20" t="s">
        <v>192</v>
      </c>
      <c r="C20" t="s">
        <v>254</v>
      </c>
      <c r="E20" s="1" t="str">
        <f t="shared" si="1"/>
        <v>Away</v>
      </c>
      <c r="F20" s="3">
        <f t="shared" si="2"/>
        <v>5</v>
      </c>
      <c r="G20" s="3">
        <f t="shared" si="3"/>
        <v>4</v>
      </c>
      <c r="H20" s="3">
        <f t="shared" si="0"/>
        <v>9</v>
      </c>
      <c r="I20" s="3" t="str">
        <f t="shared" si="4"/>
        <v>W</v>
      </c>
    </row>
    <row r="21" spans="1:14" x14ac:dyDescent="0.25">
      <c r="A21" t="s">
        <v>43</v>
      </c>
      <c r="B21" t="s">
        <v>190</v>
      </c>
      <c r="C21" t="s">
        <v>274</v>
      </c>
      <c r="E21" s="1" t="str">
        <f t="shared" si="1"/>
        <v>Away</v>
      </c>
      <c r="F21" s="3">
        <f t="shared" si="2"/>
        <v>9</v>
      </c>
      <c r="G21" s="3">
        <f t="shared" si="3"/>
        <v>10</v>
      </c>
      <c r="H21" s="3">
        <f t="shared" si="0"/>
        <v>19</v>
      </c>
      <c r="I21" s="3" t="str">
        <f t="shared" si="4"/>
        <v>L</v>
      </c>
    </row>
    <row r="22" spans="1:14" x14ac:dyDescent="0.25">
      <c r="A22" t="s">
        <v>45</v>
      </c>
      <c r="B22" t="s">
        <v>190</v>
      </c>
      <c r="C22" t="s">
        <v>275</v>
      </c>
      <c r="E22" s="1" t="str">
        <f t="shared" si="1"/>
        <v>Away</v>
      </c>
      <c r="F22" s="3">
        <f t="shared" si="2"/>
        <v>12</v>
      </c>
      <c r="G22" s="3">
        <f t="shared" si="3"/>
        <v>6</v>
      </c>
      <c r="H22" s="3">
        <f t="shared" si="0"/>
        <v>18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210</v>
      </c>
      <c r="C23" t="s">
        <v>276</v>
      </c>
      <c r="E23" s="1" t="str">
        <f t="shared" si="1"/>
        <v>Away</v>
      </c>
      <c r="F23" s="3">
        <f t="shared" si="2"/>
        <v>2</v>
      </c>
      <c r="G23" s="3">
        <f t="shared" si="3"/>
        <v>4</v>
      </c>
      <c r="H23" s="3">
        <f t="shared" si="0"/>
        <v>6</v>
      </c>
      <c r="I23" s="3" t="str">
        <f t="shared" si="4"/>
        <v>L</v>
      </c>
      <c r="K23" s="1">
        <f>COUNTIFS(Table4[At], "Home",Table4[Result], "W")</f>
        <v>21</v>
      </c>
      <c r="L23" s="1">
        <f>COUNTIFS(Table4[At], "Home",Table4[Result], "L")</f>
        <v>15</v>
      </c>
      <c r="M23" s="1">
        <f>COUNTIFS(Table4[At], "Away",Table4[Result], "W")</f>
        <v>13</v>
      </c>
      <c r="N23" s="1">
        <f>COUNTIFS(Table4[At], "Away",Table4[Result], "L")</f>
        <v>19</v>
      </c>
    </row>
    <row r="24" spans="1:14" x14ac:dyDescent="0.25">
      <c r="A24" t="s">
        <v>49</v>
      </c>
      <c r="B24" t="s">
        <v>210</v>
      </c>
      <c r="C24" t="s">
        <v>205</v>
      </c>
      <c r="E24" s="1" t="str">
        <f t="shared" si="1"/>
        <v>Away</v>
      </c>
      <c r="F24" s="3">
        <f t="shared" si="2"/>
        <v>5</v>
      </c>
      <c r="G24" s="3">
        <f t="shared" si="3"/>
        <v>6</v>
      </c>
      <c r="H24" s="3">
        <f t="shared" si="0"/>
        <v>11</v>
      </c>
      <c r="I24" s="3" t="str">
        <f t="shared" si="4"/>
        <v>L</v>
      </c>
      <c r="K24" s="1"/>
      <c r="M24" s="1"/>
      <c r="N24" s="1"/>
    </row>
    <row r="25" spans="1:14" x14ac:dyDescent="0.25">
      <c r="A25" t="s">
        <v>51</v>
      </c>
      <c r="B25" t="s">
        <v>194</v>
      </c>
      <c r="C25" t="s">
        <v>253</v>
      </c>
      <c r="E25" s="1" t="str">
        <f t="shared" si="1"/>
        <v>Away</v>
      </c>
      <c r="F25" s="3">
        <f t="shared" si="2"/>
        <v>4</v>
      </c>
      <c r="G25" s="3">
        <f t="shared" si="3"/>
        <v>0</v>
      </c>
      <c r="H25" s="3">
        <f t="shared" si="0"/>
        <v>4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194</v>
      </c>
      <c r="C26" t="s">
        <v>83</v>
      </c>
      <c r="E26" s="1" t="str">
        <f t="shared" si="1"/>
        <v>Away</v>
      </c>
      <c r="F26" s="3">
        <f t="shared" si="2"/>
        <v>4</v>
      </c>
      <c r="G26" s="3">
        <f t="shared" si="3"/>
        <v>7</v>
      </c>
      <c r="H26" s="3">
        <f t="shared" si="0"/>
        <v>11</v>
      </c>
      <c r="I26" s="3" t="str">
        <f t="shared" si="4"/>
        <v>L</v>
      </c>
      <c r="K26" s="1">
        <f>COUNTIFS(Table4[oR/G], "&gt;0",Table4[Result], "W")</f>
        <v>9</v>
      </c>
      <c r="L26" s="1">
        <f>COUNTIFS(Table4[oR/G], "&gt;0",Table4[Result], "l")</f>
        <v>23</v>
      </c>
      <c r="M26" s="1">
        <f>COUNTIFS(Table4[oR/G], "&lt;0",Table4[Result], "W")</f>
        <v>25</v>
      </c>
      <c r="N26" s="1">
        <f>COUNTIFS(Table4[oR/G], "&lt;0",Table4[Result], "l")</f>
        <v>11</v>
      </c>
    </row>
    <row r="27" spans="1:14" x14ac:dyDescent="0.25">
      <c r="A27" t="s">
        <v>53</v>
      </c>
      <c r="B27" t="s">
        <v>258</v>
      </c>
      <c r="C27" t="s">
        <v>277</v>
      </c>
      <c r="E27" s="1" t="str">
        <f t="shared" si="1"/>
        <v>Home</v>
      </c>
      <c r="F27" s="3">
        <f t="shared" si="2"/>
        <v>5</v>
      </c>
      <c r="G27" s="3">
        <f t="shared" si="3"/>
        <v>8</v>
      </c>
      <c r="H27" s="3">
        <f t="shared" si="0"/>
        <v>13</v>
      </c>
      <c r="I27" s="3" t="str">
        <f t="shared" si="4"/>
        <v>L</v>
      </c>
    </row>
    <row r="28" spans="1:14" x14ac:dyDescent="0.25">
      <c r="A28" t="s">
        <v>208</v>
      </c>
      <c r="B28" t="s">
        <v>258</v>
      </c>
      <c r="C28" t="s">
        <v>271</v>
      </c>
      <c r="E28" s="1" t="str">
        <f t="shared" si="1"/>
        <v>Home</v>
      </c>
      <c r="F28" s="3">
        <f t="shared" si="2"/>
        <v>5</v>
      </c>
      <c r="G28" s="3">
        <f t="shared" si="3"/>
        <v>11</v>
      </c>
      <c r="H28" s="3">
        <f t="shared" si="0"/>
        <v>16</v>
      </c>
      <c r="I28" s="3" t="str">
        <f t="shared" si="4"/>
        <v>L</v>
      </c>
    </row>
    <row r="29" spans="1:14" x14ac:dyDescent="0.25">
      <c r="A29" t="s">
        <v>247</v>
      </c>
      <c r="B29" t="s">
        <v>278</v>
      </c>
      <c r="C29" t="s">
        <v>254</v>
      </c>
      <c r="E29" s="1" t="str">
        <f t="shared" si="1"/>
        <v>Home</v>
      </c>
      <c r="F29" s="3">
        <f t="shared" si="2"/>
        <v>5</v>
      </c>
      <c r="G29" s="3">
        <f t="shared" si="3"/>
        <v>4</v>
      </c>
      <c r="H29" s="3">
        <f t="shared" si="0"/>
        <v>9</v>
      </c>
      <c r="I29" s="3" t="str">
        <f t="shared" si="4"/>
        <v>W</v>
      </c>
    </row>
    <row r="30" spans="1:14" x14ac:dyDescent="0.25">
      <c r="A30" t="s">
        <v>54</v>
      </c>
      <c r="B30" t="s">
        <v>278</v>
      </c>
      <c r="C30" t="s">
        <v>212</v>
      </c>
      <c r="E30" s="1" t="str">
        <f t="shared" si="1"/>
        <v>Home</v>
      </c>
      <c r="F30" s="3">
        <f t="shared" si="2"/>
        <v>6</v>
      </c>
      <c r="G30" s="3">
        <f t="shared" si="3"/>
        <v>10</v>
      </c>
      <c r="H30" s="3">
        <f t="shared" si="0"/>
        <v>16</v>
      </c>
      <c r="I30" s="3" t="str">
        <f t="shared" si="4"/>
        <v>L</v>
      </c>
    </row>
    <row r="31" spans="1:14" x14ac:dyDescent="0.25">
      <c r="A31" t="s">
        <v>62</v>
      </c>
      <c r="B31" t="s">
        <v>190</v>
      </c>
      <c r="C31" t="s">
        <v>244</v>
      </c>
      <c r="E31" s="1" t="str">
        <f t="shared" si="1"/>
        <v>Away</v>
      </c>
      <c r="F31" s="3">
        <f t="shared" si="2"/>
        <v>6</v>
      </c>
      <c r="G31" s="3">
        <f t="shared" si="3"/>
        <v>3</v>
      </c>
      <c r="H31" s="3">
        <f t="shared" si="0"/>
        <v>9</v>
      </c>
      <c r="I31" s="3" t="str">
        <f t="shared" si="4"/>
        <v>W</v>
      </c>
    </row>
    <row r="32" spans="1:14" x14ac:dyDescent="0.25">
      <c r="A32" t="s">
        <v>64</v>
      </c>
      <c r="B32" t="s">
        <v>190</v>
      </c>
      <c r="C32" t="s">
        <v>279</v>
      </c>
      <c r="E32" s="1" t="str">
        <f t="shared" si="1"/>
        <v>Away</v>
      </c>
      <c r="F32" s="3">
        <f t="shared" si="2"/>
        <v>7</v>
      </c>
      <c r="G32" s="3">
        <f t="shared" si="3"/>
        <v>2</v>
      </c>
      <c r="H32" s="3">
        <f t="shared" si="0"/>
        <v>9</v>
      </c>
      <c r="I32" s="3" t="str">
        <f t="shared" si="4"/>
        <v>W</v>
      </c>
    </row>
    <row r="33" spans="1:9" x14ac:dyDescent="0.25">
      <c r="A33" t="s">
        <v>66</v>
      </c>
      <c r="B33" t="s">
        <v>201</v>
      </c>
      <c r="C33" t="s">
        <v>207</v>
      </c>
      <c r="E33" s="1" t="str">
        <f t="shared" si="1"/>
        <v>Away</v>
      </c>
      <c r="F33" s="3">
        <f t="shared" si="2"/>
        <v>3</v>
      </c>
      <c r="G33" s="3">
        <f t="shared" si="3"/>
        <v>8</v>
      </c>
      <c r="H33" s="3">
        <f t="shared" si="0"/>
        <v>11</v>
      </c>
      <c r="I33" s="3" t="str">
        <f t="shared" si="4"/>
        <v>L</v>
      </c>
    </row>
    <row r="34" spans="1:9" x14ac:dyDescent="0.25">
      <c r="A34" t="s">
        <v>67</v>
      </c>
      <c r="B34" t="s">
        <v>245</v>
      </c>
      <c r="C34" t="s">
        <v>44</v>
      </c>
      <c r="E34" s="1" t="str">
        <f t="shared" si="1"/>
        <v>Home</v>
      </c>
      <c r="F34" s="3">
        <f t="shared" si="2"/>
        <v>2</v>
      </c>
      <c r="G34" s="3">
        <f t="shared" si="3"/>
        <v>12</v>
      </c>
      <c r="H34" s="3">
        <f t="shared" si="0"/>
        <v>14</v>
      </c>
      <c r="I34" s="3" t="str">
        <f t="shared" si="4"/>
        <v>L</v>
      </c>
    </row>
    <row r="35" spans="1:9" x14ac:dyDescent="0.25">
      <c r="A35" t="s">
        <v>68</v>
      </c>
      <c r="B35" t="s">
        <v>263</v>
      </c>
      <c r="C35" t="s">
        <v>28</v>
      </c>
      <c r="E35" s="1" t="str">
        <f t="shared" si="1"/>
        <v>Home</v>
      </c>
      <c r="F35" s="3">
        <f t="shared" si="2"/>
        <v>4</v>
      </c>
      <c r="G35" s="3">
        <f t="shared" si="3"/>
        <v>2</v>
      </c>
      <c r="H35" s="3">
        <f t="shared" si="0"/>
        <v>6</v>
      </c>
      <c r="I35" s="3" t="str">
        <f t="shared" si="4"/>
        <v>W</v>
      </c>
    </row>
    <row r="36" spans="1:9" x14ac:dyDescent="0.25">
      <c r="A36" t="s">
        <v>71</v>
      </c>
      <c r="B36" t="s">
        <v>263</v>
      </c>
      <c r="C36" t="s">
        <v>277</v>
      </c>
      <c r="E36" s="1" t="str">
        <f t="shared" si="1"/>
        <v>Home</v>
      </c>
      <c r="F36" s="3">
        <f t="shared" si="2"/>
        <v>5</v>
      </c>
      <c r="G36" s="3">
        <f t="shared" si="3"/>
        <v>8</v>
      </c>
      <c r="H36" s="3">
        <f t="shared" si="0"/>
        <v>13</v>
      </c>
      <c r="I36" s="3" t="str">
        <f t="shared" si="4"/>
        <v>L</v>
      </c>
    </row>
    <row r="37" spans="1:9" x14ac:dyDescent="0.25">
      <c r="A37" t="s">
        <v>73</v>
      </c>
      <c r="B37" t="s">
        <v>194</v>
      </c>
      <c r="C37" t="s">
        <v>280</v>
      </c>
      <c r="E37" s="1" t="str">
        <f t="shared" si="1"/>
        <v>Away</v>
      </c>
      <c r="F37" s="3">
        <f t="shared" si="2"/>
        <v>8</v>
      </c>
      <c r="G37" s="3">
        <f t="shared" si="3"/>
        <v>3</v>
      </c>
      <c r="H37" s="3">
        <f t="shared" si="0"/>
        <v>11</v>
      </c>
      <c r="I37" s="3" t="str">
        <f t="shared" si="4"/>
        <v>W</v>
      </c>
    </row>
    <row r="38" spans="1:9" x14ac:dyDescent="0.25">
      <c r="A38" t="s">
        <v>209</v>
      </c>
      <c r="B38" t="s">
        <v>235</v>
      </c>
      <c r="C38" t="s">
        <v>281</v>
      </c>
      <c r="E38" s="1" t="str">
        <f t="shared" si="1"/>
        <v>Home</v>
      </c>
      <c r="F38" s="3">
        <f t="shared" si="2"/>
        <v>1</v>
      </c>
      <c r="G38" s="3">
        <f t="shared" si="3"/>
        <v>8</v>
      </c>
      <c r="H38" s="3">
        <f t="shared" si="0"/>
        <v>9</v>
      </c>
      <c r="I38" s="3" t="str">
        <f t="shared" si="4"/>
        <v>L</v>
      </c>
    </row>
    <row r="39" spans="1:9" x14ac:dyDescent="0.25">
      <c r="A39" t="s">
        <v>76</v>
      </c>
      <c r="B39" t="s">
        <v>263</v>
      </c>
      <c r="C39" t="s">
        <v>282</v>
      </c>
      <c r="E39" s="1" t="str">
        <f t="shared" si="1"/>
        <v>Home</v>
      </c>
      <c r="F39" s="3">
        <f t="shared" si="2"/>
        <v>6</v>
      </c>
      <c r="G39" s="3">
        <f t="shared" si="3"/>
        <v>0</v>
      </c>
      <c r="H39" s="3">
        <f t="shared" si="0"/>
        <v>6</v>
      </c>
      <c r="I39" s="3" t="str">
        <f t="shared" si="4"/>
        <v>W</v>
      </c>
    </row>
    <row r="40" spans="1:9" x14ac:dyDescent="0.25">
      <c r="A40" t="s">
        <v>78</v>
      </c>
      <c r="B40" t="s">
        <v>263</v>
      </c>
      <c r="C40" t="s">
        <v>283</v>
      </c>
      <c r="E40" s="1" t="str">
        <f t="shared" si="1"/>
        <v>Home</v>
      </c>
      <c r="F40" s="3">
        <f t="shared" si="2"/>
        <v>10</v>
      </c>
      <c r="G40" s="3">
        <f t="shared" si="3"/>
        <v>8</v>
      </c>
      <c r="H40" s="3">
        <f t="shared" si="0"/>
        <v>18</v>
      </c>
      <c r="I40" s="3" t="str">
        <f t="shared" si="4"/>
        <v>W</v>
      </c>
    </row>
    <row r="41" spans="1:9" x14ac:dyDescent="0.25">
      <c r="A41" t="s">
        <v>82</v>
      </c>
      <c r="B41" t="s">
        <v>206</v>
      </c>
      <c r="C41" t="s">
        <v>280</v>
      </c>
      <c r="E41" s="1" t="str">
        <f t="shared" si="1"/>
        <v>Away</v>
      </c>
      <c r="F41" s="3">
        <f t="shared" si="2"/>
        <v>8</v>
      </c>
      <c r="G41" s="3">
        <f t="shared" si="3"/>
        <v>3</v>
      </c>
      <c r="H41" s="3">
        <f t="shared" si="0"/>
        <v>11</v>
      </c>
      <c r="I41" s="3" t="str">
        <f t="shared" si="4"/>
        <v>W</v>
      </c>
    </row>
    <row r="42" spans="1:9" x14ac:dyDescent="0.25">
      <c r="A42" t="s">
        <v>84</v>
      </c>
      <c r="B42" t="s">
        <v>206</v>
      </c>
      <c r="C42" t="s">
        <v>284</v>
      </c>
      <c r="E42" s="1" t="str">
        <f t="shared" si="1"/>
        <v>Away</v>
      </c>
      <c r="F42" s="3">
        <f t="shared" si="2"/>
        <v>2</v>
      </c>
      <c r="G42" s="3">
        <f t="shared" si="3"/>
        <v>13</v>
      </c>
      <c r="H42" s="3">
        <f t="shared" si="0"/>
        <v>15</v>
      </c>
      <c r="I42" s="3" t="str">
        <f t="shared" si="4"/>
        <v>L</v>
      </c>
    </row>
    <row r="43" spans="1:9" x14ac:dyDescent="0.25">
      <c r="A43" t="s">
        <v>86</v>
      </c>
      <c r="B43" t="s">
        <v>235</v>
      </c>
      <c r="C43" t="s">
        <v>270</v>
      </c>
      <c r="E43" s="1" t="str">
        <f t="shared" si="1"/>
        <v>Home</v>
      </c>
      <c r="F43" s="3">
        <f t="shared" si="2"/>
        <v>4</v>
      </c>
      <c r="G43" s="3">
        <f t="shared" si="3"/>
        <v>3</v>
      </c>
      <c r="H43" s="3">
        <f t="shared" si="0"/>
        <v>7</v>
      </c>
      <c r="I43" s="3" t="str">
        <f t="shared" si="4"/>
        <v>W</v>
      </c>
    </row>
    <row r="44" spans="1:9" x14ac:dyDescent="0.25">
      <c r="A44" t="s">
        <v>86</v>
      </c>
      <c r="B44" t="s">
        <v>235</v>
      </c>
      <c r="C44" t="s">
        <v>212</v>
      </c>
      <c r="E44" s="1" t="str">
        <f t="shared" si="1"/>
        <v>Home</v>
      </c>
      <c r="F44" s="3">
        <f t="shared" si="2"/>
        <v>6</v>
      </c>
      <c r="G44" s="3">
        <f t="shared" si="3"/>
        <v>10</v>
      </c>
      <c r="H44" s="3">
        <f t="shared" si="0"/>
        <v>16</v>
      </c>
      <c r="I44" s="3" t="str">
        <f t="shared" si="4"/>
        <v>L</v>
      </c>
    </row>
    <row r="45" spans="1:9" x14ac:dyDescent="0.25">
      <c r="A45" t="s">
        <v>88</v>
      </c>
      <c r="B45" t="s">
        <v>241</v>
      </c>
      <c r="C45" t="s">
        <v>254</v>
      </c>
      <c r="E45" s="1" t="str">
        <f t="shared" si="1"/>
        <v>Home</v>
      </c>
      <c r="F45" s="3">
        <f t="shared" si="2"/>
        <v>5</v>
      </c>
      <c r="G45" s="3">
        <f t="shared" si="3"/>
        <v>4</v>
      </c>
      <c r="H45" s="3">
        <f t="shared" si="0"/>
        <v>9</v>
      </c>
      <c r="I45" s="3" t="str">
        <f t="shared" si="4"/>
        <v>W</v>
      </c>
    </row>
    <row r="46" spans="1:9" x14ac:dyDescent="0.25">
      <c r="A46" t="s">
        <v>91</v>
      </c>
      <c r="B46" t="s">
        <v>241</v>
      </c>
      <c r="C46" t="s">
        <v>285</v>
      </c>
      <c r="E46" s="1" t="str">
        <f t="shared" si="1"/>
        <v>Home</v>
      </c>
      <c r="F46" s="3">
        <f t="shared" si="2"/>
        <v>10</v>
      </c>
      <c r="G46" s="3">
        <f t="shared" si="3"/>
        <v>7</v>
      </c>
      <c r="H46" s="3">
        <f t="shared" si="0"/>
        <v>17</v>
      </c>
      <c r="I46" s="3" t="str">
        <f t="shared" si="4"/>
        <v>W</v>
      </c>
    </row>
    <row r="47" spans="1:9" x14ac:dyDescent="0.25">
      <c r="A47" t="s">
        <v>93</v>
      </c>
      <c r="B47" t="s">
        <v>250</v>
      </c>
      <c r="C47" t="s">
        <v>132</v>
      </c>
      <c r="E47" s="1" t="str">
        <f t="shared" si="1"/>
        <v>Home</v>
      </c>
      <c r="F47" s="3">
        <f t="shared" si="2"/>
        <v>3</v>
      </c>
      <c r="G47" s="3">
        <f t="shared" si="3"/>
        <v>6</v>
      </c>
      <c r="H47" s="3">
        <f t="shared" si="0"/>
        <v>9</v>
      </c>
      <c r="I47" s="3" t="str">
        <f t="shared" si="4"/>
        <v>L</v>
      </c>
    </row>
    <row r="48" spans="1:9" x14ac:dyDescent="0.25">
      <c r="A48" t="s">
        <v>96</v>
      </c>
      <c r="B48" t="s">
        <v>250</v>
      </c>
      <c r="C48" t="s">
        <v>197</v>
      </c>
      <c r="E48" s="1" t="str">
        <f t="shared" si="1"/>
        <v>Home</v>
      </c>
      <c r="F48" s="3">
        <f t="shared" si="2"/>
        <v>0</v>
      </c>
      <c r="G48" s="3">
        <f t="shared" si="3"/>
        <v>1</v>
      </c>
      <c r="H48" s="3">
        <f t="shared" si="0"/>
        <v>1</v>
      </c>
      <c r="I48" s="3" t="str">
        <f t="shared" si="4"/>
        <v>L</v>
      </c>
    </row>
    <row r="49" spans="1:9" x14ac:dyDescent="0.25">
      <c r="A49" t="s">
        <v>97</v>
      </c>
      <c r="B49" t="s">
        <v>203</v>
      </c>
      <c r="C49" t="s">
        <v>269</v>
      </c>
      <c r="E49" s="1" t="str">
        <f t="shared" si="1"/>
        <v>Away</v>
      </c>
      <c r="F49" s="3">
        <f t="shared" si="2"/>
        <v>2</v>
      </c>
      <c r="G49" s="3">
        <f t="shared" si="3"/>
        <v>3</v>
      </c>
      <c r="H49" s="3">
        <f t="shared" si="0"/>
        <v>5</v>
      </c>
      <c r="I49" s="3" t="str">
        <f t="shared" si="4"/>
        <v>L</v>
      </c>
    </row>
    <row r="50" spans="1:9" x14ac:dyDescent="0.25">
      <c r="A50" t="s">
        <v>100</v>
      </c>
      <c r="B50" t="s">
        <v>203</v>
      </c>
      <c r="C50" t="s">
        <v>286</v>
      </c>
      <c r="E50" s="1" t="str">
        <f t="shared" si="1"/>
        <v>Away</v>
      </c>
      <c r="F50" s="3">
        <f t="shared" si="2"/>
        <v>4</v>
      </c>
      <c r="G50" s="3">
        <f t="shared" si="3"/>
        <v>13</v>
      </c>
      <c r="H50" s="3">
        <f t="shared" si="0"/>
        <v>17</v>
      </c>
      <c r="I50" s="3" t="str">
        <f t="shared" si="4"/>
        <v>L</v>
      </c>
    </row>
    <row r="51" spans="1:9" x14ac:dyDescent="0.25">
      <c r="A51" t="s">
        <v>215</v>
      </c>
      <c r="B51" t="s">
        <v>222</v>
      </c>
      <c r="C51" t="s">
        <v>202</v>
      </c>
      <c r="E51" s="1" t="str">
        <f t="shared" si="1"/>
        <v>Home</v>
      </c>
      <c r="F51" s="3">
        <f t="shared" si="2"/>
        <v>4</v>
      </c>
      <c r="G51" s="3">
        <f t="shared" si="3"/>
        <v>11</v>
      </c>
      <c r="H51" s="3">
        <f t="shared" si="0"/>
        <v>15</v>
      </c>
      <c r="I51" s="3" t="str">
        <f t="shared" si="4"/>
        <v>L</v>
      </c>
    </row>
    <row r="52" spans="1:9" x14ac:dyDescent="0.25">
      <c r="A52" t="s">
        <v>102</v>
      </c>
      <c r="B52" t="s">
        <v>222</v>
      </c>
      <c r="C52" t="s">
        <v>130</v>
      </c>
      <c r="E52" s="1" t="str">
        <f t="shared" si="1"/>
        <v>Home</v>
      </c>
      <c r="F52" s="3">
        <f t="shared" si="2"/>
        <v>9</v>
      </c>
      <c r="G52" s="3">
        <f t="shared" si="3"/>
        <v>2</v>
      </c>
      <c r="H52" s="3">
        <f t="shared" si="0"/>
        <v>11</v>
      </c>
      <c r="I52" s="3" t="str">
        <f t="shared" si="4"/>
        <v>W</v>
      </c>
    </row>
    <row r="53" spans="1:9" x14ac:dyDescent="0.25">
      <c r="A53" t="s">
        <v>105</v>
      </c>
      <c r="B53" t="s">
        <v>250</v>
      </c>
      <c r="C53" t="s">
        <v>269</v>
      </c>
      <c r="E53" s="1" t="str">
        <f t="shared" si="1"/>
        <v>Home</v>
      </c>
      <c r="F53" s="3">
        <f t="shared" si="2"/>
        <v>2</v>
      </c>
      <c r="G53" s="3">
        <f t="shared" si="3"/>
        <v>3</v>
      </c>
      <c r="H53" s="3">
        <f t="shared" si="0"/>
        <v>5</v>
      </c>
      <c r="I53" s="3" t="str">
        <f t="shared" si="4"/>
        <v>L</v>
      </c>
    </row>
    <row r="54" spans="1:9" x14ac:dyDescent="0.25">
      <c r="A54" t="s">
        <v>107</v>
      </c>
      <c r="B54" t="s">
        <v>250</v>
      </c>
      <c r="C54" t="s">
        <v>287</v>
      </c>
      <c r="E54" s="1" t="str">
        <f t="shared" si="1"/>
        <v>Home</v>
      </c>
      <c r="F54" s="3">
        <f t="shared" si="2"/>
        <v>11</v>
      </c>
      <c r="G54" s="3">
        <f t="shared" si="3"/>
        <v>2</v>
      </c>
      <c r="H54" s="3">
        <f t="shared" si="0"/>
        <v>13</v>
      </c>
      <c r="I54" s="3" t="str">
        <f t="shared" si="4"/>
        <v>W</v>
      </c>
    </row>
    <row r="55" spans="1:9" x14ac:dyDescent="0.25">
      <c r="A55" t="s">
        <v>108</v>
      </c>
      <c r="B55" t="s">
        <v>211</v>
      </c>
      <c r="C55" t="s">
        <v>85</v>
      </c>
      <c r="E55" s="1" t="str">
        <f t="shared" si="1"/>
        <v>Away</v>
      </c>
      <c r="F55" s="3">
        <f t="shared" si="2"/>
        <v>5</v>
      </c>
      <c r="G55" s="3">
        <f t="shared" si="3"/>
        <v>3</v>
      </c>
      <c r="H55" s="3">
        <f t="shared" si="0"/>
        <v>8</v>
      </c>
      <c r="I55" s="3" t="str">
        <f t="shared" si="4"/>
        <v>W</v>
      </c>
    </row>
    <row r="56" spans="1:9" x14ac:dyDescent="0.25">
      <c r="A56" t="s">
        <v>110</v>
      </c>
      <c r="B56" t="s">
        <v>211</v>
      </c>
      <c r="C56" t="s">
        <v>77</v>
      </c>
      <c r="E56" s="1" t="str">
        <f t="shared" si="1"/>
        <v>Away</v>
      </c>
      <c r="F56" s="3">
        <f t="shared" si="2"/>
        <v>1</v>
      </c>
      <c r="G56" s="3">
        <f t="shared" si="3"/>
        <v>9</v>
      </c>
      <c r="H56" s="3">
        <f t="shared" si="0"/>
        <v>10</v>
      </c>
      <c r="I56" s="3" t="str">
        <f t="shared" si="4"/>
        <v>L</v>
      </c>
    </row>
    <row r="57" spans="1:9" x14ac:dyDescent="0.25">
      <c r="A57" t="s">
        <v>111</v>
      </c>
      <c r="B57" t="s">
        <v>211</v>
      </c>
      <c r="C57" t="s">
        <v>288</v>
      </c>
      <c r="E57" s="1" t="str">
        <f t="shared" si="1"/>
        <v>Away</v>
      </c>
      <c r="F57" s="3">
        <f t="shared" si="2"/>
        <v>9</v>
      </c>
      <c r="G57" s="3">
        <f t="shared" si="3"/>
        <v>15</v>
      </c>
      <c r="H57" s="3">
        <f t="shared" si="0"/>
        <v>24</v>
      </c>
      <c r="I57" s="3" t="str">
        <f t="shared" si="4"/>
        <v>L</v>
      </c>
    </row>
    <row r="58" spans="1:9" x14ac:dyDescent="0.25">
      <c r="A58" t="s">
        <v>112</v>
      </c>
      <c r="B58" t="s">
        <v>211</v>
      </c>
      <c r="C58" t="s">
        <v>279</v>
      </c>
      <c r="E58" s="1" t="str">
        <f t="shared" si="1"/>
        <v>Away</v>
      </c>
      <c r="F58" s="3">
        <f t="shared" si="2"/>
        <v>7</v>
      </c>
      <c r="G58" s="3">
        <f t="shared" si="3"/>
        <v>2</v>
      </c>
      <c r="H58" s="3">
        <f t="shared" si="0"/>
        <v>9</v>
      </c>
      <c r="I58" s="3" t="str">
        <f t="shared" si="4"/>
        <v>W</v>
      </c>
    </row>
    <row r="59" spans="1:9" x14ac:dyDescent="0.25">
      <c r="A59" t="s">
        <v>114</v>
      </c>
      <c r="B59" t="s">
        <v>210</v>
      </c>
      <c r="C59" t="s">
        <v>46</v>
      </c>
      <c r="E59" s="1" t="str">
        <f t="shared" si="1"/>
        <v>Away</v>
      </c>
      <c r="F59" s="3">
        <f t="shared" si="2"/>
        <v>6</v>
      </c>
      <c r="G59" s="3">
        <f t="shared" si="3"/>
        <v>8</v>
      </c>
      <c r="H59" s="3">
        <f t="shared" si="0"/>
        <v>14</v>
      </c>
      <c r="I59" s="3" t="str">
        <f t="shared" si="4"/>
        <v>L</v>
      </c>
    </row>
    <row r="60" spans="1:9" x14ac:dyDescent="0.25">
      <c r="A60" t="s">
        <v>117</v>
      </c>
      <c r="B60" t="s">
        <v>210</v>
      </c>
      <c r="C60" t="s">
        <v>279</v>
      </c>
      <c r="E60" s="1" t="str">
        <f t="shared" si="1"/>
        <v>Away</v>
      </c>
      <c r="F60" s="3">
        <f t="shared" si="2"/>
        <v>7</v>
      </c>
      <c r="G60" s="3">
        <f t="shared" si="3"/>
        <v>2</v>
      </c>
      <c r="H60" s="3">
        <f t="shared" si="0"/>
        <v>9</v>
      </c>
      <c r="I60" s="3" t="str">
        <f t="shared" si="4"/>
        <v>W</v>
      </c>
    </row>
    <row r="61" spans="1:9" x14ac:dyDescent="0.25">
      <c r="A61" t="s">
        <v>119</v>
      </c>
      <c r="B61" t="s">
        <v>231</v>
      </c>
      <c r="C61" t="s">
        <v>289</v>
      </c>
      <c r="E61" s="1" t="str">
        <f t="shared" si="1"/>
        <v>Home</v>
      </c>
      <c r="F61" s="3">
        <f t="shared" si="2"/>
        <v>6</v>
      </c>
      <c r="G61" s="3">
        <f t="shared" si="3"/>
        <v>18</v>
      </c>
      <c r="H61" s="3">
        <f t="shared" si="0"/>
        <v>24</v>
      </c>
      <c r="I61" s="3" t="str">
        <f t="shared" si="4"/>
        <v>L</v>
      </c>
    </row>
    <row r="62" spans="1:9" x14ac:dyDescent="0.25">
      <c r="A62" t="s">
        <v>122</v>
      </c>
      <c r="B62" t="s">
        <v>231</v>
      </c>
      <c r="C62" t="s">
        <v>270</v>
      </c>
      <c r="E62" s="1" t="str">
        <f t="shared" si="1"/>
        <v>Home</v>
      </c>
      <c r="F62" s="3">
        <f t="shared" si="2"/>
        <v>4</v>
      </c>
      <c r="G62" s="3">
        <f t="shared" si="3"/>
        <v>3</v>
      </c>
      <c r="H62" s="3">
        <f t="shared" si="0"/>
        <v>7</v>
      </c>
      <c r="I62" s="3" t="str">
        <f t="shared" si="4"/>
        <v>W</v>
      </c>
    </row>
    <row r="63" spans="1:9" x14ac:dyDescent="0.25">
      <c r="A63" t="s">
        <v>218</v>
      </c>
      <c r="B63" t="s">
        <v>245</v>
      </c>
      <c r="C63" t="s">
        <v>255</v>
      </c>
      <c r="E63" s="1" t="str">
        <f t="shared" si="1"/>
        <v>Home</v>
      </c>
      <c r="F63" s="3">
        <f t="shared" si="2"/>
        <v>4</v>
      </c>
      <c r="G63" s="3">
        <f t="shared" si="3"/>
        <v>10</v>
      </c>
      <c r="H63" s="3">
        <f t="shared" si="0"/>
        <v>14</v>
      </c>
      <c r="I63" s="3" t="str">
        <f t="shared" si="4"/>
        <v>L</v>
      </c>
    </row>
    <row r="64" spans="1:9" x14ac:dyDescent="0.25">
      <c r="A64" t="s">
        <v>123</v>
      </c>
      <c r="B64" t="s">
        <v>245</v>
      </c>
      <c r="C64" t="s">
        <v>267</v>
      </c>
      <c r="E64" s="1" t="str">
        <f t="shared" si="1"/>
        <v>Home</v>
      </c>
      <c r="F64" s="3">
        <f t="shared" si="2"/>
        <v>8</v>
      </c>
      <c r="G64" s="3">
        <f t="shared" si="3"/>
        <v>7</v>
      </c>
      <c r="H64" s="3">
        <f t="shared" si="0"/>
        <v>15</v>
      </c>
      <c r="I64" s="3" t="str">
        <f t="shared" si="4"/>
        <v>W</v>
      </c>
    </row>
    <row r="65" spans="1:10" x14ac:dyDescent="0.25">
      <c r="A65" t="s">
        <v>126</v>
      </c>
      <c r="B65" t="s">
        <v>222</v>
      </c>
      <c r="C65" t="s">
        <v>92</v>
      </c>
      <c r="E65" s="1" t="str">
        <f t="shared" si="1"/>
        <v>Home</v>
      </c>
      <c r="F65" s="3">
        <f t="shared" si="2"/>
        <v>5</v>
      </c>
      <c r="G65" s="3">
        <f t="shared" si="3"/>
        <v>10</v>
      </c>
      <c r="H65" s="3">
        <f t="shared" si="0"/>
        <v>15</v>
      </c>
      <c r="I65" s="3" t="str">
        <f t="shared" si="4"/>
        <v>L</v>
      </c>
    </row>
    <row r="66" spans="1:10" x14ac:dyDescent="0.25">
      <c r="A66" t="s">
        <v>127</v>
      </c>
      <c r="B66" t="s">
        <v>222</v>
      </c>
      <c r="C66" t="s">
        <v>290</v>
      </c>
      <c r="E66" s="1" t="str">
        <f t="shared" si="1"/>
        <v>Home</v>
      </c>
      <c r="F66" s="3">
        <f t="shared" si="2"/>
        <v>5</v>
      </c>
      <c r="G66" s="3">
        <f t="shared" si="3"/>
        <v>0</v>
      </c>
      <c r="H66" s="3">
        <f t="shared" si="0"/>
        <v>5</v>
      </c>
      <c r="I66" s="3" t="str">
        <f t="shared" si="4"/>
        <v>W</v>
      </c>
    </row>
    <row r="67" spans="1:10" x14ac:dyDescent="0.25">
      <c r="A67" t="s">
        <v>129</v>
      </c>
      <c r="B67" t="s">
        <v>206</v>
      </c>
      <c r="C67" t="s">
        <v>106</v>
      </c>
      <c r="E67" s="1" t="str">
        <f t="shared" si="1"/>
        <v>Away</v>
      </c>
      <c r="F67" s="3">
        <f t="shared" si="2"/>
        <v>12</v>
      </c>
      <c r="G67" s="3">
        <f t="shared" si="3"/>
        <v>5</v>
      </c>
      <c r="H67" s="3">
        <f t="shared" ref="H67:H70" si="6">F67+G67</f>
        <v>17</v>
      </c>
      <c r="I67" s="3" t="str">
        <f t="shared" si="4"/>
        <v>W</v>
      </c>
    </row>
    <row r="68" spans="1:10" x14ac:dyDescent="0.25">
      <c r="A68" t="s">
        <v>131</v>
      </c>
      <c r="B68" t="s">
        <v>206</v>
      </c>
      <c r="C68" t="s">
        <v>291</v>
      </c>
      <c r="E68" s="1" t="str">
        <f t="shared" ref="E68:E70" si="7">IF(LEFT(B68,1)="@","Away","Home")</f>
        <v>Away</v>
      </c>
      <c r="F68" s="3">
        <f t="shared" ref="F68:F70" si="8">_xlfn.NUMBERVALUE(MID(LEFT(C68,FIND("-",C68)-1),FIND(" ",C68)+1,LEN(C68)))</f>
        <v>14</v>
      </c>
      <c r="G68" s="3">
        <f t="shared" ref="G68:G70" si="9">_xlfn.NUMBERVALUE(RIGHT(C68,LEN(C68)-FIND("-",C68)))</f>
        <v>8</v>
      </c>
      <c r="H68" s="3">
        <f t="shared" si="6"/>
        <v>22</v>
      </c>
      <c r="I68" s="3" t="str">
        <f t="shared" ref="I68:I71" si="10">LEFT(C68,1)</f>
        <v>W</v>
      </c>
    </row>
    <row r="69" spans="1:10" x14ac:dyDescent="0.25">
      <c r="A69" t="s">
        <v>133</v>
      </c>
      <c r="B69" t="s">
        <v>278</v>
      </c>
      <c r="C69" t="s">
        <v>292</v>
      </c>
      <c r="E69" s="1" t="str">
        <f t="shared" si="7"/>
        <v>Home</v>
      </c>
      <c r="F69" s="3">
        <f t="shared" si="8"/>
        <v>7</v>
      </c>
      <c r="G69" s="3">
        <f t="shared" si="9"/>
        <v>8</v>
      </c>
      <c r="H69" s="3">
        <f t="shared" si="6"/>
        <v>15</v>
      </c>
      <c r="I69" s="3" t="str">
        <f t="shared" si="10"/>
        <v>L</v>
      </c>
    </row>
    <row r="70" spans="1:10" x14ac:dyDescent="0.25">
      <c r="A70" t="s">
        <v>134</v>
      </c>
      <c r="B70" t="s">
        <v>278</v>
      </c>
      <c r="C70" t="s">
        <v>293</v>
      </c>
      <c r="E70" s="1" t="str">
        <f t="shared" si="7"/>
        <v>Home</v>
      </c>
      <c r="F70" s="3">
        <f t="shared" si="8"/>
        <v>13</v>
      </c>
      <c r="G70" s="3">
        <f t="shared" si="9"/>
        <v>3</v>
      </c>
      <c r="H70" s="3">
        <f t="shared" si="6"/>
        <v>16</v>
      </c>
      <c r="I70" s="3" t="str">
        <f t="shared" si="10"/>
        <v>W</v>
      </c>
    </row>
    <row r="71" spans="1:10" x14ac:dyDescent="0.25">
      <c r="E71" s="1"/>
      <c r="F71" s="3"/>
      <c r="G71" s="3"/>
      <c r="H71" s="3"/>
      <c r="I71" s="3" t="str">
        <f t="shared" si="10"/>
        <v/>
      </c>
    </row>
    <row r="72" spans="1:10" x14ac:dyDescent="0.25">
      <c r="A72" t="s">
        <v>1</v>
      </c>
      <c r="B72" t="s">
        <v>2</v>
      </c>
      <c r="C72" t="s">
        <v>469</v>
      </c>
      <c r="D72" t="s">
        <v>135</v>
      </c>
      <c r="E72" s="1" t="s">
        <v>136</v>
      </c>
      <c r="F72" s="3" t="s">
        <v>137</v>
      </c>
      <c r="G72" s="3" t="s">
        <v>138</v>
      </c>
      <c r="H72" s="3" t="s">
        <v>3</v>
      </c>
      <c r="I72" s="3" t="s">
        <v>494</v>
      </c>
      <c r="J72" s="3" t="s">
        <v>495</v>
      </c>
    </row>
    <row r="73" spans="1:10" x14ac:dyDescent="0.25">
      <c r="A73" t="s">
        <v>448</v>
      </c>
      <c r="B73" t="s">
        <v>206</v>
      </c>
      <c r="C73" t="s">
        <v>252</v>
      </c>
      <c r="D73" t="str">
        <f>IF(LEFT(Table4[[#This Row],[Opponent]],1)="@","Away","Home")</f>
        <v>Away</v>
      </c>
      <c r="E73" s="3">
        <f>_xlfn.NUMBERVALUE(MID(LEFT(Table4[[#This Row],[Score]],FIND("-",Table4[[#This Row],[Score]])-1),FIND(" ",Table4[[#This Row],[Score]])+1,LEN(Table4[[#This Row],[Score]])))</f>
        <v>2</v>
      </c>
      <c r="F73" s="3">
        <f>_xlfn.NUMBERVALUE(RIGHT(Table4[[#This Row],[Score]],LEN(Table4[[#This Row],[Score]])-FIND("-",Table4[[#This Row],[Score]])))</f>
        <v>8</v>
      </c>
      <c r="G73" s="3">
        <f t="shared" ref="G73" si="11">E73+F73</f>
        <v>10</v>
      </c>
      <c r="H73" s="3" t="str">
        <f>LEFT(Table4[[#This Row],[Score]],1)</f>
        <v>L</v>
      </c>
      <c r="I73" s="3" t="str">
        <f>VLOOKUP(IF(Table4[[#This Row],[At]]="Home",Table4[[#This Row],[Opponent]],RIGHT(Table4[[#This Row],[Opponent]],LEN(Table4[[#This Row],[Opponent]])-1)),CHOOSE({1,2},[1]StandingsRAW!$J$1:$J$22,[1]StandingsRAW!$L$1:$L$22),2,FALSE)</f>
        <v>MAN</v>
      </c>
      <c r="J73" s="3">
        <f>VLOOKUP(Table4[[#This Row],[OPP]],Raw!$L$2:$S$23,7,FALSE)-Raw!$U$2</f>
        <v>0.73197406452620895</v>
      </c>
    </row>
    <row r="74" spans="1:10" x14ac:dyDescent="0.25">
      <c r="A74" t="s">
        <v>449</v>
      </c>
      <c r="B74" t="s">
        <v>206</v>
      </c>
      <c r="C74" t="s">
        <v>219</v>
      </c>
      <c r="D74" t="str">
        <f>IF(LEFT(Table4[[#This Row],[Opponent]],1)="@","Away","Home")</f>
        <v>Away</v>
      </c>
      <c r="E74" s="3">
        <f>_xlfn.NUMBERVALUE(MID(LEFT(Table4[[#This Row],[Score]],FIND("-",Table4[[#This Row],[Score]])-1),FIND(" ",Table4[[#This Row],[Score]])+1,LEN(Table4[[#This Row],[Score]])))</f>
        <v>0</v>
      </c>
      <c r="F74" s="3">
        <f>_xlfn.NUMBERVALUE(RIGHT(Table4[[#This Row],[Score]],LEN(Table4[[#This Row],[Score]])-FIND("-",Table4[[#This Row],[Score]])))</f>
        <v>2</v>
      </c>
      <c r="G74" s="3">
        <f t="shared" ref="G74:G95" si="12">E74+F74</f>
        <v>2</v>
      </c>
      <c r="H74" s="3" t="str">
        <f>LEFT(Table4[[#This Row],[Score]],1)</f>
        <v>L</v>
      </c>
      <c r="I74" s="3" t="str">
        <f>VLOOKUP(IF(Table4[[#This Row],[At]]="Home",Table4[[#This Row],[Opponent]],RIGHT(Table4[[#This Row],[Opponent]],LEN(Table4[[#This Row],[Opponent]])-1)),CHOOSE({1,2},[1]StandingsRAW!$J$1:$J$22,[1]StandingsRAW!$L$1:$L$22),2,FALSE)</f>
        <v>MAN</v>
      </c>
      <c r="J74" s="3">
        <f>VLOOKUP(Table4[[#This Row],[OPP]],Raw!$L$2:$S$23,7,FALSE)-Raw!$U$2</f>
        <v>0.73197406452620895</v>
      </c>
    </row>
    <row r="75" spans="1:10" x14ac:dyDescent="0.25">
      <c r="A75" t="s">
        <v>450</v>
      </c>
      <c r="B75" t="s">
        <v>241</v>
      </c>
      <c r="C75" t="s">
        <v>472</v>
      </c>
      <c r="D75" t="str">
        <f>IF(LEFT(Table4[[#This Row],[Opponent]],1)="@","Away","Home")</f>
        <v>Home</v>
      </c>
      <c r="E75" s="3">
        <f>_xlfn.NUMBERVALUE(MID(LEFT(Table4[[#This Row],[Score]],FIND("-",Table4[[#This Row],[Score]])-1),FIND(" ",Table4[[#This Row],[Score]])+1,LEN(Table4[[#This Row],[Score]])))</f>
        <v>17</v>
      </c>
      <c r="F75" s="3">
        <f>_xlfn.NUMBERVALUE(RIGHT(Table4[[#This Row],[Score]],LEN(Table4[[#This Row],[Score]])-FIND("-",Table4[[#This Row],[Score]])))</f>
        <v>9</v>
      </c>
      <c r="G75" s="3">
        <f t="shared" si="12"/>
        <v>26</v>
      </c>
      <c r="H75" s="3" t="str">
        <f>LEFT(Table4[[#This Row],[Score]],1)</f>
        <v>W</v>
      </c>
      <c r="I75" s="3" t="str">
        <f>VLOOKUP(IF(Table4[[#This Row],[At]]="Home",Table4[[#This Row],[Opponent]],RIGHT(Table4[[#This Row],[Opponent]],LEN(Table4[[#This Row],[Opponent]])-1)),CHOOSE({1,2},[1]StandingsRAW!$J$1:$J$22,[1]StandingsRAW!$L$1:$L$22),2,FALSE)</f>
        <v>MIN</v>
      </c>
      <c r="J75" s="3">
        <f>VLOOKUP(Table4[[#This Row],[OPP]],Raw!$L$2:$S$23,7,FALSE)-Raw!$U$2</f>
        <v>-2.6422089420097388</v>
      </c>
    </row>
    <row r="76" spans="1:10" x14ac:dyDescent="0.25">
      <c r="A76" t="s">
        <v>451</v>
      </c>
      <c r="B76" t="s">
        <v>241</v>
      </c>
      <c r="C76" t="s">
        <v>322</v>
      </c>
      <c r="D76" t="str">
        <f>IF(LEFT(Table4[[#This Row],[Opponent]],1)="@","Away","Home")</f>
        <v>Home</v>
      </c>
      <c r="E76" s="3">
        <f>_xlfn.NUMBERVALUE(MID(LEFT(Table4[[#This Row],[Score]],FIND("-",Table4[[#This Row],[Score]])-1),FIND(" ",Table4[[#This Row],[Score]])+1,LEN(Table4[[#This Row],[Score]])))</f>
        <v>6</v>
      </c>
      <c r="F76" s="3">
        <f>_xlfn.NUMBERVALUE(RIGHT(Table4[[#This Row],[Score]],LEN(Table4[[#This Row],[Score]])-FIND("-",Table4[[#This Row],[Score]])))</f>
        <v>7</v>
      </c>
      <c r="G76" s="3">
        <f t="shared" si="12"/>
        <v>13</v>
      </c>
      <c r="H76" s="3" t="str">
        <f>LEFT(Table4[[#This Row],[Score]],1)</f>
        <v>L</v>
      </c>
      <c r="I76" s="3" t="str">
        <f>VLOOKUP(IF(Table4[[#This Row],[At]]="Home",Table4[[#This Row],[Opponent]],RIGHT(Table4[[#This Row],[Opponent]],LEN(Table4[[#This Row],[Opponent]])-1)),CHOOSE({1,2},[1]StandingsRAW!$J$1:$J$22,[1]StandingsRAW!$L$1:$L$22),2,FALSE)</f>
        <v>MIN</v>
      </c>
      <c r="J76" s="3">
        <f>VLOOKUP(Table4[[#This Row],[OPP]],Raw!$L$2:$S$23,7,FALSE)-Raw!$U$2</f>
        <v>-2.6422089420097388</v>
      </c>
    </row>
    <row r="77" spans="1:10" x14ac:dyDescent="0.25">
      <c r="A77" t="s">
        <v>453</v>
      </c>
      <c r="B77" t="s">
        <v>222</v>
      </c>
      <c r="C77" t="s">
        <v>282</v>
      </c>
      <c r="D77" t="str">
        <f>IF(LEFT(Table4[[#This Row],[Opponent]],1)="@","Away","Home")</f>
        <v>Home</v>
      </c>
      <c r="E77" s="3">
        <f>_xlfn.NUMBERVALUE(MID(LEFT(Table4[[#This Row],[Score]],FIND("-",Table4[[#This Row],[Score]])-1),FIND(" ",Table4[[#This Row],[Score]])+1,LEN(Table4[[#This Row],[Score]])))</f>
        <v>6</v>
      </c>
      <c r="F77" s="3">
        <f>_xlfn.NUMBERVALUE(RIGHT(Table4[[#This Row],[Score]],LEN(Table4[[#This Row],[Score]])-FIND("-",Table4[[#This Row],[Score]])))</f>
        <v>0</v>
      </c>
      <c r="G77" s="3">
        <f t="shared" si="12"/>
        <v>6</v>
      </c>
      <c r="H77" s="3" t="str">
        <f>LEFT(Table4[[#This Row],[Score]],1)</f>
        <v>W</v>
      </c>
      <c r="I77" s="3" t="str">
        <f>VLOOKUP(IF(Table4[[#This Row],[At]]="Home",Table4[[#This Row],[Opponent]],RIGHT(Table4[[#This Row],[Opponent]],LEN(Table4[[#This Row],[Opponent]])-1)),CHOOSE({1,2},[1]StandingsRAW!$J$1:$J$22,[1]StandingsRAW!$L$1:$L$22),2,FALSE)</f>
        <v>WIL</v>
      </c>
      <c r="J77" s="3">
        <f>VLOOKUP(Table4[[#This Row],[OPP]],Raw!$L$2:$S$23,7,FALSE)-Raw!$U$2</f>
        <v>3.0407975939379734</v>
      </c>
    </row>
    <row r="78" spans="1:10" x14ac:dyDescent="0.25">
      <c r="A78" t="s">
        <v>454</v>
      </c>
      <c r="B78" t="s">
        <v>222</v>
      </c>
      <c r="C78" t="s">
        <v>347</v>
      </c>
      <c r="D78" t="str">
        <f>IF(LEFT(Table4[[#This Row],[Opponent]],1)="@","Away","Home")</f>
        <v>Home</v>
      </c>
      <c r="E78" s="3">
        <f>_xlfn.NUMBERVALUE(MID(LEFT(Table4[[#This Row],[Score]],FIND("-",Table4[[#This Row],[Score]])-1),FIND(" ",Table4[[#This Row],[Score]])+1,LEN(Table4[[#This Row],[Score]])))</f>
        <v>9</v>
      </c>
      <c r="F78" s="3">
        <f>_xlfn.NUMBERVALUE(RIGHT(Table4[[#This Row],[Score]],LEN(Table4[[#This Row],[Score]])-FIND("-",Table4[[#This Row],[Score]])))</f>
        <v>5</v>
      </c>
      <c r="G78" s="3">
        <f t="shared" si="12"/>
        <v>14</v>
      </c>
      <c r="H78" s="3" t="str">
        <f>LEFT(Table4[[#This Row],[Score]],1)</f>
        <v>W</v>
      </c>
      <c r="I78" s="3" t="str">
        <f>VLOOKUP(IF(Table4[[#This Row],[At]]="Home",Table4[[#This Row],[Opponent]],RIGHT(Table4[[#This Row],[Opponent]],LEN(Table4[[#This Row],[Opponent]])-1)),CHOOSE({1,2},[1]StandingsRAW!$J$1:$J$22,[1]StandingsRAW!$L$1:$L$22),2,FALSE)</f>
        <v>WIL</v>
      </c>
      <c r="J78" s="3">
        <f>VLOOKUP(Table4[[#This Row],[OPP]],Raw!$L$2:$S$23,7,FALSE)-Raw!$U$2</f>
        <v>3.0407975939379734</v>
      </c>
    </row>
    <row r="79" spans="1:10" x14ac:dyDescent="0.25">
      <c r="A79" t="s">
        <v>455</v>
      </c>
      <c r="B79" t="s">
        <v>203</v>
      </c>
      <c r="C79" t="s">
        <v>279</v>
      </c>
      <c r="D79" t="str">
        <f>IF(LEFT(Table4[[#This Row],[Opponent]],1)="@","Away","Home")</f>
        <v>Away</v>
      </c>
      <c r="E79" s="3">
        <f>_xlfn.NUMBERVALUE(MID(LEFT(Table4[[#This Row],[Score]],FIND("-",Table4[[#This Row],[Score]])-1),FIND(" ",Table4[[#This Row],[Score]])+1,LEN(Table4[[#This Row],[Score]])))</f>
        <v>7</v>
      </c>
      <c r="F79" s="3">
        <f>_xlfn.NUMBERVALUE(RIGHT(Table4[[#This Row],[Score]],LEN(Table4[[#This Row],[Score]])-FIND("-",Table4[[#This Row],[Score]])))</f>
        <v>2</v>
      </c>
      <c r="G79" s="3">
        <f t="shared" si="12"/>
        <v>9</v>
      </c>
      <c r="H79" s="3" t="str">
        <f>LEFT(Table4[[#This Row],[Score]],1)</f>
        <v>W</v>
      </c>
      <c r="I79" s="3" t="str">
        <f>VLOOKUP(IF(Table4[[#This Row],[At]]="Home",Table4[[#This Row],[Opponent]],RIGHT(Table4[[#This Row],[Opponent]],LEN(Table4[[#This Row],[Opponent]])-1)),CHOOSE({1,2},[1]StandingsRAW!$J$1:$J$22,[1]StandingsRAW!$L$1:$L$22),2,FALSE)</f>
        <v>BIS</v>
      </c>
      <c r="J79" s="3">
        <f>VLOOKUP(Table4[[#This Row],[OPP]],Raw!$L$2:$S$23,7,FALSE)-Raw!$U$2</f>
        <v>-1.915084759003203</v>
      </c>
    </row>
    <row r="80" spans="1:10" x14ac:dyDescent="0.25">
      <c r="A80" t="s">
        <v>456</v>
      </c>
      <c r="B80" t="s">
        <v>203</v>
      </c>
      <c r="C80" t="s">
        <v>26</v>
      </c>
      <c r="D80" t="str">
        <f>IF(LEFT(Table4[[#This Row],[Opponent]],1)="@","Away","Home")</f>
        <v>Away</v>
      </c>
      <c r="E80" s="3">
        <f>_xlfn.NUMBERVALUE(MID(LEFT(Table4[[#This Row],[Score]],FIND("-",Table4[[#This Row],[Score]])-1),FIND(" ",Table4[[#This Row],[Score]])+1,LEN(Table4[[#This Row],[Score]])))</f>
        <v>10</v>
      </c>
      <c r="F80" s="3">
        <f>_xlfn.NUMBERVALUE(RIGHT(Table4[[#This Row],[Score]],LEN(Table4[[#This Row],[Score]])-FIND("-",Table4[[#This Row],[Score]])))</f>
        <v>6</v>
      </c>
      <c r="G80" s="3">
        <f t="shared" si="12"/>
        <v>16</v>
      </c>
      <c r="H80" s="3" t="str">
        <f>LEFT(Table4[[#This Row],[Score]],1)</f>
        <v>W</v>
      </c>
      <c r="I80" s="3" t="str">
        <f>VLOOKUP(IF(Table4[[#This Row],[At]]="Home",Table4[[#This Row],[Opponent]],RIGHT(Table4[[#This Row],[Opponent]],LEN(Table4[[#This Row],[Opponent]])-1)),CHOOSE({1,2},[1]StandingsRAW!$J$1:$J$22,[1]StandingsRAW!$L$1:$L$22),2,FALSE)</f>
        <v>BIS</v>
      </c>
      <c r="J80" s="3">
        <f>VLOOKUP(Table4[[#This Row],[OPP]],Raw!$L$2:$S$23,7,FALSE)-Raw!$U$2</f>
        <v>-1.915084759003203</v>
      </c>
    </row>
    <row r="81" spans="1:10" x14ac:dyDescent="0.25">
      <c r="A81" t="s">
        <v>470</v>
      </c>
      <c r="B81" t="s">
        <v>258</v>
      </c>
      <c r="C81" t="s">
        <v>61</v>
      </c>
      <c r="D81" t="str">
        <f>IF(LEFT(Table4[[#This Row],[Opponent]],1)="@","Away","Home")</f>
        <v>Home</v>
      </c>
      <c r="E81" s="3">
        <f>_xlfn.NUMBERVALUE(MID(LEFT(Table4[[#This Row],[Score]],FIND("-",Table4[[#This Row],[Score]])-1),FIND(" ",Table4[[#This Row],[Score]])+1,LEN(Table4[[#This Row],[Score]])))</f>
        <v>7</v>
      </c>
      <c r="F81" s="3">
        <f>_xlfn.NUMBERVALUE(RIGHT(Table4[[#This Row],[Score]],LEN(Table4[[#This Row],[Score]])-FIND("-",Table4[[#This Row],[Score]])))</f>
        <v>3</v>
      </c>
      <c r="G81" s="3">
        <f t="shared" si="12"/>
        <v>10</v>
      </c>
      <c r="H81" s="3" t="str">
        <f>LEFT(Table4[[#This Row],[Score]],1)</f>
        <v>W</v>
      </c>
      <c r="I81" s="3" t="str">
        <f>VLOOKUP(IF(Table4[[#This Row],[At]]="Home",Table4[[#This Row],[Opponent]],RIGHT(Table4[[#This Row],[Opponent]],LEN(Table4[[#This Row],[Opponent]])-1)),CHOOSE({1,2},[1]StandingsRAW!$J$1:$J$22,[1]StandingsRAW!$L$1:$L$22),2,FALSE)</f>
        <v>WAT</v>
      </c>
      <c r="J81" s="3">
        <f>VLOOKUP(Table4[[#This Row],[OPP]],Raw!$L$2:$S$23,7,FALSE)-Raw!$U$2</f>
        <v>-3.3415553472384971</v>
      </c>
    </row>
    <row r="82" spans="1:10" x14ac:dyDescent="0.25">
      <c r="A82" t="s">
        <v>457</v>
      </c>
      <c r="B82" t="s">
        <v>258</v>
      </c>
      <c r="C82" t="s">
        <v>280</v>
      </c>
      <c r="D82" t="str">
        <f>IF(LEFT(Table4[[#This Row],[Opponent]],1)="@","Away","Home")</f>
        <v>Home</v>
      </c>
      <c r="E82" s="3">
        <f>_xlfn.NUMBERVALUE(MID(LEFT(Table4[[#This Row],[Score]],FIND("-",Table4[[#This Row],[Score]])-1),FIND(" ",Table4[[#This Row],[Score]])+1,LEN(Table4[[#This Row],[Score]])))</f>
        <v>8</v>
      </c>
      <c r="F82" s="3">
        <f>_xlfn.NUMBERVALUE(RIGHT(Table4[[#This Row],[Score]],LEN(Table4[[#This Row],[Score]])-FIND("-",Table4[[#This Row],[Score]])))</f>
        <v>3</v>
      </c>
      <c r="G82" s="3">
        <f t="shared" si="12"/>
        <v>11</v>
      </c>
      <c r="H82" s="3" t="str">
        <f>LEFT(Table4[[#This Row],[Score]],1)</f>
        <v>W</v>
      </c>
      <c r="I82" s="3" t="str">
        <f>VLOOKUP(IF(Table4[[#This Row],[At]]="Home",Table4[[#This Row],[Opponent]],RIGHT(Table4[[#This Row],[Opponent]],LEN(Table4[[#This Row],[Opponent]])-1)),CHOOSE({1,2},[1]StandingsRAW!$J$1:$J$22,[1]StandingsRAW!$L$1:$L$22),2,FALSE)</f>
        <v>WAT</v>
      </c>
      <c r="J82" s="3">
        <f>VLOOKUP(Table4[[#This Row],[OPP]],Raw!$L$2:$S$23,7,FALSE)-Raw!$U$2</f>
        <v>-3.3415553472384971</v>
      </c>
    </row>
    <row r="83" spans="1:10" x14ac:dyDescent="0.25">
      <c r="A83" t="s">
        <v>458</v>
      </c>
      <c r="B83" t="s">
        <v>201</v>
      </c>
      <c r="C83" t="s">
        <v>282</v>
      </c>
      <c r="D83" t="str">
        <f>IF(LEFT(Table4[[#This Row],[Opponent]],1)="@","Away","Home")</f>
        <v>Away</v>
      </c>
      <c r="E83" s="3">
        <f>_xlfn.NUMBERVALUE(MID(LEFT(Table4[[#This Row],[Score]],FIND("-",Table4[[#This Row],[Score]])-1),FIND(" ",Table4[[#This Row],[Score]])+1,LEN(Table4[[#This Row],[Score]])))</f>
        <v>6</v>
      </c>
      <c r="F83" s="3">
        <f>_xlfn.NUMBERVALUE(RIGHT(Table4[[#This Row],[Score]],LEN(Table4[[#This Row],[Score]])-FIND("-",Table4[[#This Row],[Score]])))</f>
        <v>0</v>
      </c>
      <c r="G83" s="3">
        <f t="shared" si="12"/>
        <v>6</v>
      </c>
      <c r="H83" s="3" t="str">
        <f>LEFT(Table4[[#This Row],[Score]],1)</f>
        <v>W</v>
      </c>
      <c r="I83" s="3" t="str">
        <f>VLOOKUP(IF(Table4[[#This Row],[At]]="Home",Table4[[#This Row],[Opponent]],RIGHT(Table4[[#This Row],[Opponent]],LEN(Table4[[#This Row],[Opponent]])-1)),CHOOSE({1,2},[1]StandingsRAW!$J$1:$J$22,[1]StandingsRAW!$L$1:$L$22),2,FALSE)</f>
        <v>STC</v>
      </c>
      <c r="J83" s="3">
        <f>VLOOKUP(Table4[[#This Row],[OPP]],Raw!$L$2:$S$23,7,FALSE)-Raw!$U$2</f>
        <v>2.5702093586438561</v>
      </c>
    </row>
    <row r="84" spans="1:10" x14ac:dyDescent="0.25">
      <c r="A84" t="s">
        <v>459</v>
      </c>
      <c r="B84" t="s">
        <v>201</v>
      </c>
      <c r="C84" t="s">
        <v>92</v>
      </c>
      <c r="D84" t="str">
        <f>IF(LEFT(Table4[[#This Row],[Opponent]],1)="@","Away","Home")</f>
        <v>Away</v>
      </c>
      <c r="E84" s="3">
        <f>_xlfn.NUMBERVALUE(MID(LEFT(Table4[[#This Row],[Score]],FIND("-",Table4[[#This Row],[Score]])-1),FIND(" ",Table4[[#This Row],[Score]])+1,LEN(Table4[[#This Row],[Score]])))</f>
        <v>5</v>
      </c>
      <c r="F84" s="3">
        <f>_xlfn.NUMBERVALUE(RIGHT(Table4[[#This Row],[Score]],LEN(Table4[[#This Row],[Score]])-FIND("-",Table4[[#This Row],[Score]])))</f>
        <v>10</v>
      </c>
      <c r="G84" s="3">
        <f t="shared" si="12"/>
        <v>15</v>
      </c>
      <c r="H84" s="3" t="str">
        <f>LEFT(Table4[[#This Row],[Score]],1)</f>
        <v>L</v>
      </c>
      <c r="I84" s="3" t="str">
        <f>VLOOKUP(IF(Table4[[#This Row],[At]]="Home",Table4[[#This Row],[Opponent]],RIGHT(Table4[[#This Row],[Opponent]],LEN(Table4[[#This Row],[Opponent]])-1)),CHOOSE({1,2},[1]StandingsRAW!$J$1:$J$22,[1]StandingsRAW!$L$1:$L$22),2,FALSE)</f>
        <v>STC</v>
      </c>
      <c r="J84" s="3">
        <f>VLOOKUP(Table4[[#This Row],[OPP]],Raw!$L$2:$S$23,7,FALSE)-Raw!$U$2</f>
        <v>2.5702093586438561</v>
      </c>
    </row>
    <row r="85" spans="1:10" x14ac:dyDescent="0.25">
      <c r="A85" t="s">
        <v>460</v>
      </c>
      <c r="B85" t="s">
        <v>263</v>
      </c>
      <c r="C85" t="s">
        <v>239</v>
      </c>
      <c r="D85" t="str">
        <f>IF(LEFT(Table4[[#This Row],[Opponent]],1)="@","Away","Home")</f>
        <v>Home</v>
      </c>
      <c r="E85" s="3">
        <f>_xlfn.NUMBERVALUE(MID(LEFT(Table4[[#This Row],[Score]],FIND("-",Table4[[#This Row],[Score]])-1),FIND(" ",Table4[[#This Row],[Score]])+1,LEN(Table4[[#This Row],[Score]])))</f>
        <v>8</v>
      </c>
      <c r="F85" s="3">
        <f>_xlfn.NUMBERVALUE(RIGHT(Table4[[#This Row],[Score]],LEN(Table4[[#This Row],[Score]])-FIND("-",Table4[[#This Row],[Score]])))</f>
        <v>5</v>
      </c>
      <c r="G85" s="3">
        <f t="shared" si="12"/>
        <v>13</v>
      </c>
      <c r="H85" s="3" t="str">
        <f>LEFT(Table4[[#This Row],[Score]],1)</f>
        <v>W</v>
      </c>
      <c r="I85" s="3" t="str">
        <f>VLOOKUP(IF(Table4[[#This Row],[At]]="Home",Table4[[#This Row],[Opponent]],RIGHT(Table4[[#This Row],[Opponent]],LEN(Table4[[#This Row],[Opponent]])-1)),CHOOSE({1,2},[1]StandingsRAW!$J$1:$J$22,[1]StandingsRAW!$L$1:$L$22),2,FALSE)</f>
        <v>ROC</v>
      </c>
      <c r="J85" s="3">
        <f>VLOOKUP(Table4[[#This Row],[OPP]],Raw!$L$2:$S$23,7,FALSE)-Raw!$U$2</f>
        <v>-0.20920240606202639</v>
      </c>
    </row>
    <row r="86" spans="1:10" x14ac:dyDescent="0.25">
      <c r="A86" t="s">
        <v>471</v>
      </c>
      <c r="B86" t="s">
        <v>263</v>
      </c>
      <c r="C86" t="s">
        <v>92</v>
      </c>
      <c r="D86" t="str">
        <f>IF(LEFT(Table4[[#This Row],[Opponent]],1)="@","Away","Home")</f>
        <v>Home</v>
      </c>
      <c r="E86" s="3">
        <f>_xlfn.NUMBERVALUE(MID(LEFT(Table4[[#This Row],[Score]],FIND("-",Table4[[#This Row],[Score]])-1),FIND(" ",Table4[[#This Row],[Score]])+1,LEN(Table4[[#This Row],[Score]])))</f>
        <v>5</v>
      </c>
      <c r="F86" s="3">
        <f>_xlfn.NUMBERVALUE(RIGHT(Table4[[#This Row],[Score]],LEN(Table4[[#This Row],[Score]])-FIND("-",Table4[[#This Row],[Score]])))</f>
        <v>10</v>
      </c>
      <c r="G86" s="3">
        <f t="shared" si="12"/>
        <v>15</v>
      </c>
      <c r="H86" s="3" t="str">
        <f>LEFT(Table4[[#This Row],[Score]],1)</f>
        <v>L</v>
      </c>
      <c r="I86" s="3" t="str">
        <f>VLOOKUP(IF(Table4[[#This Row],[At]]="Home",Table4[[#This Row],[Opponent]],RIGHT(Table4[[#This Row],[Opponent]],LEN(Table4[[#This Row],[Opponent]])-1)),CHOOSE({1,2},[1]StandingsRAW!$J$1:$J$22,[1]StandingsRAW!$L$1:$L$22),2,FALSE)</f>
        <v>ROC</v>
      </c>
      <c r="J86" s="3">
        <f>VLOOKUP(Table4[[#This Row],[OPP]],Raw!$L$2:$S$23,7,FALSE)-Raw!$U$2</f>
        <v>-0.20920240606202639</v>
      </c>
    </row>
    <row r="87" spans="1:10" x14ac:dyDescent="0.25">
      <c r="A87" t="s">
        <v>461</v>
      </c>
      <c r="B87" t="s">
        <v>250</v>
      </c>
      <c r="C87" t="s">
        <v>254</v>
      </c>
      <c r="D87" t="str">
        <f>IF(LEFT(Table4[[#This Row],[Opponent]],1)="@","Away","Home")</f>
        <v>Home</v>
      </c>
      <c r="E87" s="3">
        <f>_xlfn.NUMBERVALUE(MID(LEFT(Table4[[#This Row],[Score]],FIND("-",Table4[[#This Row],[Score]])-1),FIND(" ",Table4[[#This Row],[Score]])+1,LEN(Table4[[#This Row],[Score]])))</f>
        <v>5</v>
      </c>
      <c r="F87" s="3">
        <f>_xlfn.NUMBERVALUE(RIGHT(Table4[[#This Row],[Score]],LEN(Table4[[#This Row],[Score]])-FIND("-",Table4[[#This Row],[Score]])))</f>
        <v>4</v>
      </c>
      <c r="G87" s="3">
        <f t="shared" si="12"/>
        <v>9</v>
      </c>
      <c r="H87" s="3" t="str">
        <f>LEFT(Table4[[#This Row],[Score]],1)</f>
        <v>W</v>
      </c>
      <c r="I87" s="3" t="str">
        <f>VLOOKUP(IF(Table4[[#This Row],[At]]="Home",Table4[[#This Row],[Opponent]],RIGHT(Table4[[#This Row],[Opponent]],LEN(Table4[[#This Row],[Opponent]])-1)),CHOOSE({1,2},[1]StandingsRAW!$J$1:$J$22,[1]StandingsRAW!$L$1:$L$22),2,FALSE)</f>
        <v>MAN</v>
      </c>
      <c r="J87" s="3">
        <f>VLOOKUP(Table4[[#This Row],[OPP]],Raw!$L$2:$S$23,7,FALSE)-Raw!$U$2</f>
        <v>0.73197406452620895</v>
      </c>
    </row>
    <row r="88" spans="1:10" x14ac:dyDescent="0.25">
      <c r="A88" t="s">
        <v>462</v>
      </c>
      <c r="B88" t="s">
        <v>250</v>
      </c>
      <c r="C88" t="s">
        <v>83</v>
      </c>
      <c r="D88" t="str">
        <f>IF(LEFT(Table4[[#This Row],[Opponent]],1)="@","Away","Home")</f>
        <v>Home</v>
      </c>
      <c r="E88" s="3">
        <f>_xlfn.NUMBERVALUE(MID(LEFT(Table4[[#This Row],[Score]],FIND("-",Table4[[#This Row],[Score]])-1),FIND(" ",Table4[[#This Row],[Score]])+1,LEN(Table4[[#This Row],[Score]])))</f>
        <v>4</v>
      </c>
      <c r="F88" s="3">
        <f>_xlfn.NUMBERVALUE(RIGHT(Table4[[#This Row],[Score]],LEN(Table4[[#This Row],[Score]])-FIND("-",Table4[[#This Row],[Score]])))</f>
        <v>7</v>
      </c>
      <c r="G88" s="3">
        <f t="shared" si="12"/>
        <v>11</v>
      </c>
      <c r="H88" s="3" t="str">
        <f>LEFT(Table4[[#This Row],[Score]],1)</f>
        <v>L</v>
      </c>
      <c r="I88" s="3" t="str">
        <f>VLOOKUP(IF(Table4[[#This Row],[At]]="Home",Table4[[#This Row],[Opponent]],RIGHT(Table4[[#This Row],[Opponent]],LEN(Table4[[#This Row],[Opponent]])-1)),CHOOSE({1,2},[1]StandingsRAW!$J$1:$J$22,[1]StandingsRAW!$L$1:$L$22),2,FALSE)</f>
        <v>MAN</v>
      </c>
      <c r="J88" s="3">
        <f>VLOOKUP(Table4[[#This Row],[OPP]],Raw!$L$2:$S$23,7,FALSE)-Raw!$U$2</f>
        <v>0.73197406452620895</v>
      </c>
    </row>
    <row r="89" spans="1:10" x14ac:dyDescent="0.25">
      <c r="A89" t="s">
        <v>463</v>
      </c>
      <c r="B89" t="s">
        <v>194</v>
      </c>
      <c r="C89" t="s">
        <v>292</v>
      </c>
      <c r="D89" t="str">
        <f>IF(LEFT(Table4[[#This Row],[Opponent]],1)="@","Away","Home")</f>
        <v>Away</v>
      </c>
      <c r="E89" s="3">
        <f>_xlfn.NUMBERVALUE(MID(LEFT(Table4[[#This Row],[Score]],FIND("-",Table4[[#This Row],[Score]])-1),FIND(" ",Table4[[#This Row],[Score]])+1,LEN(Table4[[#This Row],[Score]])))</f>
        <v>7</v>
      </c>
      <c r="F89" s="3">
        <f>_xlfn.NUMBERVALUE(RIGHT(Table4[[#This Row],[Score]],LEN(Table4[[#This Row],[Score]])-FIND("-",Table4[[#This Row],[Score]])))</f>
        <v>8</v>
      </c>
      <c r="G89" s="3">
        <f t="shared" si="12"/>
        <v>15</v>
      </c>
      <c r="H89" s="3" t="str">
        <f>LEFT(Table4[[#This Row],[Score]],1)</f>
        <v>L</v>
      </c>
      <c r="I89" s="3" t="str">
        <f>VLOOKUP(IF(Table4[[#This Row],[At]]="Home",Table4[[#This Row],[Opponent]],RIGHT(Table4[[#This Row],[Opponent]],LEN(Table4[[#This Row],[Opponent]])-1)),CHOOSE({1,2},[1]StandingsRAW!$J$1:$J$22,[1]StandingsRAW!$L$1:$L$22),2,FALSE)</f>
        <v>EC</v>
      </c>
      <c r="J89" s="3">
        <f>VLOOKUP(Table4[[#This Row],[OPP]],Raw!$L$2:$S$23,7,FALSE)-Raw!$U$2</f>
        <v>1.1143270057026795</v>
      </c>
    </row>
    <row r="90" spans="1:10" x14ac:dyDescent="0.25">
      <c r="A90" t="s">
        <v>463</v>
      </c>
      <c r="B90" t="s">
        <v>194</v>
      </c>
      <c r="C90" t="s">
        <v>104</v>
      </c>
      <c r="D90" t="str">
        <f>IF(LEFT(Table4[[#This Row],[Opponent]],1)="@","Away","Home")</f>
        <v>Away</v>
      </c>
      <c r="E90" s="3">
        <f>_xlfn.NUMBERVALUE(MID(LEFT(Table4[[#This Row],[Score]],FIND("-",Table4[[#This Row],[Score]])-1),FIND(" ",Table4[[#This Row],[Score]])+1,LEN(Table4[[#This Row],[Score]])))</f>
        <v>0</v>
      </c>
      <c r="F90" s="3">
        <f>_xlfn.NUMBERVALUE(RIGHT(Table4[[#This Row],[Score]],LEN(Table4[[#This Row],[Score]])-FIND("-",Table4[[#This Row],[Score]])))</f>
        <v>9</v>
      </c>
      <c r="G90" s="3">
        <f t="shared" si="12"/>
        <v>9</v>
      </c>
      <c r="H90" s="3" t="str">
        <f>LEFT(Table4[[#This Row],[Score]],1)</f>
        <v>L</v>
      </c>
      <c r="I90" s="3" t="str">
        <f>VLOOKUP(IF(Table4[[#This Row],[At]]="Home",Table4[[#This Row],[Opponent]],RIGHT(Table4[[#This Row],[Opponent]],LEN(Table4[[#This Row],[Opponent]])-1)),CHOOSE({1,2},[1]StandingsRAW!$J$1:$J$22,[1]StandingsRAW!$L$1:$L$22),2,FALSE)</f>
        <v>EC</v>
      </c>
      <c r="J90" s="3">
        <f>VLOOKUP(Table4[[#This Row],[OPP]],Raw!$L$2:$S$23,7,FALSE)-Raw!$U$2</f>
        <v>1.1143270057026795</v>
      </c>
    </row>
    <row r="91" spans="1:10" x14ac:dyDescent="0.25">
      <c r="A91" t="s">
        <v>464</v>
      </c>
      <c r="B91" t="s">
        <v>211</v>
      </c>
      <c r="C91" t="s">
        <v>212</v>
      </c>
      <c r="D91" t="str">
        <f>IF(LEFT(Table4[[#This Row],[Opponent]],1)="@","Away","Home")</f>
        <v>Away</v>
      </c>
      <c r="E91" s="3">
        <f>_xlfn.NUMBERVALUE(MID(LEFT(Table4[[#This Row],[Score]],FIND("-",Table4[[#This Row],[Score]])-1),FIND(" ",Table4[[#This Row],[Score]])+1,LEN(Table4[[#This Row],[Score]])))</f>
        <v>6</v>
      </c>
      <c r="F91" s="3">
        <f>_xlfn.NUMBERVALUE(RIGHT(Table4[[#This Row],[Score]],LEN(Table4[[#This Row],[Score]])-FIND("-",Table4[[#This Row],[Score]])))</f>
        <v>10</v>
      </c>
      <c r="G91" s="3">
        <f t="shared" si="12"/>
        <v>16</v>
      </c>
      <c r="H91" s="3" t="str">
        <f>LEFT(Table4[[#This Row],[Score]],1)</f>
        <v>L</v>
      </c>
      <c r="I91" s="3" t="str">
        <f>VLOOKUP(IF(Table4[[#This Row],[At]]="Home",Table4[[#This Row],[Opponent]],RIGHT(Table4[[#This Row],[Opponent]],LEN(Table4[[#This Row],[Opponent]])-1)),CHOOSE({1,2},[1]StandingsRAW!$J$1:$J$22,[1]StandingsRAW!$L$1:$L$22),2,FALSE)</f>
        <v>WIL</v>
      </c>
      <c r="J91" s="3">
        <f>VLOOKUP(Table4[[#This Row],[OPP]],Raw!$L$2:$S$23,7,FALSE)-Raw!$U$2</f>
        <v>3.0407975939379734</v>
      </c>
    </row>
    <row r="92" spans="1:10" x14ac:dyDescent="0.25">
      <c r="A92" t="s">
        <v>465</v>
      </c>
      <c r="B92" t="s">
        <v>211</v>
      </c>
      <c r="C92" t="s">
        <v>269</v>
      </c>
      <c r="D92" t="str">
        <f>IF(LEFT(Table4[[#This Row],[Opponent]],1)="@","Away","Home")</f>
        <v>Away</v>
      </c>
      <c r="E92" s="3">
        <f>_xlfn.NUMBERVALUE(MID(LEFT(Table4[[#This Row],[Score]],FIND("-",Table4[[#This Row],[Score]])-1),FIND(" ",Table4[[#This Row],[Score]])+1,LEN(Table4[[#This Row],[Score]])))</f>
        <v>2</v>
      </c>
      <c r="F92" s="3">
        <f>_xlfn.NUMBERVALUE(RIGHT(Table4[[#This Row],[Score]],LEN(Table4[[#This Row],[Score]])-FIND("-",Table4[[#This Row],[Score]])))</f>
        <v>3</v>
      </c>
      <c r="G92" s="3">
        <f t="shared" si="12"/>
        <v>5</v>
      </c>
      <c r="H92" s="3" t="str">
        <f>LEFT(Table4[[#This Row],[Score]],1)</f>
        <v>L</v>
      </c>
      <c r="I92" s="3" t="str">
        <f>VLOOKUP(IF(Table4[[#This Row],[At]]="Home",Table4[[#This Row],[Opponent]],RIGHT(Table4[[#This Row],[Opponent]],LEN(Table4[[#This Row],[Opponent]])-1)),CHOOSE({1,2},[1]StandingsRAW!$J$1:$J$22,[1]StandingsRAW!$L$1:$L$22),2,FALSE)</f>
        <v>WIL</v>
      </c>
      <c r="J92" s="3">
        <f>VLOOKUP(Table4[[#This Row],[OPP]],Raw!$L$2:$S$23,7,FALSE)-Raw!$U$2</f>
        <v>3.0407975939379734</v>
      </c>
    </row>
    <row r="93" spans="1:10" x14ac:dyDescent="0.25">
      <c r="A93" t="s">
        <v>466</v>
      </c>
      <c r="B93" t="s">
        <v>210</v>
      </c>
      <c r="C93" t="s">
        <v>329</v>
      </c>
      <c r="D93" t="str">
        <f>IF(LEFT(Table4[[#This Row],[Opponent]],1)="@","Away","Home")</f>
        <v>Away</v>
      </c>
      <c r="E93" s="3">
        <f>_xlfn.NUMBERVALUE(MID(LEFT(Table4[[#This Row],[Score]],FIND("-",Table4[[#This Row],[Score]])-1),FIND(" ",Table4[[#This Row],[Score]])+1,LEN(Table4[[#This Row],[Score]])))</f>
        <v>5</v>
      </c>
      <c r="F93" s="3">
        <f>_xlfn.NUMBERVALUE(RIGHT(Table4[[#This Row],[Score]],LEN(Table4[[#This Row],[Score]])-FIND("-",Table4[[#This Row],[Score]])))</f>
        <v>2</v>
      </c>
      <c r="G93" s="3">
        <f t="shared" si="12"/>
        <v>7</v>
      </c>
      <c r="H93" s="3" t="str">
        <f>LEFT(Table4[[#This Row],[Score]],1)</f>
        <v>W</v>
      </c>
      <c r="I93" s="3" t="str">
        <f>VLOOKUP(IF(Table4[[#This Row],[At]]="Home",Table4[[#This Row],[Opponent]],RIGHT(Table4[[#This Row],[Opponent]],LEN(Table4[[#This Row],[Opponent]])-1)),CHOOSE({1,2},[1]StandingsRAW!$J$1:$J$22,[1]StandingsRAW!$L$1:$L$22),2,FALSE)</f>
        <v>ROC</v>
      </c>
      <c r="J93" s="3">
        <f>VLOOKUP(Table4[[#This Row],[OPP]],Raw!$L$2:$S$23,7,FALSE)-Raw!$U$2</f>
        <v>-0.20920240606202639</v>
      </c>
    </row>
    <row r="94" spans="1:10" x14ac:dyDescent="0.25">
      <c r="A94" t="s">
        <v>467</v>
      </c>
      <c r="B94" t="s">
        <v>210</v>
      </c>
      <c r="C94" t="s">
        <v>259</v>
      </c>
      <c r="D94" t="str">
        <f>IF(LEFT(Table4[[#This Row],[Opponent]],1)="@","Away","Home")</f>
        <v>Away</v>
      </c>
      <c r="E94" s="3">
        <f>_xlfn.NUMBERVALUE(MID(LEFT(Table4[[#This Row],[Score]],FIND("-",Table4[[#This Row],[Score]])-1),FIND(" ",Table4[[#This Row],[Score]])+1,LEN(Table4[[#This Row],[Score]])))</f>
        <v>0</v>
      </c>
      <c r="F94" s="3">
        <f>_xlfn.NUMBERVALUE(RIGHT(Table4[[#This Row],[Score]],LEN(Table4[[#This Row],[Score]])-FIND("-",Table4[[#This Row],[Score]])))</f>
        <v>5</v>
      </c>
      <c r="G94" s="3">
        <f t="shared" si="12"/>
        <v>5</v>
      </c>
      <c r="H94" s="3" t="str">
        <f>LEFT(Table4[[#This Row],[Score]],1)</f>
        <v>L</v>
      </c>
      <c r="I94" s="3" t="str">
        <f>VLOOKUP(IF(Table4[[#This Row],[At]]="Home",Table4[[#This Row],[Opponent]],RIGHT(Table4[[#This Row],[Opponent]],LEN(Table4[[#This Row],[Opponent]])-1)),CHOOSE({1,2},[1]StandingsRAW!$J$1:$J$22,[1]StandingsRAW!$L$1:$L$22),2,FALSE)</f>
        <v>ROC</v>
      </c>
      <c r="J94" s="3">
        <f>VLOOKUP(Table4[[#This Row],[OPP]],Raw!$L$2:$S$23,7,FALSE)-Raw!$U$2</f>
        <v>-0.20920240606202639</v>
      </c>
    </row>
    <row r="95" spans="1:10" x14ac:dyDescent="0.25">
      <c r="A95" t="s">
        <v>468</v>
      </c>
      <c r="B95" t="s">
        <v>190</v>
      </c>
      <c r="C95" t="s">
        <v>265</v>
      </c>
      <c r="D95" t="str">
        <f>IF(LEFT(Table4[[#This Row],[Opponent]],1)="@","Away","Home")</f>
        <v>Away</v>
      </c>
      <c r="E95" s="3">
        <f>_xlfn.NUMBERVALUE(MID(LEFT(Table4[[#This Row],[Score]],FIND("-",Table4[[#This Row],[Score]])-1),FIND(" ",Table4[[#This Row],[Score]])+1,LEN(Table4[[#This Row],[Score]])))</f>
        <v>2</v>
      </c>
      <c r="F95" s="3">
        <f>_xlfn.NUMBERVALUE(RIGHT(Table4[[#This Row],[Score]],LEN(Table4[[#This Row],[Score]])-FIND("-",Table4[[#This Row],[Score]])))</f>
        <v>15</v>
      </c>
      <c r="G95" s="3">
        <f t="shared" si="12"/>
        <v>17</v>
      </c>
      <c r="H95" s="3" t="str">
        <f>LEFT(Table4[[#This Row],[Score]],1)</f>
        <v>L</v>
      </c>
      <c r="I95" s="3" t="str">
        <f>VLOOKUP(IF(Table4[[#This Row],[At]]="Home",Table4[[#This Row],[Opponent]],RIGHT(Table4[[#This Row],[Opponent]],LEN(Table4[[#This Row],[Opponent]])-1)),CHOOSE({1,2},[1]StandingsRAW!$J$1:$J$22,[1]StandingsRAW!$L$1:$L$22),2,FALSE)</f>
        <v>LAC</v>
      </c>
      <c r="J95" s="3">
        <f>VLOOKUP(Table4[[#This Row],[OPP]],Raw!$L$2:$S$23,7,FALSE)-Raw!$U$2</f>
        <v>-0.25332005312084993</v>
      </c>
    </row>
    <row r="96" spans="1:10" x14ac:dyDescent="0.25">
      <c r="A96" t="s">
        <v>498</v>
      </c>
      <c r="B96" t="s">
        <v>190</v>
      </c>
      <c r="C96" t="s">
        <v>372</v>
      </c>
      <c r="D96" t="str">
        <f>IF(LEFT(Table4[[#This Row],[Opponent]],1)="@","Away","Home")</f>
        <v>Away</v>
      </c>
      <c r="E96" s="3">
        <f>_xlfn.NUMBERVALUE(MID(LEFT(Table4[[#This Row],[Score]],FIND("-",Table4[[#This Row],[Score]])-1),FIND(" ",Table4[[#This Row],[Score]])+1,LEN(Table4[[#This Row],[Score]])))</f>
        <v>9</v>
      </c>
      <c r="F96" s="3">
        <f>_xlfn.NUMBERVALUE(RIGHT(Table4[[#This Row],[Score]],LEN(Table4[[#This Row],[Score]])-FIND("-",Table4[[#This Row],[Score]])))</f>
        <v>1</v>
      </c>
      <c r="G96" s="3">
        <f t="shared" ref="G96:G98" si="13">E96+F96</f>
        <v>10</v>
      </c>
      <c r="H96" s="3" t="str">
        <f>LEFT(Table4[[#This Row],[Score]],1)</f>
        <v>W</v>
      </c>
      <c r="I96" s="3" t="str">
        <f>VLOOKUP(IF(Table4[[#This Row],[At]]="Home",Table4[[#This Row],[Opponent]],RIGHT(Table4[[#This Row],[Opponent]],LEN(Table4[[#This Row],[Opponent]])-1)),CHOOSE({1,2},[1]StandingsRAW!$J$1:$J$22,[1]StandingsRAW!$L$1:$L$22),2,FALSE)</f>
        <v>LAC</v>
      </c>
      <c r="J96" s="3">
        <f>VLOOKUP(Table4[[#This Row],[OPP]],Raw!$L$2:$S$23,7,FALSE)-Raw!$U$2</f>
        <v>-0.25332005312084993</v>
      </c>
    </row>
    <row r="97" spans="1:10" x14ac:dyDescent="0.25">
      <c r="A97" t="s">
        <v>499</v>
      </c>
      <c r="B97" t="s">
        <v>258</v>
      </c>
      <c r="C97" t="s">
        <v>270</v>
      </c>
      <c r="D97" t="str">
        <f>IF(LEFT(Table4[[#This Row],[Opponent]],1)="@","Away","Home")</f>
        <v>Home</v>
      </c>
      <c r="E97" s="3">
        <f>_xlfn.NUMBERVALUE(MID(LEFT(Table4[[#This Row],[Score]],FIND("-",Table4[[#This Row],[Score]])-1),FIND(" ",Table4[[#This Row],[Score]])+1,LEN(Table4[[#This Row],[Score]])))</f>
        <v>4</v>
      </c>
      <c r="F97" s="3">
        <f>_xlfn.NUMBERVALUE(RIGHT(Table4[[#This Row],[Score]],LEN(Table4[[#This Row],[Score]])-FIND("-",Table4[[#This Row],[Score]])))</f>
        <v>3</v>
      </c>
      <c r="G97" s="3">
        <f t="shared" si="13"/>
        <v>7</v>
      </c>
      <c r="H97" s="3" t="str">
        <f>LEFT(Table4[[#This Row],[Score]],1)</f>
        <v>W</v>
      </c>
      <c r="I97" s="3" t="str">
        <f>VLOOKUP(IF(Table4[[#This Row],[At]]="Home",Table4[[#This Row],[Opponent]],RIGHT(Table4[[#This Row],[Opponent]],LEN(Table4[[#This Row],[Opponent]])-1)),CHOOSE({1,2},[1]StandingsRAW!$J$1:$J$22,[1]StandingsRAW!$L$1:$L$22),2,FALSE)</f>
        <v>WAT</v>
      </c>
      <c r="J97" s="3">
        <f>VLOOKUP(Table4[[#This Row],[OPP]],Raw!$L$2:$S$23,7,FALSE)-Raw!$U$2</f>
        <v>-3.3415553472384971</v>
      </c>
    </row>
    <row r="98" spans="1:10" x14ac:dyDescent="0.25">
      <c r="A98" t="s">
        <v>500</v>
      </c>
      <c r="B98" t="s">
        <v>258</v>
      </c>
      <c r="C98" t="s">
        <v>276</v>
      </c>
      <c r="D98" t="str">
        <f>IF(LEFT(Table4[[#This Row],[Opponent]],1)="@","Away","Home")</f>
        <v>Home</v>
      </c>
      <c r="E98" s="3">
        <f>_xlfn.NUMBERVALUE(MID(LEFT(Table4[[#This Row],[Score]],FIND("-",Table4[[#This Row],[Score]])-1),FIND(" ",Table4[[#This Row],[Score]])+1,LEN(Table4[[#This Row],[Score]])))</f>
        <v>2</v>
      </c>
      <c r="F98" s="3">
        <f>_xlfn.NUMBERVALUE(RIGHT(Table4[[#This Row],[Score]],LEN(Table4[[#This Row],[Score]])-FIND("-",Table4[[#This Row],[Score]])))</f>
        <v>4</v>
      </c>
      <c r="G98" s="3">
        <f t="shared" si="13"/>
        <v>6</v>
      </c>
      <c r="H98" s="3" t="str">
        <f>LEFT(Table4[[#This Row],[Score]],1)</f>
        <v>L</v>
      </c>
      <c r="I98" s="3" t="str">
        <f>VLOOKUP(IF(Table4[[#This Row],[At]]="Home",Table4[[#This Row],[Opponent]],RIGHT(Table4[[#This Row],[Opponent]],LEN(Table4[[#This Row],[Opponent]])-1)),CHOOSE({1,2},[1]StandingsRAW!$J$1:$J$22,[1]StandingsRAW!$L$1:$L$22),2,FALSE)</f>
        <v>WAT</v>
      </c>
      <c r="J98" s="3">
        <f>VLOOKUP(Table4[[#This Row],[OPP]],Raw!$L$2:$S$23,7,FALSE)-Raw!$U$2</f>
        <v>-3.3415553472384971</v>
      </c>
    </row>
    <row r="99" spans="1:10" x14ac:dyDescent="0.25">
      <c r="A99" t="s">
        <v>501</v>
      </c>
      <c r="B99" t="s">
        <v>278</v>
      </c>
      <c r="C99" t="s">
        <v>279</v>
      </c>
      <c r="D99" t="str">
        <f>IF(LEFT(Table4[[#This Row],[Opponent]],1)="@","Away","Home")</f>
        <v>Home</v>
      </c>
      <c r="E99" s="3">
        <f>_xlfn.NUMBERVALUE(MID(LEFT(Table4[[#This Row],[Score]],FIND("-",Table4[[#This Row],[Score]])-1),FIND(" ",Table4[[#This Row],[Score]])+1,LEN(Table4[[#This Row],[Score]])))</f>
        <v>7</v>
      </c>
      <c r="F99" s="3">
        <f>_xlfn.NUMBERVALUE(RIGHT(Table4[[#This Row],[Score]],LEN(Table4[[#This Row],[Score]])-FIND("-",Table4[[#This Row],[Score]])))</f>
        <v>2</v>
      </c>
      <c r="G99" s="3">
        <f t="shared" ref="G99:G100" si="14">E99+F99</f>
        <v>9</v>
      </c>
      <c r="H99" s="3" t="str">
        <f>LEFT(Table4[[#This Row],[Score]],1)</f>
        <v>W</v>
      </c>
      <c r="I99" s="3" t="str">
        <f>VLOOKUP(IF(Table4[[#This Row],[At]]="Home",Table4[[#This Row],[Opponent]],RIGHT(Table4[[#This Row],[Opponent]],LEN(Table4[[#This Row],[Opponent]])-1)),CHOOSE({1,2},[1]StandingsRAW!$J$1:$J$22,[1]StandingsRAW!$L$1:$L$22),2,FALSE)</f>
        <v>BIS</v>
      </c>
      <c r="J99" s="3">
        <f>VLOOKUP(Table4[[#This Row],[OPP]],Raw!$L$2:$S$23,7,FALSE)-Raw!$U$2</f>
        <v>-1.915084759003203</v>
      </c>
    </row>
    <row r="100" spans="1:10" x14ac:dyDescent="0.25">
      <c r="A100" t="s">
        <v>502</v>
      </c>
      <c r="B100" t="s">
        <v>278</v>
      </c>
      <c r="C100" t="s">
        <v>220</v>
      </c>
      <c r="D100" t="str">
        <f>IF(LEFT(Table4[[#This Row],[Opponent]],1)="@","Away","Home")</f>
        <v>Home</v>
      </c>
      <c r="E100" s="3">
        <f>_xlfn.NUMBERVALUE(MID(LEFT(Table4[[#This Row],[Score]],FIND("-",Table4[[#This Row],[Score]])-1),FIND(" ",Table4[[#This Row],[Score]])+1,LEN(Table4[[#This Row],[Score]])))</f>
        <v>12</v>
      </c>
      <c r="F100" s="3">
        <f>_xlfn.NUMBERVALUE(RIGHT(Table4[[#This Row],[Score]],LEN(Table4[[#This Row],[Score]])-FIND("-",Table4[[#This Row],[Score]])))</f>
        <v>8</v>
      </c>
      <c r="G100" s="3">
        <f t="shared" si="14"/>
        <v>20</v>
      </c>
      <c r="H100" s="3" t="str">
        <f>LEFT(Table4[[#This Row],[Score]],1)</f>
        <v>W</v>
      </c>
      <c r="I100" s="3" t="str">
        <f>VLOOKUP(IF(Table4[[#This Row],[At]]="Home",Table4[[#This Row],[Opponent]],RIGHT(Table4[[#This Row],[Opponent]],LEN(Table4[[#This Row],[Opponent]])-1)),CHOOSE({1,2},[1]StandingsRAW!$J$1:$J$22,[1]StandingsRAW!$L$1:$L$22),2,FALSE)</f>
        <v>BIS</v>
      </c>
      <c r="J100" s="3">
        <f>VLOOKUP(Table4[[#This Row],[OPP]],Raw!$L$2:$S$23,7,FALSE)-Raw!$U$2</f>
        <v>-1.915084759003203</v>
      </c>
    </row>
    <row r="101" spans="1:10" x14ac:dyDescent="0.25">
      <c r="A101" t="s">
        <v>509</v>
      </c>
      <c r="B101" t="s">
        <v>263</v>
      </c>
      <c r="C101" t="s">
        <v>6</v>
      </c>
      <c r="D101" t="str">
        <f>IF(LEFT(Table4[[#This Row],[Opponent]],1)="@","Away","Home")</f>
        <v>Home</v>
      </c>
      <c r="E101" s="3">
        <f>_xlfn.NUMBERVALUE(MID(LEFT(Table4[[#This Row],[Score]],FIND("-",Table4[[#This Row],[Score]])-1),FIND(" ",Table4[[#This Row],[Score]])+1,LEN(Table4[[#This Row],[Score]])))</f>
        <v>2</v>
      </c>
      <c r="F101" s="3">
        <f>_xlfn.NUMBERVALUE(RIGHT(Table4[[#This Row],[Score]],LEN(Table4[[#This Row],[Score]])-FIND("-",Table4[[#This Row],[Score]])))</f>
        <v>6</v>
      </c>
      <c r="G101" s="3">
        <f t="shared" ref="G101:G102" si="15">E101+F101</f>
        <v>8</v>
      </c>
      <c r="H101" s="3" t="str">
        <f>LEFT(Table4[[#This Row],[Score]],1)</f>
        <v>L</v>
      </c>
      <c r="I101" s="3" t="str">
        <f>VLOOKUP(IF(Table4[[#This Row],[At]]="Home",Table4[[#This Row],[Opponent]],RIGHT(Table4[[#This Row],[Opponent]],LEN(Table4[[#This Row],[Opponent]])-1)),CHOOSE({1,2},[1]StandingsRAW!$J$1:$J$22,[1]StandingsRAW!$L$1:$L$22),2,FALSE)</f>
        <v>ROC</v>
      </c>
      <c r="J101" s="3">
        <f>VLOOKUP(Table4[[#This Row],[OPP]],Raw!$L$2:$S$23,7,FALSE)-Raw!$U$2</f>
        <v>-0.20920240606202639</v>
      </c>
    </row>
    <row r="102" spans="1:10" x14ac:dyDescent="0.25">
      <c r="A102" t="s">
        <v>510</v>
      </c>
      <c r="B102" t="s">
        <v>263</v>
      </c>
      <c r="C102" t="s">
        <v>339</v>
      </c>
      <c r="D102" t="str">
        <f>IF(LEFT(Table4[[#This Row],[Opponent]],1)="@","Away","Home")</f>
        <v>Home</v>
      </c>
      <c r="E102" s="3">
        <f>_xlfn.NUMBERVALUE(MID(LEFT(Table4[[#This Row],[Score]],FIND("-",Table4[[#This Row],[Score]])-1),FIND(" ",Table4[[#This Row],[Score]])+1,LEN(Table4[[#This Row],[Score]])))</f>
        <v>15</v>
      </c>
      <c r="F102" s="3">
        <f>_xlfn.NUMBERVALUE(RIGHT(Table4[[#This Row],[Score]],LEN(Table4[[#This Row],[Score]])-FIND("-",Table4[[#This Row],[Score]])))</f>
        <v>8</v>
      </c>
      <c r="G102" s="3">
        <f t="shared" si="15"/>
        <v>23</v>
      </c>
      <c r="H102" s="3" t="str">
        <f>LEFT(Table4[[#This Row],[Score]],1)</f>
        <v>W</v>
      </c>
      <c r="I102" s="3" t="str">
        <f>VLOOKUP(IF(Table4[[#This Row],[At]]="Home",Table4[[#This Row],[Opponent]],RIGHT(Table4[[#This Row],[Opponent]],LEN(Table4[[#This Row],[Opponent]])-1)),CHOOSE({1,2},[1]StandingsRAW!$J$1:$J$22,[1]StandingsRAW!$L$1:$L$22),2,FALSE)</f>
        <v>ROC</v>
      </c>
      <c r="J102" s="3">
        <f>VLOOKUP(Table4[[#This Row],[OPP]],Raw!$L$2:$S$23,7,FALSE)-Raw!$U$2</f>
        <v>-0.20920240606202639</v>
      </c>
    </row>
    <row r="103" spans="1:10" x14ac:dyDescent="0.25">
      <c r="A103" t="s">
        <v>515</v>
      </c>
      <c r="B103" t="s">
        <v>190</v>
      </c>
      <c r="C103" t="s">
        <v>327</v>
      </c>
      <c r="D103" t="str">
        <f>IF(LEFT(Table4[[#This Row],[Opponent]],1)="@","Away","Home")</f>
        <v>Away</v>
      </c>
      <c r="E103" s="3">
        <f>_xlfn.NUMBERVALUE(MID(LEFT(Table4[[#This Row],[Score]],FIND("-",Table4[[#This Row],[Score]])-1),FIND(" ",Table4[[#This Row],[Score]])+1,LEN(Table4[[#This Row],[Score]])))</f>
        <v>9</v>
      </c>
      <c r="F103" s="3">
        <f>_xlfn.NUMBERVALUE(RIGHT(Table4[[#This Row],[Score]],LEN(Table4[[#This Row],[Score]])-FIND("-",Table4[[#This Row],[Score]])))</f>
        <v>7</v>
      </c>
      <c r="G103" s="3">
        <f>E103+F103</f>
        <v>16</v>
      </c>
      <c r="H103" s="3" t="str">
        <f>LEFT(Table4[[#This Row],[Score]],1)</f>
        <v>W</v>
      </c>
      <c r="I103" s="3" t="str">
        <f>VLOOKUP(IF(Table4[[#This Row],[At]]="Home",Table4[[#This Row],[Opponent]],RIGHT(Table4[[#This Row],[Opponent]],LEN(Table4[[#This Row],[Opponent]])-1)),CHOOSE({1,2},[1]StandingsRAW!$J$1:$J$22,[1]StandingsRAW!$L$1:$L$22),2,FALSE)</f>
        <v>LAC</v>
      </c>
      <c r="J103" s="3">
        <f>VLOOKUP(Table4[[#This Row],[OPP]],Raw!$L$2:$S$23,7,FALSE)-Raw!$U$2</f>
        <v>-0.25332005312084993</v>
      </c>
    </row>
    <row r="104" spans="1:10" x14ac:dyDescent="0.25">
      <c r="A104" t="s">
        <v>518</v>
      </c>
      <c r="B104" t="s">
        <v>190</v>
      </c>
      <c r="C104" t="s">
        <v>253</v>
      </c>
      <c r="D104" t="str">
        <f>IF(LEFT(Table4[[#This Row],[Opponent]],1)="@","Away","Home")</f>
        <v>Away</v>
      </c>
      <c r="E104" s="3">
        <f>_xlfn.NUMBERVALUE(MID(LEFT(Table4[[#This Row],[Score]],FIND("-",Table4[[#This Row],[Score]])-1),FIND(" ",Table4[[#This Row],[Score]])+1,LEN(Table4[[#This Row],[Score]])))</f>
        <v>4</v>
      </c>
      <c r="F104" s="3">
        <f>_xlfn.NUMBERVALUE(RIGHT(Table4[[#This Row],[Score]],LEN(Table4[[#This Row],[Score]])-FIND("-",Table4[[#This Row],[Score]])))</f>
        <v>0</v>
      </c>
      <c r="G104" s="3">
        <f t="shared" ref="G104:G107" si="16">E104+F104</f>
        <v>4</v>
      </c>
      <c r="H104" s="3" t="str">
        <f>LEFT(Table4[[#This Row],[Score]],1)</f>
        <v>W</v>
      </c>
      <c r="I104" s="3" t="str">
        <f>VLOOKUP(IF(Table4[[#This Row],[At]]="Home",Table4[[#This Row],[Opponent]],RIGHT(Table4[[#This Row],[Opponent]],LEN(Table4[[#This Row],[Opponent]])-1)),CHOOSE({1,2},[1]StandingsRAW!$J$1:$J$22,[1]StandingsRAW!$L$1:$L$22),2,FALSE)</f>
        <v>LAC</v>
      </c>
      <c r="J104" s="3">
        <f>VLOOKUP(Table4[[#This Row],[OPP]],Raw!$L$2:$S$23,7,FALSE)-Raw!$U$2</f>
        <v>-0.25332005312084993</v>
      </c>
    </row>
    <row r="105" spans="1:10" x14ac:dyDescent="0.25">
      <c r="A105" t="s">
        <v>519</v>
      </c>
      <c r="B105" t="s">
        <v>192</v>
      </c>
      <c r="C105" t="s">
        <v>413</v>
      </c>
      <c r="D105" t="str">
        <f>IF(LEFT(Table4[[#This Row],[Opponent]],1)="@","Away","Home")</f>
        <v>Away</v>
      </c>
      <c r="E105" s="3">
        <f>_xlfn.NUMBERVALUE(MID(LEFT(Table4[[#This Row],[Score]],FIND("-",Table4[[#This Row],[Score]])-1),FIND(" ",Table4[[#This Row],[Score]])+1,LEN(Table4[[#This Row],[Score]])))</f>
        <v>4</v>
      </c>
      <c r="F105" s="3">
        <f>_xlfn.NUMBERVALUE(RIGHT(Table4[[#This Row],[Score]],LEN(Table4[[#This Row],[Score]])-FIND("-",Table4[[#This Row],[Score]])))</f>
        <v>16</v>
      </c>
      <c r="G105" s="3">
        <f t="shared" si="16"/>
        <v>20</v>
      </c>
      <c r="H105" s="3" t="str">
        <f>LEFT(Table4[[#This Row],[Score]],1)</f>
        <v>L</v>
      </c>
      <c r="I105" s="3" t="str">
        <f>VLOOKUP(IF(Table4[[#This Row],[At]]="Home",Table4[[#This Row],[Opponent]],RIGHT(Table4[[#This Row],[Opponent]],LEN(Table4[[#This Row],[Opponent]])-1)),CHOOSE({1,2},[1]StandingsRAW!$J$1:$J$22,[1]StandingsRAW!$L$1:$L$22),2,FALSE)</f>
        <v>WAT</v>
      </c>
      <c r="J105" s="3">
        <f>VLOOKUP(Table4[[#This Row],[OPP]],Raw!$L$2:$S$23,7,FALSE)-Raw!$U$2</f>
        <v>-3.3415553472384971</v>
      </c>
    </row>
    <row r="106" spans="1:10" x14ac:dyDescent="0.25">
      <c r="A106" t="s">
        <v>520</v>
      </c>
      <c r="B106" t="s">
        <v>192</v>
      </c>
      <c r="C106" t="s">
        <v>280</v>
      </c>
      <c r="D106" t="str">
        <f>IF(LEFT(Table4[[#This Row],[Opponent]],1)="@","Away","Home")</f>
        <v>Away</v>
      </c>
      <c r="E106" s="3">
        <f>_xlfn.NUMBERVALUE(MID(LEFT(Table4[[#This Row],[Score]],FIND("-",Table4[[#This Row],[Score]])-1),FIND(" ",Table4[[#This Row],[Score]])+1,LEN(Table4[[#This Row],[Score]])))</f>
        <v>8</v>
      </c>
      <c r="F106" s="3">
        <f>_xlfn.NUMBERVALUE(RIGHT(Table4[[#This Row],[Score]],LEN(Table4[[#This Row],[Score]])-FIND("-",Table4[[#This Row],[Score]])))</f>
        <v>3</v>
      </c>
      <c r="G106" s="3">
        <f t="shared" si="16"/>
        <v>11</v>
      </c>
      <c r="H106" s="3" t="str">
        <f>LEFT(Table4[[#This Row],[Score]],1)</f>
        <v>W</v>
      </c>
      <c r="I106" s="3" t="str">
        <f>VLOOKUP(IF(Table4[[#This Row],[At]]="Home",Table4[[#This Row],[Opponent]],RIGHT(Table4[[#This Row],[Opponent]],LEN(Table4[[#This Row],[Opponent]])-1)),CHOOSE({1,2},[1]StandingsRAW!$J$1:$J$22,[1]StandingsRAW!$L$1:$L$22),2,FALSE)</f>
        <v>WAT</v>
      </c>
      <c r="J106" s="3">
        <f>VLOOKUP(Table4[[#This Row],[OPP]],Raw!$L$2:$S$23,7,FALSE)-Raw!$U$2</f>
        <v>-3.3415553472384971</v>
      </c>
    </row>
    <row r="107" spans="1:10" x14ac:dyDescent="0.25">
      <c r="A107" t="s">
        <v>521</v>
      </c>
      <c r="B107" t="s">
        <v>278</v>
      </c>
      <c r="C107" t="s">
        <v>94</v>
      </c>
      <c r="D107" t="str">
        <f>IF(LEFT(Table4[[#This Row],[Opponent]],1)="@","Away","Home")</f>
        <v>Home</v>
      </c>
      <c r="E107" s="3">
        <f>_xlfn.NUMBERVALUE(MID(LEFT(Table4[[#This Row],[Score]],FIND("-",Table4[[#This Row],[Score]])-1),FIND(" ",Table4[[#This Row],[Score]])+1,LEN(Table4[[#This Row],[Score]])))</f>
        <v>4</v>
      </c>
      <c r="F107" s="3">
        <f>_xlfn.NUMBERVALUE(RIGHT(Table4[[#This Row],[Score]],LEN(Table4[[#This Row],[Score]])-FIND("-",Table4[[#This Row],[Score]])))</f>
        <v>8</v>
      </c>
      <c r="G107" s="3">
        <f t="shared" si="16"/>
        <v>12</v>
      </c>
      <c r="H107" s="3" t="str">
        <f>LEFT(Table4[[#This Row],[Score]],1)</f>
        <v>L</v>
      </c>
      <c r="I107" s="3" t="str">
        <f>VLOOKUP(IF(Table4[[#This Row],[At]]="Home",Table4[[#This Row],[Opponent]],RIGHT(Table4[[#This Row],[Opponent]],LEN(Table4[[#This Row],[Opponent]])-1)),CHOOSE({1,2},[1]StandingsRAW!$J$1:$J$22,[1]StandingsRAW!$L$1:$L$22),2,FALSE)</f>
        <v>BIS</v>
      </c>
      <c r="J107" s="3">
        <f>VLOOKUP(Table4[[#This Row],[OPP]],Raw!$L$2:$S$23,7,FALSE)-Raw!$U$2</f>
        <v>-1.915084759003203</v>
      </c>
    </row>
    <row r="108" spans="1:10" x14ac:dyDescent="0.25">
      <c r="A108" t="s">
        <v>524</v>
      </c>
      <c r="B108" t="s">
        <v>278</v>
      </c>
      <c r="C108" t="s">
        <v>532</v>
      </c>
      <c r="D108" t="str">
        <f>IF(LEFT(Table4[[#This Row],[Opponent]],1)="@","Away","Home")</f>
        <v>Home</v>
      </c>
      <c r="E108" s="3">
        <f>_xlfn.NUMBERVALUE(MID(LEFT(Table4[[#This Row],[Score]],FIND("-",Table4[[#This Row],[Score]])-1),FIND(" ",Table4[[#This Row],[Score]])+1,LEN(Table4[[#This Row],[Score]])))</f>
        <v>12</v>
      </c>
      <c r="F108" s="3">
        <f>_xlfn.NUMBERVALUE(RIGHT(Table4[[#This Row],[Score]],LEN(Table4[[#This Row],[Score]])-FIND("-",Table4[[#This Row],[Score]])))</f>
        <v>11</v>
      </c>
      <c r="G108" s="3">
        <f t="shared" ref="G108:G114" si="17">E108+F108</f>
        <v>23</v>
      </c>
      <c r="H108" s="3" t="str">
        <f>LEFT(Table4[[#This Row],[Score]],1)</f>
        <v>W</v>
      </c>
      <c r="I108" s="3" t="str">
        <f>VLOOKUP(IF(Table4[[#This Row],[At]]="Home",Table4[[#This Row],[Opponent]],RIGHT(Table4[[#This Row],[Opponent]],LEN(Table4[[#This Row],[Opponent]])-1)),CHOOSE({1,2},[1]StandingsRAW!$J$1:$J$22,[1]StandingsRAW!$L$1:$L$22),2,FALSE)</f>
        <v>BIS</v>
      </c>
      <c r="J108" s="3">
        <f>VLOOKUP(Table4[[#This Row],[OPP]],Raw!$L$2:$S$23,7,FALSE)-Raw!$U$2</f>
        <v>-1.915084759003203</v>
      </c>
    </row>
    <row r="109" spans="1:10" x14ac:dyDescent="0.25">
      <c r="A109" t="s">
        <v>525</v>
      </c>
      <c r="B109" t="s">
        <v>231</v>
      </c>
      <c r="C109" t="s">
        <v>224</v>
      </c>
      <c r="D109" t="str">
        <f>IF(LEFT(Table4[[#This Row],[Opponent]],1)="@","Away","Home")</f>
        <v>Home</v>
      </c>
      <c r="E109" s="3">
        <f>_xlfn.NUMBERVALUE(MID(LEFT(Table4[[#This Row],[Score]],FIND("-",Table4[[#This Row],[Score]])-1),FIND(" ",Table4[[#This Row],[Score]])+1,LEN(Table4[[#This Row],[Score]])))</f>
        <v>0</v>
      </c>
      <c r="F109" s="3">
        <f>_xlfn.NUMBERVALUE(RIGHT(Table4[[#This Row],[Score]],LEN(Table4[[#This Row],[Score]])-FIND("-",Table4[[#This Row],[Score]])))</f>
        <v>6</v>
      </c>
      <c r="G109" s="3">
        <f t="shared" si="17"/>
        <v>6</v>
      </c>
      <c r="H109" s="3" t="str">
        <f>LEFT(Table4[[#This Row],[Score]],1)</f>
        <v>L</v>
      </c>
      <c r="I109" s="3" t="str">
        <f>VLOOKUP(IF(Table4[[#This Row],[At]]="Home",Table4[[#This Row],[Opponent]],RIGHT(Table4[[#This Row],[Opponent]],LEN(Table4[[#This Row],[Opponent]])-1)),CHOOSE({1,2},[1]StandingsRAW!$J$1:$J$22,[1]StandingsRAW!$L$1:$L$22),2,FALSE)</f>
        <v>LAC</v>
      </c>
      <c r="J109" s="3">
        <f>VLOOKUP(Table4[[#This Row],[OPP]],Raw!$L$2:$S$23,7,FALSE)-Raw!$U$2</f>
        <v>-0.25332005312084993</v>
      </c>
    </row>
    <row r="110" spans="1:10" x14ac:dyDescent="0.25">
      <c r="A110" t="s">
        <v>526</v>
      </c>
      <c r="B110" t="s">
        <v>231</v>
      </c>
      <c r="C110" t="s">
        <v>329</v>
      </c>
      <c r="D110" t="str">
        <f>IF(LEFT(Table4[[#This Row],[Opponent]],1)="@","Away","Home")</f>
        <v>Home</v>
      </c>
      <c r="E110" s="3">
        <f>_xlfn.NUMBERVALUE(MID(LEFT(Table4[[#This Row],[Score]],FIND("-",Table4[[#This Row],[Score]])-1),FIND(" ",Table4[[#This Row],[Score]])+1,LEN(Table4[[#This Row],[Score]])))</f>
        <v>5</v>
      </c>
      <c r="F110" s="3">
        <f>_xlfn.NUMBERVALUE(RIGHT(Table4[[#This Row],[Score]],LEN(Table4[[#This Row],[Score]])-FIND("-",Table4[[#This Row],[Score]])))</f>
        <v>2</v>
      </c>
      <c r="G110" s="3">
        <f t="shared" si="17"/>
        <v>7</v>
      </c>
      <c r="H110" s="3" t="str">
        <f>LEFT(Table4[[#This Row],[Score]],1)</f>
        <v>W</v>
      </c>
      <c r="I110" s="3" t="str">
        <f>VLOOKUP(IF(Table4[[#This Row],[At]]="Home",Table4[[#This Row],[Opponent]],RIGHT(Table4[[#This Row],[Opponent]],LEN(Table4[[#This Row],[Opponent]])-1)),CHOOSE({1,2},[1]StandingsRAW!$J$1:$J$22,[1]StandingsRAW!$L$1:$L$22),2,FALSE)</f>
        <v>LAC</v>
      </c>
      <c r="J110" s="3">
        <f>VLOOKUP(Table4[[#This Row],[OPP]],Raw!$L$2:$S$23,7,FALSE)-Raw!$U$2</f>
        <v>-0.25332005312084993</v>
      </c>
    </row>
    <row r="111" spans="1:10" x14ac:dyDescent="0.25">
      <c r="A111" t="s">
        <v>527</v>
      </c>
      <c r="B111" t="s">
        <v>245</v>
      </c>
      <c r="C111" t="s">
        <v>38</v>
      </c>
      <c r="D111" t="str">
        <f>IF(LEFT(Table4[[#This Row],[Opponent]],1)="@","Away","Home")</f>
        <v>Home</v>
      </c>
      <c r="E111" s="3">
        <f>_xlfn.NUMBERVALUE(MID(LEFT(Table4[[#This Row],[Score]],FIND("-",Table4[[#This Row],[Score]])-1),FIND(" ",Table4[[#This Row],[Score]])+1,LEN(Table4[[#This Row],[Score]])))</f>
        <v>3</v>
      </c>
      <c r="F111" s="3">
        <f>_xlfn.NUMBERVALUE(RIGHT(Table4[[#This Row],[Score]],LEN(Table4[[#This Row],[Score]])-FIND("-",Table4[[#This Row],[Score]])))</f>
        <v>5</v>
      </c>
      <c r="G111" s="3">
        <f t="shared" si="17"/>
        <v>8</v>
      </c>
      <c r="H111" s="3" t="str">
        <f>LEFT(Table4[[#This Row],[Score]],1)</f>
        <v>L</v>
      </c>
      <c r="I111" s="3" t="str">
        <f>VLOOKUP(IF(Table4[[#This Row],[At]]="Home",Table4[[#This Row],[Opponent]],RIGHT(Table4[[#This Row],[Opponent]],LEN(Table4[[#This Row],[Opponent]])-1)),CHOOSE({1,2},[1]StandingsRAW!$J$1:$J$22,[1]StandingsRAW!$L$1:$L$22),2,FALSE)</f>
        <v>STC</v>
      </c>
      <c r="J111" s="3">
        <f>VLOOKUP(Table4[[#This Row],[OPP]],Raw!$L$2:$S$23,7,FALSE)-Raw!$U$2</f>
        <v>2.5702093586438561</v>
      </c>
    </row>
    <row r="112" spans="1:10" x14ac:dyDescent="0.25">
      <c r="A112" t="s">
        <v>528</v>
      </c>
      <c r="B112" t="s">
        <v>245</v>
      </c>
      <c r="C112" t="s">
        <v>276</v>
      </c>
      <c r="D112" t="str">
        <f>IF(LEFT(Table4[[#This Row],[Opponent]],1)="@","Away","Home")</f>
        <v>Home</v>
      </c>
      <c r="E112" s="3">
        <f>_xlfn.NUMBERVALUE(MID(LEFT(Table4[[#This Row],[Score]],FIND("-",Table4[[#This Row],[Score]])-1),FIND(" ",Table4[[#This Row],[Score]])+1,LEN(Table4[[#This Row],[Score]])))</f>
        <v>2</v>
      </c>
      <c r="F112" s="3">
        <f>_xlfn.NUMBERVALUE(RIGHT(Table4[[#This Row],[Score]],LEN(Table4[[#This Row],[Score]])-FIND("-",Table4[[#This Row],[Score]])))</f>
        <v>4</v>
      </c>
      <c r="G112" s="3">
        <f t="shared" si="17"/>
        <v>6</v>
      </c>
      <c r="H112" s="3" t="str">
        <f>LEFT(Table4[[#This Row],[Score]],1)</f>
        <v>L</v>
      </c>
      <c r="I112" s="3" t="str">
        <f>VLOOKUP(IF(Table4[[#This Row],[At]]="Home",Table4[[#This Row],[Opponent]],RIGHT(Table4[[#This Row],[Opponent]],LEN(Table4[[#This Row],[Opponent]])-1)),CHOOSE({1,2},[1]StandingsRAW!$J$1:$J$22,[1]StandingsRAW!$L$1:$L$22),2,FALSE)</f>
        <v>STC</v>
      </c>
      <c r="J112" s="3">
        <f>VLOOKUP(Table4[[#This Row],[OPP]],Raw!$L$2:$S$23,7,FALSE)-Raw!$U$2</f>
        <v>2.5702093586438561</v>
      </c>
    </row>
    <row r="113" spans="1:10" x14ac:dyDescent="0.25">
      <c r="A113" t="s">
        <v>529</v>
      </c>
      <c r="B113" t="s">
        <v>194</v>
      </c>
      <c r="C113" t="s">
        <v>65</v>
      </c>
      <c r="D113" t="str">
        <f>IF(LEFT(Table4[[#This Row],[Opponent]],1)="@","Away","Home")</f>
        <v>Away</v>
      </c>
      <c r="E113" s="3">
        <f>_xlfn.NUMBERVALUE(MID(LEFT(Table4[[#This Row],[Score]],FIND("-",Table4[[#This Row],[Score]])-1),FIND(" ",Table4[[#This Row],[Score]])+1,LEN(Table4[[#This Row],[Score]])))</f>
        <v>1</v>
      </c>
      <c r="F113" s="3">
        <f>_xlfn.NUMBERVALUE(RIGHT(Table4[[#This Row],[Score]],LEN(Table4[[#This Row],[Score]])-FIND("-",Table4[[#This Row],[Score]])))</f>
        <v>4</v>
      </c>
      <c r="G113" s="3">
        <f t="shared" si="17"/>
        <v>5</v>
      </c>
      <c r="H113" s="3" t="str">
        <f>LEFT(Table4[[#This Row],[Score]],1)</f>
        <v>L</v>
      </c>
      <c r="I113" s="3" t="str">
        <f>VLOOKUP(IF(Table4[[#This Row],[At]]="Home",Table4[[#This Row],[Opponent]],RIGHT(Table4[[#This Row],[Opponent]],LEN(Table4[[#This Row],[Opponent]])-1)),CHOOSE({1,2},[1]StandingsRAW!$J$1:$J$22,[1]StandingsRAW!$L$1:$L$22),2,FALSE)</f>
        <v>EC</v>
      </c>
      <c r="J113" s="3">
        <f>VLOOKUP(Table4[[#This Row],[OPP]],Raw!$L$2:$S$23,7,FALSE)-Raw!$U$2</f>
        <v>1.1143270057026795</v>
      </c>
    </row>
    <row r="114" spans="1:10" x14ac:dyDescent="0.25">
      <c r="A114" t="s">
        <v>530</v>
      </c>
      <c r="B114" t="s">
        <v>194</v>
      </c>
      <c r="C114" t="s">
        <v>240</v>
      </c>
      <c r="D114" t="str">
        <f>IF(LEFT(Table4[[#This Row],[Opponent]],1)="@","Away","Home")</f>
        <v>Away</v>
      </c>
      <c r="E114" s="3">
        <f>_xlfn.NUMBERVALUE(MID(LEFT(Table4[[#This Row],[Score]],FIND("-",Table4[[#This Row],[Score]])-1),FIND(" ",Table4[[#This Row],[Score]])+1,LEN(Table4[[#This Row],[Score]])))</f>
        <v>1</v>
      </c>
      <c r="F114" s="3">
        <f>_xlfn.NUMBERVALUE(RIGHT(Table4[[#This Row],[Score]],LEN(Table4[[#This Row],[Score]])-FIND("-",Table4[[#This Row],[Score]])))</f>
        <v>3</v>
      </c>
      <c r="G114" s="3">
        <f t="shared" si="17"/>
        <v>4</v>
      </c>
      <c r="H114" s="3" t="str">
        <f>LEFT(Table4[[#This Row],[Score]],1)</f>
        <v>L</v>
      </c>
      <c r="I114" s="3" t="str">
        <f>VLOOKUP(IF(Table4[[#This Row],[At]]="Home",Table4[[#This Row],[Opponent]],RIGHT(Table4[[#This Row],[Opponent]],LEN(Table4[[#This Row],[Opponent]])-1)),CHOOSE({1,2},[1]StandingsRAW!$J$1:$J$22,[1]StandingsRAW!$L$1:$L$22),2,FALSE)</f>
        <v>EC</v>
      </c>
      <c r="J114" s="3">
        <f>VLOOKUP(Table4[[#This Row],[OPP]],Raw!$L$2:$S$23,7,FALSE)-Raw!$U$2</f>
        <v>1.1143270057026795</v>
      </c>
    </row>
    <row r="115" spans="1:10" x14ac:dyDescent="0.25">
      <c r="A115" t="s">
        <v>541</v>
      </c>
      <c r="B115" t="s">
        <v>250</v>
      </c>
      <c r="C115" t="s">
        <v>324</v>
      </c>
      <c r="D115" t="str">
        <f>IF(LEFT(Table4[[#This Row],[Opponent]],1)="@","Away","Home")</f>
        <v>Home</v>
      </c>
      <c r="E115" s="3">
        <f>_xlfn.NUMBERVALUE(MID(LEFT(Table4[[#This Row],[Score]],FIND("-",Table4[[#This Row],[Score]])-1),FIND(" ",Table4[[#This Row],[Score]])+1,LEN(Table4[[#This Row],[Score]])))</f>
        <v>14</v>
      </c>
      <c r="F115" s="3">
        <f>_xlfn.NUMBERVALUE(RIGHT(Table4[[#This Row],[Score]],LEN(Table4[[#This Row],[Score]])-FIND("-",Table4[[#This Row],[Score]])))</f>
        <v>4</v>
      </c>
      <c r="G115" s="3">
        <f>E115+F115</f>
        <v>18</v>
      </c>
      <c r="H115" s="3" t="str">
        <f>LEFT(Table4[[#This Row],[Score]],1)</f>
        <v>W</v>
      </c>
      <c r="I115" s="3" t="str">
        <f>VLOOKUP(IF(Table4[[#This Row],[At]]="Home",Table4[[#This Row],[Opponent]],RIGHT(Table4[[#This Row],[Opponent]],LEN(Table4[[#This Row],[Opponent]])-1)),CHOOSE({1,2},[1]StandingsRAW!$J$1:$J$22,[1]StandingsRAW!$L$1:$L$22),2,FALSE)</f>
        <v>MAN</v>
      </c>
      <c r="J115" s="3">
        <f>VLOOKUP(Table4[[#This Row],[OPP]],Raw!$L$2:$S$23,7,FALSE)-Raw!$U$2</f>
        <v>0.73197406452620895</v>
      </c>
    </row>
    <row r="116" spans="1:10" x14ac:dyDescent="0.25">
      <c r="A116" t="s">
        <v>542</v>
      </c>
      <c r="B116" t="s">
        <v>250</v>
      </c>
      <c r="C116" t="s">
        <v>276</v>
      </c>
      <c r="D116" t="str">
        <f>IF(LEFT(Table4[[#This Row],[Opponent]],1)="@","Away","Home")</f>
        <v>Home</v>
      </c>
      <c r="E116" s="3">
        <f>_xlfn.NUMBERVALUE(MID(LEFT(Table4[[#This Row],[Score]],FIND("-",Table4[[#This Row],[Score]])-1),FIND(" ",Table4[[#This Row],[Score]])+1,LEN(Table4[[#This Row],[Score]])))</f>
        <v>2</v>
      </c>
      <c r="F116" s="3">
        <f>_xlfn.NUMBERVALUE(RIGHT(Table4[[#This Row],[Score]],LEN(Table4[[#This Row],[Score]])-FIND("-",Table4[[#This Row],[Score]])))</f>
        <v>4</v>
      </c>
      <c r="G116" s="3">
        <f>E116+F116</f>
        <v>6</v>
      </c>
      <c r="H116" s="3" t="str">
        <f>LEFT(Table4[[#This Row],[Score]],1)</f>
        <v>L</v>
      </c>
      <c r="I116" s="3" t="str">
        <f>VLOOKUP(IF(Table4[[#This Row],[At]]="Home",Table4[[#This Row],[Opponent]],RIGHT(Table4[[#This Row],[Opponent]],LEN(Table4[[#This Row],[Opponent]])-1)),CHOOSE({1,2},[1]StandingsRAW!$J$1:$J$22,[1]StandingsRAW!$L$1:$L$22),2,FALSE)</f>
        <v>MAN</v>
      </c>
      <c r="J116" s="3">
        <f>VLOOKUP(Table4[[#This Row],[OPP]],Raw!$L$2:$S$23,7,FALSE)-Raw!$U$2</f>
        <v>0.73197406452620895</v>
      </c>
    </row>
    <row r="117" spans="1:10" x14ac:dyDescent="0.25">
      <c r="A117" t="s">
        <v>543</v>
      </c>
      <c r="B117" t="s">
        <v>206</v>
      </c>
      <c r="C117" t="s">
        <v>89</v>
      </c>
      <c r="D117" t="str">
        <f>IF(LEFT(Table4[[#This Row],[Opponent]],1)="@","Away","Home")</f>
        <v>Away</v>
      </c>
      <c r="E117" s="3">
        <f>_xlfn.NUMBERVALUE(MID(LEFT(Table4[[#This Row],[Score]],FIND("-",Table4[[#This Row],[Score]])-1),FIND(" ",Table4[[#This Row],[Score]])+1,LEN(Table4[[#This Row],[Score]])))</f>
        <v>1</v>
      </c>
      <c r="F117" s="3">
        <f>_xlfn.NUMBERVALUE(RIGHT(Table4[[#This Row],[Score]],LEN(Table4[[#This Row],[Score]])-FIND("-",Table4[[#This Row],[Score]])))</f>
        <v>6</v>
      </c>
      <c r="G117" s="3">
        <f>E117+F117</f>
        <v>7</v>
      </c>
      <c r="H117" s="3" t="str">
        <f>LEFT(Table4[[#This Row],[Score]],1)</f>
        <v>L</v>
      </c>
      <c r="I117" s="3" t="str">
        <f>VLOOKUP(IF(Table4[[#This Row],[At]]="Home",Table4[[#This Row],[Opponent]],RIGHT(Table4[[#This Row],[Opponent]],LEN(Table4[[#This Row],[Opponent]])-1)),CHOOSE({1,2},[1]StandingsRAW!$J$1:$J$22,[1]StandingsRAW!$L$1:$L$22),2,FALSE)</f>
        <v>MAN</v>
      </c>
      <c r="J117" s="3">
        <f>VLOOKUP(Table4[[#This Row],[OPP]],Raw!$L$2:$S$23,7,FALSE)-Raw!$U$2</f>
        <v>0.73197406452620895</v>
      </c>
    </row>
    <row r="118" spans="1:10" x14ac:dyDescent="0.25">
      <c r="A118" t="s">
        <v>546</v>
      </c>
      <c r="B118" t="s">
        <v>206</v>
      </c>
      <c r="C118" t="s">
        <v>236</v>
      </c>
      <c r="D118" t="str">
        <f>IF(LEFT(Table4[[#This Row],[Opponent]],1)="@","Away","Home")</f>
        <v>Away</v>
      </c>
      <c r="E118" s="3">
        <f>_xlfn.NUMBERVALUE(MID(LEFT(Table4[[#This Row],[Score]],FIND("-",Table4[[#This Row],[Score]])-1),FIND(" ",Table4[[#This Row],[Score]])+1,LEN(Table4[[#This Row],[Score]])))</f>
        <v>7</v>
      </c>
      <c r="F118" s="3">
        <f>_xlfn.NUMBERVALUE(RIGHT(Table4[[#This Row],[Score]],LEN(Table4[[#This Row],[Score]])-FIND("-",Table4[[#This Row],[Score]])))</f>
        <v>0</v>
      </c>
      <c r="G118" s="3">
        <f>E118+F118</f>
        <v>7</v>
      </c>
      <c r="H118" s="3" t="str">
        <f>LEFT(Table4[[#This Row],[Score]],1)</f>
        <v>W</v>
      </c>
      <c r="I118" s="3" t="str">
        <f>VLOOKUP(IF(Table4[[#This Row],[At]]="Home",Table4[[#This Row],[Opponent]],RIGHT(Table4[[#This Row],[Opponent]],LEN(Table4[[#This Row],[Opponent]])-1)),CHOOSE({1,2},[1]StandingsRAW!$J$1:$J$22,[1]StandingsRAW!$L$1:$L$22),2,FALSE)</f>
        <v>MAN</v>
      </c>
      <c r="J118" s="3">
        <f>VLOOKUP(Table4[[#This Row],[OPP]],Raw!$L$2:$S$23,7,FALSE)-Raw!$U$2</f>
        <v>0.73197406452620895</v>
      </c>
    </row>
    <row r="119" spans="1:10" x14ac:dyDescent="0.25">
      <c r="A119" t="s">
        <v>549</v>
      </c>
      <c r="B119" t="s">
        <v>192</v>
      </c>
      <c r="C119" t="s">
        <v>364</v>
      </c>
      <c r="D119" t="str">
        <f>IF(LEFT(Table4[[#This Row],[Opponent]],1)="@","Away","Home")</f>
        <v>Away</v>
      </c>
      <c r="E119" s="3">
        <f>_xlfn.NUMBERVALUE(MID(LEFT(Table4[[#This Row],[Score]],FIND("-",Table4[[#This Row],[Score]])-1),FIND(" ",Table4[[#This Row],[Score]])+1,LEN(Table4[[#This Row],[Score]])))</f>
        <v>11</v>
      </c>
      <c r="F119" s="3">
        <f>_xlfn.NUMBERVALUE(RIGHT(Table4[[#This Row],[Score]],LEN(Table4[[#This Row],[Score]])-FIND("-",Table4[[#This Row],[Score]])))</f>
        <v>9</v>
      </c>
      <c r="G119" s="3">
        <f t="shared" ref="G119:G122" si="18">E119+F119</f>
        <v>20</v>
      </c>
      <c r="H119" s="3" t="str">
        <f>LEFT(Table4[[#This Row],[Score]],1)</f>
        <v>W</v>
      </c>
      <c r="I119" s="3" t="str">
        <f>VLOOKUP(IF(Table4[[#This Row],[At]]="Home",Table4[[#This Row],[Opponent]],RIGHT(Table4[[#This Row],[Opponent]],LEN(Table4[[#This Row],[Opponent]])-1)),CHOOSE({1,2},[1]StandingsRAW!$J$1:$J$22,[1]StandingsRAW!$L$1:$L$22),2,FALSE)</f>
        <v>WAT</v>
      </c>
      <c r="J119" s="3">
        <f>VLOOKUP(Table4[[#This Row],[OPP]],Raw!$L$2:$S$23,7,FALSE)-Raw!$U$2</f>
        <v>-3.3415553472384971</v>
      </c>
    </row>
    <row r="120" spans="1:10" x14ac:dyDescent="0.25">
      <c r="A120" t="s">
        <v>550</v>
      </c>
      <c r="B120" t="s">
        <v>192</v>
      </c>
      <c r="C120" t="s">
        <v>323</v>
      </c>
      <c r="D120" t="str">
        <f>IF(LEFT(Table4[[#This Row],[Opponent]],1)="@","Away","Home")</f>
        <v>Away</v>
      </c>
      <c r="E120" s="3">
        <f>_xlfn.NUMBERVALUE(MID(LEFT(Table4[[#This Row],[Score]],FIND("-",Table4[[#This Row],[Score]])-1),FIND(" ",Table4[[#This Row],[Score]])+1,LEN(Table4[[#This Row],[Score]])))</f>
        <v>7</v>
      </c>
      <c r="F120" s="3">
        <f>_xlfn.NUMBERVALUE(RIGHT(Table4[[#This Row],[Score]],LEN(Table4[[#This Row],[Score]])-FIND("-",Table4[[#This Row],[Score]])))</f>
        <v>6</v>
      </c>
      <c r="G120" s="3">
        <f t="shared" si="18"/>
        <v>13</v>
      </c>
      <c r="H120" s="3" t="str">
        <f>LEFT(Table4[[#This Row],[Score]],1)</f>
        <v>W</v>
      </c>
      <c r="I120" s="3" t="str">
        <f>VLOOKUP(IF(Table4[[#This Row],[At]]="Home",Table4[[#This Row],[Opponent]],RIGHT(Table4[[#This Row],[Opponent]],LEN(Table4[[#This Row],[Opponent]])-1)),CHOOSE({1,2},[1]StandingsRAW!$J$1:$J$22,[1]StandingsRAW!$L$1:$L$22),2,FALSE)</f>
        <v>WAT</v>
      </c>
      <c r="J120" s="3">
        <f>VLOOKUP(Table4[[#This Row],[OPP]],Raw!$L$2:$S$23,7,FALSE)-Raw!$U$2</f>
        <v>-3.3415553472384971</v>
      </c>
    </row>
    <row r="121" spans="1:10" x14ac:dyDescent="0.25">
      <c r="A121" t="s">
        <v>551</v>
      </c>
      <c r="B121" t="s">
        <v>245</v>
      </c>
      <c r="C121" t="s">
        <v>351</v>
      </c>
      <c r="D121" t="str">
        <f>IF(LEFT(Table4[[#This Row],[Opponent]],1)="@","Away","Home")</f>
        <v>Home</v>
      </c>
      <c r="E121" s="3">
        <f>_xlfn.NUMBERVALUE(MID(LEFT(Table4[[#This Row],[Score]],FIND("-",Table4[[#This Row],[Score]])-1),FIND(" ",Table4[[#This Row],[Score]])+1,LEN(Table4[[#This Row],[Score]])))</f>
        <v>2</v>
      </c>
      <c r="F121" s="3">
        <f>_xlfn.NUMBERVALUE(RIGHT(Table4[[#This Row],[Score]],LEN(Table4[[#This Row],[Score]])-FIND("-",Table4[[#This Row],[Score]])))</f>
        <v>1</v>
      </c>
      <c r="G121" s="3">
        <f t="shared" si="18"/>
        <v>3</v>
      </c>
      <c r="H121" s="3" t="str">
        <f>LEFT(Table4[[#This Row],[Score]],1)</f>
        <v>W</v>
      </c>
      <c r="I121" s="3" t="str">
        <f>VLOOKUP(IF(Table4[[#This Row],[At]]="Home",Table4[[#This Row],[Opponent]],RIGHT(Table4[[#This Row],[Opponent]],LEN(Table4[[#This Row],[Opponent]])-1)),CHOOSE({1,2},[1]StandingsRAW!$J$1:$J$22,[1]StandingsRAW!$L$1:$L$22),2,FALSE)</f>
        <v>STC</v>
      </c>
      <c r="J121" s="3">
        <f>VLOOKUP(Table4[[#This Row],[OPP]],Raw!$L$2:$S$23,7,FALSE)-Raw!$U$2</f>
        <v>2.5702093586438561</v>
      </c>
    </row>
    <row r="122" spans="1:10" x14ac:dyDescent="0.25">
      <c r="A122" t="s">
        <v>552</v>
      </c>
      <c r="B122" t="s">
        <v>245</v>
      </c>
      <c r="C122" t="s">
        <v>128</v>
      </c>
      <c r="D122" t="str">
        <f>IF(LEFT(Table4[[#This Row],[Opponent]],1)="@","Away","Home")</f>
        <v>Home</v>
      </c>
      <c r="E122" s="3">
        <f>_xlfn.NUMBERVALUE(MID(LEFT(Table4[[#This Row],[Score]],FIND("-",Table4[[#This Row],[Score]])-1),FIND(" ",Table4[[#This Row],[Score]])+1,LEN(Table4[[#This Row],[Score]])))</f>
        <v>6</v>
      </c>
      <c r="F122" s="3">
        <f>_xlfn.NUMBERVALUE(RIGHT(Table4[[#This Row],[Score]],LEN(Table4[[#This Row],[Score]])-FIND("-",Table4[[#This Row],[Score]])))</f>
        <v>5</v>
      </c>
      <c r="G122" s="3">
        <f t="shared" si="18"/>
        <v>11</v>
      </c>
      <c r="H122" s="3" t="str">
        <f>LEFT(Table4[[#This Row],[Score]],1)</f>
        <v>W</v>
      </c>
      <c r="I122" s="3" t="str">
        <f>VLOOKUP(IF(Table4[[#This Row],[At]]="Home",Table4[[#This Row],[Opponent]],RIGHT(Table4[[#This Row],[Opponent]],LEN(Table4[[#This Row],[Opponent]])-1)),CHOOSE({1,2},[1]StandingsRAW!$J$1:$J$22,[1]StandingsRAW!$L$1:$L$22),2,FALSE)</f>
        <v>STC</v>
      </c>
      <c r="J122" s="3">
        <f>VLOOKUP(Table4[[#This Row],[OPP]],Raw!$L$2:$S$23,7,FALSE)-Raw!$U$2</f>
        <v>2.5702093586438561</v>
      </c>
    </row>
    <row r="123" spans="1:10" x14ac:dyDescent="0.25">
      <c r="A123" t="s">
        <v>555</v>
      </c>
      <c r="B123" t="s">
        <v>201</v>
      </c>
      <c r="C123" t="s">
        <v>38</v>
      </c>
      <c r="D123" t="str">
        <f>IF(LEFT(Table4[[#This Row],[Opponent]],1)="@","Away","Home")</f>
        <v>Away</v>
      </c>
      <c r="E123" s="3">
        <f>_xlfn.NUMBERVALUE(MID(LEFT(Table4[[#This Row],[Score]],FIND("-",Table4[[#This Row],[Score]])-1),FIND(" ",Table4[[#This Row],[Score]])+1,LEN(Table4[[#This Row],[Score]])))</f>
        <v>3</v>
      </c>
      <c r="F123" s="3">
        <f>_xlfn.NUMBERVALUE(RIGHT(Table4[[#This Row],[Score]],LEN(Table4[[#This Row],[Score]])-FIND("-",Table4[[#This Row],[Score]])))</f>
        <v>5</v>
      </c>
      <c r="G123" s="3">
        <f>E123+F123</f>
        <v>8</v>
      </c>
      <c r="H123" s="3" t="str">
        <f>LEFT(Table4[[#This Row],[Score]],1)</f>
        <v>L</v>
      </c>
      <c r="I123" s="3" t="str">
        <f>VLOOKUP(IF(Table4[[#This Row],[At]]="Home",Table4[[#This Row],[Opponent]],RIGHT(Table4[[#This Row],[Opponent]],LEN(Table4[[#This Row],[Opponent]])-1)),CHOOSE({1,2},[1]StandingsRAW!$J$1:$J$22,[1]StandingsRAW!$L$1:$L$22),2,FALSE)</f>
        <v>STC</v>
      </c>
      <c r="J123" s="3">
        <f>VLOOKUP(Table4[[#This Row],[OPP]],Raw!$L$2:$S$23,7,FALSE)-Raw!$U$2</f>
        <v>2.5702093586438561</v>
      </c>
    </row>
    <row r="124" spans="1:10" x14ac:dyDescent="0.25">
      <c r="A124" t="s">
        <v>557</v>
      </c>
      <c r="B124" t="s">
        <v>201</v>
      </c>
      <c r="C124" t="s">
        <v>38</v>
      </c>
      <c r="D124" t="str">
        <f>IF(LEFT(Table4[[#This Row],[Opponent]],1)="@","Away","Home")</f>
        <v>Away</v>
      </c>
      <c r="E124" s="3">
        <f>_xlfn.NUMBERVALUE(MID(LEFT(Table4[[#This Row],[Score]],FIND("-",Table4[[#This Row],[Score]])-1),FIND(" ",Table4[[#This Row],[Score]])+1,LEN(Table4[[#This Row],[Score]])))</f>
        <v>3</v>
      </c>
      <c r="F124" s="3">
        <f>_xlfn.NUMBERVALUE(RIGHT(Table4[[#This Row],[Score]],LEN(Table4[[#This Row],[Score]])-FIND("-",Table4[[#This Row],[Score]])))</f>
        <v>5</v>
      </c>
      <c r="G124" s="3">
        <f>E124+F124</f>
        <v>8</v>
      </c>
      <c r="H124" s="3" t="str">
        <f>LEFT(Table4[[#This Row],[Score]],1)</f>
        <v>L</v>
      </c>
      <c r="I124" s="3" t="str">
        <f>VLOOKUP(IF(Table4[[#This Row],[At]]="Home",Table4[[#This Row],[Opponent]],RIGHT(Table4[[#This Row],[Opponent]],LEN(Table4[[#This Row],[Opponent]])-1)),CHOOSE({1,2},[1]StandingsRAW!$J$1:$J$22,[1]StandingsRAW!$L$1:$L$22),2,FALSE)</f>
        <v>STC</v>
      </c>
      <c r="J124" s="3">
        <f>VLOOKUP(Table4[[#This Row],[OPP]],Raw!$L$2:$S$23,7,FALSE)-Raw!$U$2</f>
        <v>2.5702093586438561</v>
      </c>
    </row>
    <row r="125" spans="1:10" x14ac:dyDescent="0.25">
      <c r="A125" t="s">
        <v>558</v>
      </c>
      <c r="B125" t="s">
        <v>235</v>
      </c>
      <c r="C125" t="s">
        <v>99</v>
      </c>
      <c r="D125" t="str">
        <f>IF(LEFT(Table4[[#This Row],[Opponent]],1)="@","Away","Home")</f>
        <v>Home</v>
      </c>
      <c r="E125" s="3">
        <f>_xlfn.NUMBERVALUE(MID(LEFT(Table4[[#This Row],[Score]],FIND("-",Table4[[#This Row],[Score]])-1),FIND(" ",Table4[[#This Row],[Score]])+1,LEN(Table4[[#This Row],[Score]])))</f>
        <v>4</v>
      </c>
      <c r="F125" s="3">
        <f>_xlfn.NUMBERVALUE(RIGHT(Table4[[#This Row],[Score]],LEN(Table4[[#This Row],[Score]])-FIND("-",Table4[[#This Row],[Score]])))</f>
        <v>12</v>
      </c>
      <c r="G125" s="3">
        <f t="shared" ref="G125:G126" si="19">E125+F125</f>
        <v>16</v>
      </c>
      <c r="H125" s="3" t="str">
        <f>LEFT(Table4[[#This Row],[Score]],1)</f>
        <v>L</v>
      </c>
      <c r="I125" s="3" t="str">
        <f>VLOOKUP(IF(Table4[[#This Row],[At]]="Home",Table4[[#This Row],[Opponent]],RIGHT(Table4[[#This Row],[Opponent]],LEN(Table4[[#This Row],[Opponent]])-1)),CHOOSE({1,2},[1]StandingsRAW!$J$1:$J$22,[1]StandingsRAW!$L$1:$L$22),2,FALSE)</f>
        <v>EC</v>
      </c>
      <c r="J125" s="3">
        <f>VLOOKUP(Table4[[#This Row],[OPP]],Raw!$L$2:$S$23,7,FALSE)-Raw!$U$2</f>
        <v>1.1143270057026795</v>
      </c>
    </row>
    <row r="126" spans="1:10" x14ac:dyDescent="0.25">
      <c r="A126" t="s">
        <v>558</v>
      </c>
      <c r="B126" t="s">
        <v>235</v>
      </c>
      <c r="C126" t="s">
        <v>31</v>
      </c>
      <c r="D126" t="str">
        <f>IF(LEFT(Table4[[#This Row],[Opponent]],1)="@","Away","Home")</f>
        <v>Home</v>
      </c>
      <c r="E126" s="3">
        <f>_xlfn.NUMBERVALUE(MID(LEFT(Table4[[#This Row],[Score]],FIND("-",Table4[[#This Row],[Score]])-1),FIND(" ",Table4[[#This Row],[Score]])+1,LEN(Table4[[#This Row],[Score]])))</f>
        <v>5</v>
      </c>
      <c r="F126" s="3">
        <f>_xlfn.NUMBERVALUE(RIGHT(Table4[[#This Row],[Score]],LEN(Table4[[#This Row],[Score]])-FIND("-",Table4[[#This Row],[Score]])))</f>
        <v>9</v>
      </c>
      <c r="G126" s="3">
        <f t="shared" si="19"/>
        <v>14</v>
      </c>
      <c r="H126" s="3" t="str">
        <f>LEFT(Table4[[#This Row],[Score]],1)</f>
        <v>L</v>
      </c>
      <c r="I126" s="3" t="str">
        <f>VLOOKUP(IF(Table4[[#This Row],[At]]="Home",Table4[[#This Row],[Opponent]],RIGHT(Table4[[#This Row],[Opponent]],LEN(Table4[[#This Row],[Opponent]])-1)),CHOOSE({1,2},[1]StandingsRAW!$J$1:$J$22,[1]StandingsRAW!$L$1:$L$22),2,FALSE)</f>
        <v>EC</v>
      </c>
      <c r="J126" s="3">
        <f>VLOOKUP(Table4[[#This Row],[OPP]],Raw!$L$2:$S$23,7,FALSE)-Raw!$U$2</f>
        <v>1.1143270057026795</v>
      </c>
    </row>
    <row r="127" spans="1:10" x14ac:dyDescent="0.25">
      <c r="A127" t="s">
        <v>563</v>
      </c>
      <c r="B127" t="s">
        <v>203</v>
      </c>
      <c r="C127" t="s">
        <v>322</v>
      </c>
      <c r="D127" t="str">
        <f>IF(LEFT(Table4[[#This Row],[Opponent]],1)="@","Away","Home")</f>
        <v>Away</v>
      </c>
      <c r="E127" s="3">
        <f>_xlfn.NUMBERVALUE(MID(LEFT(Table4[[#This Row],[Score]],FIND("-",Table4[[#This Row],[Score]])-1),FIND(" ",Table4[[#This Row],[Score]])+1,LEN(Table4[[#This Row],[Score]])))</f>
        <v>6</v>
      </c>
      <c r="F127" s="3">
        <f>_xlfn.NUMBERVALUE(RIGHT(Table4[[#This Row],[Score]],LEN(Table4[[#This Row],[Score]])-FIND("-",Table4[[#This Row],[Score]])))</f>
        <v>7</v>
      </c>
      <c r="G127" s="3">
        <f>E127+F127</f>
        <v>13</v>
      </c>
      <c r="H127" s="3" t="str">
        <f>LEFT(Table4[[#This Row],[Score]],1)</f>
        <v>L</v>
      </c>
      <c r="I127" s="3" t="str">
        <f>VLOOKUP(IF(Table4[[#This Row],[At]]="Home",Table4[[#This Row],[Opponent]],RIGHT(Table4[[#This Row],[Opponent]],LEN(Table4[[#This Row],[Opponent]])-1)),CHOOSE({1,2},[1]StandingsRAW!$J$1:$J$22,[1]StandingsRAW!$L$1:$L$22),2,FALSE)</f>
        <v>BIS</v>
      </c>
      <c r="J127" s="3">
        <f>VLOOKUP(Table4[[#This Row],[OPP]],Raw!$L$2:$S$23,7,FALSE)-Raw!$U$2</f>
        <v>-1.915084759003203</v>
      </c>
    </row>
    <row r="128" spans="1:10" x14ac:dyDescent="0.25">
      <c r="A128" t="s">
        <v>564</v>
      </c>
      <c r="B128" t="s">
        <v>203</v>
      </c>
      <c r="C128" t="s">
        <v>35</v>
      </c>
      <c r="D128" t="str">
        <f>IF(LEFT(Table4[[#This Row],[Opponent]],1)="@","Away","Home")</f>
        <v>Away</v>
      </c>
      <c r="E128" s="3">
        <f>_xlfn.NUMBERVALUE(MID(LEFT(Table4[[#This Row],[Score]],FIND("-",Table4[[#This Row],[Score]])-1),FIND(" ",Table4[[#This Row],[Score]])+1,LEN(Table4[[#This Row],[Score]])))</f>
        <v>4</v>
      </c>
      <c r="F128" s="3">
        <f>_xlfn.NUMBERVALUE(RIGHT(Table4[[#This Row],[Score]],LEN(Table4[[#This Row],[Score]])-FIND("-",Table4[[#This Row],[Score]])))</f>
        <v>1</v>
      </c>
      <c r="G128" s="3">
        <f t="shared" ref="G128:G130" si="20">E128+F128</f>
        <v>5</v>
      </c>
      <c r="H128" s="3" t="str">
        <f>LEFT(Table4[[#This Row],[Score]],1)</f>
        <v>W</v>
      </c>
      <c r="I128" s="3" t="str">
        <f>VLOOKUP(IF(Table4[[#This Row],[At]]="Home",Table4[[#This Row],[Opponent]],RIGHT(Table4[[#This Row],[Opponent]],LEN(Table4[[#This Row],[Opponent]])-1)),CHOOSE({1,2},[1]StandingsRAW!$J$1:$J$22,[1]StandingsRAW!$L$1:$L$22),2,FALSE)</f>
        <v>BIS</v>
      </c>
      <c r="J128" s="3">
        <f>VLOOKUP(Table4[[#This Row],[OPP]],Raw!$L$2:$S$23,7,FALSE)-Raw!$U$2</f>
        <v>-1.915084759003203</v>
      </c>
    </row>
    <row r="129" spans="1:10" x14ac:dyDescent="0.25">
      <c r="A129" t="s">
        <v>565</v>
      </c>
      <c r="B129" t="s">
        <v>241</v>
      </c>
      <c r="C129" t="s">
        <v>351</v>
      </c>
      <c r="D129" t="str">
        <f>IF(LEFT(Table4[[#This Row],[Opponent]],1)="@","Away","Home")</f>
        <v>Home</v>
      </c>
      <c r="E129" s="3">
        <f>_xlfn.NUMBERVALUE(MID(LEFT(Table4[[#This Row],[Score]],FIND("-",Table4[[#This Row],[Score]])-1),FIND(" ",Table4[[#This Row],[Score]])+1,LEN(Table4[[#This Row],[Score]])))</f>
        <v>2</v>
      </c>
      <c r="F129" s="3">
        <f>_xlfn.NUMBERVALUE(RIGHT(Table4[[#This Row],[Score]],LEN(Table4[[#This Row],[Score]])-FIND("-",Table4[[#This Row],[Score]])))</f>
        <v>1</v>
      </c>
      <c r="G129" s="3">
        <f t="shared" si="20"/>
        <v>3</v>
      </c>
      <c r="H129" s="3" t="str">
        <f>LEFT(Table4[[#This Row],[Score]],1)</f>
        <v>W</v>
      </c>
      <c r="I129" s="3" t="str">
        <f>VLOOKUP(IF(Table4[[#This Row],[At]]="Home",Table4[[#This Row],[Opponent]],RIGHT(Table4[[#This Row],[Opponent]],LEN(Table4[[#This Row],[Opponent]])-1)),CHOOSE({1,2},[1]StandingsRAW!$J$1:$J$22,[1]StandingsRAW!$L$1:$L$22),2,FALSE)</f>
        <v>MIN</v>
      </c>
      <c r="J129" s="3">
        <f>VLOOKUP(Table4[[#This Row],[OPP]],Raw!$L$2:$S$23,7,FALSE)-Raw!$U$2</f>
        <v>-2.6422089420097388</v>
      </c>
    </row>
    <row r="130" spans="1:10" x14ac:dyDescent="0.25">
      <c r="A130" t="s">
        <v>566</v>
      </c>
      <c r="B130" t="s">
        <v>241</v>
      </c>
      <c r="C130" t="s">
        <v>254</v>
      </c>
      <c r="D130" t="str">
        <f>IF(LEFT(Table4[[#This Row],[Opponent]],1)="@","Away","Home")</f>
        <v>Home</v>
      </c>
      <c r="E130" s="3">
        <f>_xlfn.NUMBERVALUE(MID(LEFT(Table4[[#This Row],[Score]],FIND("-",Table4[[#This Row],[Score]])-1),FIND(" ",Table4[[#This Row],[Score]])+1,LEN(Table4[[#This Row],[Score]])))</f>
        <v>5</v>
      </c>
      <c r="F130" s="3">
        <f>_xlfn.NUMBERVALUE(RIGHT(Table4[[#This Row],[Score]],LEN(Table4[[#This Row],[Score]])-FIND("-",Table4[[#This Row],[Score]])))</f>
        <v>4</v>
      </c>
      <c r="G130" s="3">
        <f t="shared" si="20"/>
        <v>9</v>
      </c>
      <c r="H130" s="3" t="str">
        <f>LEFT(Table4[[#This Row],[Score]],1)</f>
        <v>W</v>
      </c>
      <c r="I130" s="3" t="str">
        <f>VLOOKUP(IF(Table4[[#This Row],[At]]="Home",Table4[[#This Row],[Opponent]],RIGHT(Table4[[#This Row],[Opponent]],LEN(Table4[[#This Row],[Opponent]])-1)),CHOOSE({1,2},[1]StandingsRAW!$J$1:$J$22,[1]StandingsRAW!$L$1:$L$22),2,FALSE)</f>
        <v>MIN</v>
      </c>
      <c r="J130" s="3">
        <f>VLOOKUP(Table4[[#This Row],[OPP]],Raw!$L$2:$S$23,7,FALSE)-Raw!$U$2</f>
        <v>-2.6422089420097388</v>
      </c>
    </row>
    <row r="131" spans="1:10" x14ac:dyDescent="0.25">
      <c r="A131" t="s">
        <v>592</v>
      </c>
      <c r="B131" t="s">
        <v>210</v>
      </c>
      <c r="C131" t="s">
        <v>230</v>
      </c>
      <c r="D131" t="str">
        <f>IF(LEFT(Table4[[#This Row],[Opponent]],1)="@","Away","Home")</f>
        <v>Away</v>
      </c>
      <c r="E131" s="3">
        <f>_xlfn.NUMBERVALUE(MID(LEFT(Table4[[#This Row],[Score]],FIND("-",Table4[[#This Row],[Score]])-1),FIND(" ",Table4[[#This Row],[Score]])+1,LEN(Table4[[#This Row],[Score]])))</f>
        <v>4</v>
      </c>
      <c r="F131" s="3">
        <f>_xlfn.NUMBERVALUE(RIGHT(Table4[[#This Row],[Score]],LEN(Table4[[#This Row],[Score]])-FIND("-",Table4[[#This Row],[Score]])))</f>
        <v>9</v>
      </c>
      <c r="G131" s="3">
        <f>E131+F131</f>
        <v>13</v>
      </c>
      <c r="H131" s="3" t="str">
        <f>LEFT(Table4[[#This Row],[Score]],1)</f>
        <v>L</v>
      </c>
      <c r="I131" s="3" t="str">
        <f>VLOOKUP(IF(Table4[[#This Row],[At]]="Home",Table4[[#This Row],[Opponent]],RIGHT(Table4[[#This Row],[Opponent]],LEN(Table4[[#This Row],[Opponent]])-1)),CHOOSE({1,2},[1]StandingsRAW!$J$1:$J$22,[1]StandingsRAW!$L$1:$L$22),2,FALSE)</f>
        <v>ROC</v>
      </c>
      <c r="J131" s="3">
        <f>VLOOKUP(Table4[[#This Row],[OPP]],Raw!$L$2:$S$23,7,FALSE)-Raw!$U$2</f>
        <v>-0.20920240606202639</v>
      </c>
    </row>
    <row r="132" spans="1:10" x14ac:dyDescent="0.25">
      <c r="A132" t="s">
        <v>595</v>
      </c>
      <c r="B132" t="s">
        <v>210</v>
      </c>
      <c r="C132" t="s">
        <v>320</v>
      </c>
      <c r="D132" t="str">
        <f>IF(LEFT(Table4[[#This Row],[Opponent]],1)="@","Away","Home")</f>
        <v>Away</v>
      </c>
      <c r="E132" s="3">
        <f>_xlfn.NUMBERVALUE(MID(LEFT(Table4[[#This Row],[Score]],FIND("-",Table4[[#This Row],[Score]])-1),FIND(" ",Table4[[#This Row],[Score]])+1,LEN(Table4[[#This Row],[Score]])))</f>
        <v>5</v>
      </c>
      <c r="F132" s="3">
        <f>_xlfn.NUMBERVALUE(RIGHT(Table4[[#This Row],[Score]],LEN(Table4[[#This Row],[Score]])-FIND("-",Table4[[#This Row],[Score]])))</f>
        <v>1</v>
      </c>
      <c r="G132" s="3">
        <f>E132+F132</f>
        <v>6</v>
      </c>
      <c r="H132" s="3" t="str">
        <f>LEFT(Table4[[#This Row],[Score]],1)</f>
        <v>W</v>
      </c>
      <c r="I132" s="3" t="str">
        <f>VLOOKUP(IF(Table4[[#This Row],[At]]="Home",Table4[[#This Row],[Opponent]],RIGHT(Table4[[#This Row],[Opponent]],LEN(Table4[[#This Row],[Opponent]])-1)),CHOOSE({1,2},[1]StandingsRAW!$J$1:$J$22,[1]StandingsRAW!$L$1:$L$22),2,FALSE)</f>
        <v>ROC</v>
      </c>
      <c r="J132" s="3">
        <f>VLOOKUP(Table4[[#This Row],[OPP]],Raw!$L$2:$S$23,7,FALSE)-Raw!$U$2</f>
        <v>-0.20920240606202639</v>
      </c>
    </row>
    <row r="133" spans="1:10" x14ac:dyDescent="0.25">
      <c r="A133" t="s">
        <v>598</v>
      </c>
      <c r="B133" t="s">
        <v>222</v>
      </c>
      <c r="C133" t="s">
        <v>55</v>
      </c>
      <c r="D133" t="str">
        <f>IF(LEFT(Table4[[#This Row],[Opponent]],1)="@","Away","Home")</f>
        <v>Home</v>
      </c>
      <c r="E133" s="3">
        <f>_xlfn.NUMBERVALUE(MID(LEFT(Table4[[#This Row],[Score]],FIND("-",Table4[[#This Row],[Score]])-1),FIND(" ",Table4[[#This Row],[Score]])+1,LEN(Table4[[#This Row],[Score]])))</f>
        <v>5</v>
      </c>
      <c r="F133" s="3">
        <f>_xlfn.NUMBERVALUE(RIGHT(Table4[[#This Row],[Score]],LEN(Table4[[#This Row],[Score]])-FIND("-",Table4[[#This Row],[Score]])))</f>
        <v>7</v>
      </c>
      <c r="G133" s="3">
        <f>E133+F133</f>
        <v>12</v>
      </c>
      <c r="H133" s="3" t="str">
        <f>LEFT(Table4[[#This Row],[Score]],1)</f>
        <v>L</v>
      </c>
      <c r="I133" s="3" t="str">
        <f>VLOOKUP(IF(Table4[[#This Row],[At]]="Home",Table4[[#This Row],[Opponent]],RIGHT(Table4[[#This Row],[Opponent]],LEN(Table4[[#This Row],[Opponent]])-1)),CHOOSE({1,2},[1]StandingsRAW!$J$1:$J$22,[1]StandingsRAW!$L$1:$L$22),2,FALSE)</f>
        <v>WIL</v>
      </c>
      <c r="J133" s="3">
        <f>VLOOKUP(Table4[[#This Row],[OPP]],Raw!$L$2:$S$23,7,FALSE)-Raw!$U$2</f>
        <v>3.0407975939379734</v>
      </c>
    </row>
    <row r="134" spans="1:10" x14ac:dyDescent="0.25">
      <c r="A134" t="s">
        <v>599</v>
      </c>
      <c r="B134" t="s">
        <v>222</v>
      </c>
      <c r="C134" t="s">
        <v>323</v>
      </c>
      <c r="D134" t="str">
        <f>IF(LEFT(Table4[[#This Row],[Opponent]],1)="@","Away","Home")</f>
        <v>Home</v>
      </c>
      <c r="E134" s="3">
        <f>_xlfn.NUMBERVALUE(MID(LEFT(Table4[[#This Row],[Score]],FIND("-",Table4[[#This Row],[Score]])-1),FIND(" ",Table4[[#This Row],[Score]])+1,LEN(Table4[[#This Row],[Score]])))</f>
        <v>7</v>
      </c>
      <c r="F134" s="3">
        <f>_xlfn.NUMBERVALUE(RIGHT(Table4[[#This Row],[Score]],LEN(Table4[[#This Row],[Score]])-FIND("-",Table4[[#This Row],[Score]])))</f>
        <v>6</v>
      </c>
      <c r="G134" s="3">
        <f>E134+F134</f>
        <v>13</v>
      </c>
      <c r="H134" s="3" t="str">
        <f>LEFT(Table4[[#This Row],[Score]],1)</f>
        <v>W</v>
      </c>
      <c r="I134" s="3" t="str">
        <f>VLOOKUP(IF(Table4[[#This Row],[At]]="Home",Table4[[#This Row],[Opponent]],RIGHT(Table4[[#This Row],[Opponent]],LEN(Table4[[#This Row],[Opponent]])-1)),CHOOSE({1,2},[1]StandingsRAW!$J$1:$J$22,[1]StandingsRAW!$L$1:$L$22),2,FALSE)</f>
        <v>WIL</v>
      </c>
      <c r="J134" s="3">
        <f>VLOOKUP(Table4[[#This Row],[OPP]],Raw!$L$2:$S$23,7,FALSE)-Raw!$U$2</f>
        <v>3.0407975939379734</v>
      </c>
    </row>
    <row r="135" spans="1:10" x14ac:dyDescent="0.25">
      <c r="A135" t="s">
        <v>600</v>
      </c>
      <c r="B135" t="s">
        <v>235</v>
      </c>
      <c r="C135" t="s">
        <v>260</v>
      </c>
      <c r="D135" t="str">
        <f>IF(LEFT(Table4[[#This Row],[Opponent]],1)="@","Away","Home")</f>
        <v>Home</v>
      </c>
      <c r="E135" s="3">
        <f>_xlfn.NUMBERVALUE(MID(LEFT(Table4[[#This Row],[Score]],FIND("-",Table4[[#This Row],[Score]])-1),FIND(" ",Table4[[#This Row],[Score]])+1,LEN(Table4[[#This Row],[Score]])))</f>
        <v>5</v>
      </c>
      <c r="F135" s="3">
        <f>_xlfn.NUMBERVALUE(RIGHT(Table4[[#This Row],[Score]],LEN(Table4[[#This Row],[Score]])-FIND("-",Table4[[#This Row],[Score]])))</f>
        <v>12</v>
      </c>
      <c r="G135" s="3">
        <f t="shared" ref="G135:G138" si="21">E135+F135</f>
        <v>17</v>
      </c>
      <c r="H135" s="3" t="str">
        <f>LEFT(Table4[[#This Row],[Score]],1)</f>
        <v>L</v>
      </c>
      <c r="I135" s="3" t="str">
        <f>VLOOKUP(IF(Table4[[#This Row],[At]]="Home",Table4[[#This Row],[Opponent]],RIGHT(Table4[[#This Row],[Opponent]],LEN(Table4[[#This Row],[Opponent]])-1)),CHOOSE({1,2},[1]StandingsRAW!$J$1:$J$22,[1]StandingsRAW!$L$1:$L$22),2,FALSE)</f>
        <v>EC</v>
      </c>
      <c r="J135" s="3">
        <f>VLOOKUP(Table4[[#This Row],[OPP]],Raw!$L$2:$S$23,7,FALSE)-Raw!$U$2</f>
        <v>1.1143270057026795</v>
      </c>
    </row>
    <row r="136" spans="1:10" x14ac:dyDescent="0.25">
      <c r="A136" t="s">
        <v>601</v>
      </c>
      <c r="B136" t="s">
        <v>235</v>
      </c>
      <c r="C136" t="s">
        <v>281</v>
      </c>
      <c r="D136" t="str">
        <f>IF(LEFT(Table4[[#This Row],[Opponent]],1)="@","Away","Home")</f>
        <v>Home</v>
      </c>
      <c r="E136" s="3">
        <f>_xlfn.NUMBERVALUE(MID(LEFT(Table4[[#This Row],[Score]],FIND("-",Table4[[#This Row],[Score]])-1),FIND(" ",Table4[[#This Row],[Score]])+1,LEN(Table4[[#This Row],[Score]])))</f>
        <v>1</v>
      </c>
      <c r="F136" s="3">
        <f>_xlfn.NUMBERVALUE(RIGHT(Table4[[#This Row],[Score]],LEN(Table4[[#This Row],[Score]])-FIND("-",Table4[[#This Row],[Score]])))</f>
        <v>8</v>
      </c>
      <c r="G136" s="3">
        <f t="shared" si="21"/>
        <v>9</v>
      </c>
      <c r="H136" s="3" t="str">
        <f>LEFT(Table4[[#This Row],[Score]],1)</f>
        <v>L</v>
      </c>
      <c r="I136" s="3" t="str">
        <f>VLOOKUP(IF(Table4[[#This Row],[At]]="Home",Table4[[#This Row],[Opponent]],RIGHT(Table4[[#This Row],[Opponent]],LEN(Table4[[#This Row],[Opponent]])-1)),CHOOSE({1,2},[1]StandingsRAW!$J$1:$J$22,[1]StandingsRAW!$L$1:$L$22),2,FALSE)</f>
        <v>EC</v>
      </c>
      <c r="J136" s="3">
        <f>VLOOKUP(Table4[[#This Row],[OPP]],Raw!$L$2:$S$23,7,FALSE)-Raw!$U$2</f>
        <v>1.1143270057026795</v>
      </c>
    </row>
    <row r="137" spans="1:10" x14ac:dyDescent="0.25">
      <c r="A137" t="s">
        <v>602</v>
      </c>
      <c r="B137" t="s">
        <v>231</v>
      </c>
      <c r="C137" t="s">
        <v>253</v>
      </c>
      <c r="D137" t="str">
        <f>IF(LEFT(Table4[[#This Row],[Opponent]],1)="@","Away","Home")</f>
        <v>Home</v>
      </c>
      <c r="E137" s="3">
        <f>_xlfn.NUMBERVALUE(MID(LEFT(Table4[[#This Row],[Score]],FIND("-",Table4[[#This Row],[Score]])-1),FIND(" ",Table4[[#This Row],[Score]])+1,LEN(Table4[[#This Row],[Score]])))</f>
        <v>4</v>
      </c>
      <c r="F137" s="3">
        <f>_xlfn.NUMBERVALUE(RIGHT(Table4[[#This Row],[Score]],LEN(Table4[[#This Row],[Score]])-FIND("-",Table4[[#This Row],[Score]])))</f>
        <v>0</v>
      </c>
      <c r="G137" s="3">
        <f t="shared" si="21"/>
        <v>4</v>
      </c>
      <c r="H137" s="3" t="str">
        <f>LEFT(Table4[[#This Row],[Score]],1)</f>
        <v>W</v>
      </c>
      <c r="I137" s="3" t="str">
        <f>VLOOKUP(IF(Table4[[#This Row],[At]]="Home",Table4[[#This Row],[Opponent]],RIGHT(Table4[[#This Row],[Opponent]],LEN(Table4[[#This Row],[Opponent]])-1)),CHOOSE({1,2},[1]StandingsRAW!$J$1:$J$22,[1]StandingsRAW!$L$1:$L$22),2,FALSE)</f>
        <v>LAC</v>
      </c>
      <c r="J137" s="3">
        <f>VLOOKUP(Table4[[#This Row],[OPP]],Raw!$L$2:$S$23,7,FALSE)-Raw!$U$2</f>
        <v>-0.25332005312084993</v>
      </c>
    </row>
    <row r="138" spans="1:10" x14ac:dyDescent="0.25">
      <c r="A138" t="s">
        <v>603</v>
      </c>
      <c r="B138" t="s">
        <v>231</v>
      </c>
      <c r="C138" t="s">
        <v>128</v>
      </c>
      <c r="D138" t="str">
        <f>IF(LEFT(Table4[[#This Row],[Opponent]],1)="@","Away","Home")</f>
        <v>Home</v>
      </c>
      <c r="E138" s="3">
        <f>_xlfn.NUMBERVALUE(MID(LEFT(Table4[[#This Row],[Score]],FIND("-",Table4[[#This Row],[Score]])-1),FIND(" ",Table4[[#This Row],[Score]])+1,LEN(Table4[[#This Row],[Score]])))</f>
        <v>6</v>
      </c>
      <c r="F138" s="3">
        <f>_xlfn.NUMBERVALUE(RIGHT(Table4[[#This Row],[Score]],LEN(Table4[[#This Row],[Score]])-FIND("-",Table4[[#This Row],[Score]])))</f>
        <v>5</v>
      </c>
      <c r="G138" s="3">
        <f t="shared" si="21"/>
        <v>11</v>
      </c>
      <c r="H138" s="3" t="str">
        <f>LEFT(Table4[[#This Row],[Score]],1)</f>
        <v>W</v>
      </c>
      <c r="I138" s="3" t="str">
        <f>VLOOKUP(IF(Table4[[#This Row],[At]]="Home",Table4[[#This Row],[Opponent]],RIGHT(Table4[[#This Row],[Opponent]],LEN(Table4[[#This Row],[Opponent]])-1)),CHOOSE({1,2},[1]StandingsRAW!$J$1:$J$22,[1]StandingsRAW!$L$1:$L$22),2,FALSE)</f>
        <v>LAC</v>
      </c>
      <c r="J138" s="3">
        <f>VLOOKUP(Table4[[#This Row],[OPP]],Raw!$L$2:$S$23,7,FALSE)-Raw!$U$2</f>
        <v>-0.25332005312084993</v>
      </c>
    </row>
    <row r="139" spans="1:10" x14ac:dyDescent="0.25">
      <c r="A139" t="s">
        <v>608</v>
      </c>
      <c r="B139" t="s">
        <v>211</v>
      </c>
      <c r="C139" t="s">
        <v>330</v>
      </c>
      <c r="D139" t="str">
        <f>IF(LEFT(Table4[[#This Row],[Opponent]],1)="@","Away","Home")</f>
        <v>Away</v>
      </c>
      <c r="E139" s="3">
        <f>_xlfn.NUMBERVALUE(MID(LEFT(Table4[[#This Row],[Score]],FIND("-",Table4[[#This Row],[Score]])-1),FIND(" ",Table4[[#This Row],[Score]])+1,LEN(Table4[[#This Row],[Score]])))</f>
        <v>1</v>
      </c>
      <c r="F139" s="3">
        <f>_xlfn.NUMBERVALUE(RIGHT(Table4[[#This Row],[Score]],LEN(Table4[[#This Row],[Score]])-FIND("-",Table4[[#This Row],[Score]])))</f>
        <v>11</v>
      </c>
      <c r="G139" s="3">
        <f t="shared" ref="G139:G140" si="22">E139+F139</f>
        <v>12</v>
      </c>
      <c r="H139" s="3" t="str">
        <f>LEFT(Table4[[#This Row],[Score]],1)</f>
        <v>L</v>
      </c>
      <c r="I139" s="3" t="str">
        <f>VLOOKUP(IF(Table4[[#This Row],[At]]="Home",Table4[[#This Row],[Opponent]],RIGHT(Table4[[#This Row],[Opponent]],LEN(Table4[[#This Row],[Opponent]])-1)),CHOOSE({1,2},[1]StandingsRAW!$J$1:$J$22,[1]StandingsRAW!$L$1:$L$22),2,FALSE)</f>
        <v>WIL</v>
      </c>
      <c r="J139" s="3">
        <f>VLOOKUP(Table4[[#This Row],[OPP]],Raw!$L$2:$S$23,7,FALSE)-Raw!$U$2</f>
        <v>3.0407975939379734</v>
      </c>
    </row>
    <row r="140" spans="1:10" x14ac:dyDescent="0.25">
      <c r="A140" t="s">
        <v>609</v>
      </c>
      <c r="B140" t="s">
        <v>211</v>
      </c>
      <c r="C140" t="s">
        <v>212</v>
      </c>
      <c r="D140" t="str">
        <f>IF(LEFT(Table4[[#This Row],[Opponent]],1)="@","Away","Home")</f>
        <v>Away</v>
      </c>
      <c r="E140" s="3">
        <f>_xlfn.NUMBERVALUE(MID(LEFT(Table4[[#This Row],[Score]],FIND("-",Table4[[#This Row],[Score]])-1),FIND(" ",Table4[[#This Row],[Score]])+1,LEN(Table4[[#This Row],[Score]])))</f>
        <v>6</v>
      </c>
      <c r="F140" s="3">
        <f>_xlfn.NUMBERVALUE(RIGHT(Table4[[#This Row],[Score]],LEN(Table4[[#This Row],[Score]])-FIND("-",Table4[[#This Row],[Score]])))</f>
        <v>10</v>
      </c>
      <c r="G140" s="3">
        <f t="shared" si="22"/>
        <v>16</v>
      </c>
      <c r="H140" s="3" t="str">
        <f>LEFT(Table4[[#This Row],[Score]],1)</f>
        <v>L</v>
      </c>
      <c r="I140" s="3" t="str">
        <f>VLOOKUP(IF(Table4[[#This Row],[At]]="Home",Table4[[#This Row],[Opponent]],RIGHT(Table4[[#This Row],[Opponent]],LEN(Table4[[#This Row],[Opponent]])-1)),CHOOSE({1,2},[1]StandingsRAW!$J$1:$J$22,[1]StandingsRAW!$L$1:$L$22),2,FALSE)</f>
        <v>WIL</v>
      </c>
      <c r="J140" s="3">
        <f>VLOOKUP(Table4[[#This Row],[OPP]],Raw!$L$2:$S$23,7,FALSE)-Raw!$U$2</f>
        <v>3.0407975939379734</v>
      </c>
    </row>
  </sheetData>
  <conditionalFormatting sqref="L17">
    <cfRule type="cellIs" dxfId="99" priority="4" operator="greaterThan">
      <formula>100</formula>
    </cfRule>
    <cfRule type="cellIs" dxfId="98" priority="5" operator="lessThan">
      <formula>100</formula>
    </cfRule>
  </conditionalFormatting>
  <conditionalFormatting sqref="L18">
    <cfRule type="cellIs" dxfId="97" priority="2" operator="greaterThan">
      <formula>100</formula>
    </cfRule>
    <cfRule type="cellIs" dxfId="96" priority="3" operator="lessThan">
      <formula>100</formula>
    </cfRule>
  </conditionalFormatting>
  <conditionalFormatting sqref="L17:L18">
    <cfRule type="cellIs" dxfId="95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D382-8AD2-4A51-AAC6-C1B440A81144}">
  <sheetPr codeName="Sheet6"/>
  <dimension ref="A1:P142"/>
  <sheetViews>
    <sheetView topLeftCell="A69" workbookViewId="0">
      <selection activeCell="A73" sqref="A73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294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263</v>
      </c>
      <c r="C3" t="s">
        <v>205</v>
      </c>
      <c r="E3" s="1" t="str">
        <f>IF(LEFT(B3,1)="@","Away","Home")</f>
        <v>Home</v>
      </c>
      <c r="F3" s="3">
        <f>_xlfn.NUMBERVALUE(MID(LEFT(C3,FIND("-",C3)-1),FIND(" ",C3)+1,LEN(C3)))</f>
        <v>5</v>
      </c>
      <c r="G3" s="3">
        <f>_xlfn.NUMBERVALUE(RIGHT(C3,LEN(C3)-FIND("-",C3)))</f>
        <v>6</v>
      </c>
      <c r="H3" s="3">
        <f t="shared" ref="H3:H66" si="0">F3+G3</f>
        <v>11</v>
      </c>
      <c r="I3" s="3" t="str">
        <f>LEFT(C3,1)</f>
        <v>L</v>
      </c>
      <c r="K3" s="4" t="s">
        <v>139</v>
      </c>
      <c r="L3" s="5">
        <f>(SUMIF($E$3:$E$141,$K3,F$3:F$141) + SUMIF(Table5[At],$K3,Table5[Scored]))/(COUNTIF($E$3:$E$141,$K3) + COUNTIF(Table5[At],$K3))</f>
        <v>5.208333333333333</v>
      </c>
      <c r="M3" s="5">
        <f>(SUMIF($E$3:$E$141,$K3,G$3:G$141) + SUMIF(Table5[At],$K3,Table5[Allowed]))/(COUNTIF($E$3:$E$141,$K3) + COUNTIF(Table5[At],$K3))</f>
        <v>4.6111111111111107</v>
      </c>
      <c r="N3" s="5">
        <f>L3+M3</f>
        <v>9.8194444444444429</v>
      </c>
      <c r="O3" s="5">
        <f>(COUNTIFS($E$3:$E$74,$K3,$I$3:$I$74,O$2) + COUNTIFS(Table5[At],$K3,Table5[Result],O$2))/(COUNTIF($E$3:$E$74,$K3) + COUNTIF(Table5[At],$K3))</f>
        <v>0.625</v>
      </c>
      <c r="P3" s="5">
        <f>(COUNTIFS($E$3:$E$74,$K3,$I$3:$I$74,P$2) + COUNTIFS(Table5[At],$K3,Table5[Result],P$2))/(COUNTIF($E$3:$E$74,$K3) + COUNTIF(Table5[At],$K3))</f>
        <v>0.375</v>
      </c>
    </row>
    <row r="4" spans="1:16" x14ac:dyDescent="0.25">
      <c r="A4" t="s">
        <v>7</v>
      </c>
      <c r="B4" t="s">
        <v>210</v>
      </c>
      <c r="C4" t="s">
        <v>292</v>
      </c>
      <c r="E4" s="1" t="str">
        <f t="shared" ref="E4:E67" si="1">IF(LEFT(B4,1)="@","Away","Home")</f>
        <v>Away</v>
      </c>
      <c r="F4" s="3">
        <f t="shared" ref="F4:F67" si="2">_xlfn.NUMBERVALUE(MID(LEFT(C4,FIND("-",C4)-1),FIND(" ",C4)+1,LEN(C4)))</f>
        <v>7</v>
      </c>
      <c r="G4" s="3">
        <f t="shared" ref="G4:G67" si="3">_xlfn.NUMBERVALUE(RIGHT(C4,LEN(C4)-FIND("-",C4)))</f>
        <v>8</v>
      </c>
      <c r="H4" s="3">
        <f t="shared" si="0"/>
        <v>15</v>
      </c>
      <c r="I4" s="3" t="str">
        <f t="shared" ref="I4:I67" si="4">LEFT(C4,1)</f>
        <v>L</v>
      </c>
      <c r="K4" s="4" t="s">
        <v>140</v>
      </c>
      <c r="L4" s="5">
        <f>(SUMIF($E$3:$E$141,$K4,F$3:F$141) + SUMIF(Table5[At],$K4,Table5[Scored]))/(COUNTIF($E$3:$E$141,$K4) + COUNTIF(Table5[At],$K4))</f>
        <v>5.203125</v>
      </c>
      <c r="M4" s="5">
        <f>(SUMIF($E$3:$E$141,$K4,G$3:G$141) + SUMIF(Table5[At],$K4,Table5[Allowed]))/(COUNTIF($E$3:$E$141,$K4) + COUNTIF(Table5[At],$K4))</f>
        <v>5.96875</v>
      </c>
      <c r="N4" s="5">
        <f>L4+M4</f>
        <v>11.171875</v>
      </c>
      <c r="O4" s="5">
        <f>(COUNTIFS($E$3:$E$74,$K4,$I$3:$I$74,O$2) + COUNTIFS(Table5[At],$K4,Table5[Result],O$2))/(COUNTIF($E$3:$E$74,$K4) + COUNTIF(Table5[At],$K4))</f>
        <v>0.375</v>
      </c>
      <c r="P4" s="5">
        <f>(COUNTIFS($E$3:$E$74,$K4,$I$3:$I$74,P$2) + COUNTIFS(Table5[At],$K4,Table5[Result],P$2))/(COUNTIF($E$3:$E$74,$K4) + COUNTIF(Table5[At],$K4))</f>
        <v>0.625</v>
      </c>
    </row>
    <row r="5" spans="1:16" x14ac:dyDescent="0.25">
      <c r="A5" t="s">
        <v>9</v>
      </c>
      <c r="B5" t="s">
        <v>211</v>
      </c>
      <c r="C5" t="s">
        <v>77</v>
      </c>
      <c r="E5" s="1" t="str">
        <f t="shared" si="1"/>
        <v>Away</v>
      </c>
      <c r="F5" s="3">
        <f t="shared" si="2"/>
        <v>1</v>
      </c>
      <c r="G5" s="3">
        <f t="shared" si="3"/>
        <v>9</v>
      </c>
      <c r="H5" s="3">
        <f t="shared" si="0"/>
        <v>10</v>
      </c>
      <c r="I5" s="3" t="str">
        <f t="shared" si="4"/>
        <v>L</v>
      </c>
    </row>
    <row r="6" spans="1:16" x14ac:dyDescent="0.25">
      <c r="A6" t="s">
        <v>12</v>
      </c>
      <c r="B6" t="s">
        <v>211</v>
      </c>
      <c r="C6" t="s">
        <v>104</v>
      </c>
      <c r="E6" s="1" t="str">
        <f t="shared" si="1"/>
        <v>Away</v>
      </c>
      <c r="F6" s="3">
        <f t="shared" si="2"/>
        <v>0</v>
      </c>
      <c r="G6" s="3">
        <f t="shared" si="3"/>
        <v>9</v>
      </c>
      <c r="H6" s="3">
        <f t="shared" si="0"/>
        <v>9</v>
      </c>
      <c r="I6" s="3" t="str">
        <f t="shared" si="4"/>
        <v>L</v>
      </c>
      <c r="K6" s="4" t="s">
        <v>144</v>
      </c>
      <c r="L6" s="5">
        <f>N3/N4</f>
        <v>0.87894327894327884</v>
      </c>
      <c r="O6" s="4" t="s">
        <v>178</v>
      </c>
      <c r="P6" s="1" t="s">
        <v>312</v>
      </c>
    </row>
    <row r="7" spans="1:16" x14ac:dyDescent="0.25">
      <c r="A7" t="s">
        <v>14</v>
      </c>
      <c r="B7" t="s">
        <v>250</v>
      </c>
      <c r="C7" t="s">
        <v>118</v>
      </c>
      <c r="E7" s="1" t="str">
        <f t="shared" si="1"/>
        <v>Home</v>
      </c>
      <c r="F7" s="3">
        <f t="shared" si="2"/>
        <v>9</v>
      </c>
      <c r="G7" s="3">
        <f t="shared" si="3"/>
        <v>8</v>
      </c>
      <c r="H7" s="3">
        <f t="shared" si="0"/>
        <v>17</v>
      </c>
      <c r="I7" s="3" t="str">
        <f t="shared" si="4"/>
        <v>W</v>
      </c>
      <c r="K7" s="7" t="s">
        <v>143</v>
      </c>
      <c r="L7" s="5">
        <f>(18.5 - O3)/(18.5-P4)</f>
        <v>1</v>
      </c>
      <c r="O7" s="4" t="s">
        <v>147</v>
      </c>
      <c r="P7" s="1">
        <f>VLOOKUP($P$6,'Full League'!$L$4:$N$5,2,FALSE)</f>
        <v>10</v>
      </c>
    </row>
    <row r="8" spans="1:16" x14ac:dyDescent="0.25">
      <c r="A8" t="s">
        <v>16</v>
      </c>
      <c r="B8" t="s">
        <v>250</v>
      </c>
      <c r="C8" t="s">
        <v>89</v>
      </c>
      <c r="E8" s="1" t="str">
        <f t="shared" si="1"/>
        <v>Home</v>
      </c>
      <c r="F8" s="3">
        <f t="shared" si="2"/>
        <v>1</v>
      </c>
      <c r="G8" s="3">
        <f t="shared" si="3"/>
        <v>6</v>
      </c>
      <c r="H8" s="3">
        <f t="shared" si="0"/>
        <v>7</v>
      </c>
      <c r="I8" s="3" t="str">
        <f t="shared" si="4"/>
        <v>L</v>
      </c>
      <c r="K8" s="7" t="s">
        <v>146</v>
      </c>
      <c r="L8" s="5">
        <f>L6/L7</f>
        <v>0.87894327894327884</v>
      </c>
      <c r="O8" s="4" t="s">
        <v>151</v>
      </c>
      <c r="P8" s="2">
        <f>VLOOKUP($P$6,'Full League'!$L$4:$N$5,3,FALSE)</f>
        <v>11.586233565351895</v>
      </c>
    </row>
    <row r="9" spans="1:16" x14ac:dyDescent="0.25">
      <c r="A9" t="s">
        <v>19</v>
      </c>
      <c r="B9" t="s">
        <v>198</v>
      </c>
      <c r="C9" t="s">
        <v>50</v>
      </c>
      <c r="E9" s="1" t="str">
        <f t="shared" si="1"/>
        <v>Away</v>
      </c>
      <c r="F9" s="3">
        <f t="shared" si="2"/>
        <v>3</v>
      </c>
      <c r="G9" s="3">
        <f t="shared" si="3"/>
        <v>4</v>
      </c>
      <c r="H9" s="3">
        <f t="shared" si="0"/>
        <v>7</v>
      </c>
      <c r="I9" s="3" t="str">
        <f t="shared" si="4"/>
        <v>L</v>
      </c>
      <c r="K9" s="7" t="s">
        <v>145</v>
      </c>
      <c r="L9" s="5">
        <f>(P7)/(P7-1+L8)</f>
        <v>1.0122540151956081</v>
      </c>
      <c r="O9" s="4"/>
      <c r="P9" s="1"/>
    </row>
    <row r="10" spans="1:16" x14ac:dyDescent="0.25">
      <c r="A10" t="s">
        <v>193</v>
      </c>
      <c r="B10" t="s">
        <v>225</v>
      </c>
      <c r="C10" t="s">
        <v>226</v>
      </c>
      <c r="E10" s="1" t="str">
        <f t="shared" si="1"/>
        <v>Home</v>
      </c>
      <c r="F10" s="3">
        <f t="shared" si="2"/>
        <v>3</v>
      </c>
      <c r="G10" s="3">
        <f t="shared" si="3"/>
        <v>2</v>
      </c>
      <c r="H10" s="3">
        <f t="shared" si="0"/>
        <v>5</v>
      </c>
      <c r="I10" s="3" t="str">
        <f t="shared" si="4"/>
        <v>W</v>
      </c>
      <c r="K10" s="4" t="s">
        <v>149</v>
      </c>
      <c r="L10" s="5">
        <f>L8*L9</f>
        <v>0.88971386323952739</v>
      </c>
      <c r="O10" s="4"/>
      <c r="P10" s="1"/>
    </row>
    <row r="11" spans="1:16" x14ac:dyDescent="0.25">
      <c r="A11" t="s">
        <v>22</v>
      </c>
      <c r="B11" t="s">
        <v>241</v>
      </c>
      <c r="C11" t="s">
        <v>281</v>
      </c>
      <c r="E11" s="1" t="str">
        <f t="shared" si="1"/>
        <v>Home</v>
      </c>
      <c r="F11" s="3">
        <f t="shared" si="2"/>
        <v>1</v>
      </c>
      <c r="G11" s="3">
        <f t="shared" si="3"/>
        <v>8</v>
      </c>
      <c r="H11" s="3">
        <f t="shared" si="0"/>
        <v>9</v>
      </c>
      <c r="I11" s="3" t="str">
        <f t="shared" si="4"/>
        <v>L</v>
      </c>
      <c r="K11" s="4" t="s">
        <v>148</v>
      </c>
      <c r="L11" s="5">
        <f>1 - ((L10-1)/(P7-1))</f>
        <v>1.0122540151956081</v>
      </c>
      <c r="O11" s="4"/>
      <c r="P11" s="1"/>
    </row>
    <row r="12" spans="1:16" x14ac:dyDescent="0.25">
      <c r="A12" t="s">
        <v>196</v>
      </c>
      <c r="B12" t="s">
        <v>241</v>
      </c>
      <c r="C12" t="s">
        <v>295</v>
      </c>
      <c r="E12" s="1" t="str">
        <f t="shared" si="1"/>
        <v>Home</v>
      </c>
      <c r="F12" s="3">
        <f t="shared" si="2"/>
        <v>1</v>
      </c>
      <c r="G12" s="3">
        <f t="shared" si="3"/>
        <v>0</v>
      </c>
      <c r="H12" s="3">
        <f t="shared" si="0"/>
        <v>1</v>
      </c>
      <c r="I12" s="3" t="str">
        <f t="shared" si="4"/>
        <v>W</v>
      </c>
      <c r="K12" s="4" t="s">
        <v>150</v>
      </c>
      <c r="L12" s="5">
        <f>(($L4/$L11)+($L3/$L10)) * (1 + (L13-1)/($P7-1)) / $P8</f>
        <v>0.94889159551571622</v>
      </c>
      <c r="M12" s="5">
        <f t="shared" ref="M12:O12" si="5">(($L4/$L11)+($L3/$L10)) * (1 + (M13-1)/($P7-1)) / $P8</f>
        <v>0.94370503005222472</v>
      </c>
      <c r="N12" s="5">
        <f t="shared" si="5"/>
        <v>0.94364692994282773</v>
      </c>
      <c r="O12" s="8">
        <f t="shared" si="5"/>
        <v>0.94364627910312737</v>
      </c>
      <c r="P12" s="5"/>
    </row>
    <row r="13" spans="1:16" x14ac:dyDescent="0.25">
      <c r="A13" t="s">
        <v>25</v>
      </c>
      <c r="B13" t="s">
        <v>258</v>
      </c>
      <c r="C13" t="s">
        <v>254</v>
      </c>
      <c r="E13" s="1" t="str">
        <f t="shared" si="1"/>
        <v>Home</v>
      </c>
      <c r="F13" s="3">
        <f t="shared" si="2"/>
        <v>5</v>
      </c>
      <c r="G13" s="3">
        <f t="shared" si="3"/>
        <v>4</v>
      </c>
      <c r="H13" s="3">
        <f t="shared" si="0"/>
        <v>9</v>
      </c>
      <c r="I13" s="3" t="str">
        <f t="shared" si="4"/>
        <v>W</v>
      </c>
      <c r="K13" s="4" t="s">
        <v>182</v>
      </c>
      <c r="L13" s="5">
        <v>1</v>
      </c>
      <c r="M13" s="5">
        <f>(($M4/$L11)+($M3/$L10)) * (1 + (L12-1)/($P7-1)) / $P8</f>
        <v>0.95080672081824735</v>
      </c>
      <c r="N13" s="5">
        <f>(($M4/$L11)+($M3/$L10)) * (1 + (M12-1)/($P7-1)) / $P8</f>
        <v>0.9502556557787375</v>
      </c>
      <c r="O13" s="5">
        <f>(($M4/$L11)+($M3/$L10)) * (1 + (N12-1)/($P7-1)) / $P8</f>
        <v>0.95024948272658849</v>
      </c>
      <c r="P13" s="8">
        <f>(($M4/$L11)+($M3/$L10)) * (1 + (O12-1)/($P7-1)) / $P8</f>
        <v>0.95024941357581649</v>
      </c>
    </row>
    <row r="14" spans="1:16" x14ac:dyDescent="0.25">
      <c r="A14" t="s">
        <v>27</v>
      </c>
      <c r="B14" t="s">
        <v>258</v>
      </c>
      <c r="C14" t="s">
        <v>296</v>
      </c>
      <c r="E14" s="1" t="str">
        <f t="shared" si="1"/>
        <v>Home</v>
      </c>
      <c r="F14" s="3">
        <f t="shared" si="2"/>
        <v>3</v>
      </c>
      <c r="G14" s="3">
        <f t="shared" si="3"/>
        <v>10</v>
      </c>
      <c r="H14" s="3">
        <f t="shared" si="0"/>
        <v>13</v>
      </c>
      <c r="I14" s="3" t="str">
        <f t="shared" si="4"/>
        <v>L</v>
      </c>
      <c r="K14" s="4" t="s">
        <v>183</v>
      </c>
      <c r="L14" s="5">
        <f xml:space="preserve"> (L10+L11) / (2 * (1 + ((P13-1)/(P7-1))))</f>
        <v>0.95627004985760089</v>
      </c>
      <c r="N14" s="5"/>
    </row>
    <row r="15" spans="1:16" x14ac:dyDescent="0.25">
      <c r="A15" t="s">
        <v>29</v>
      </c>
      <c r="B15" t="s">
        <v>201</v>
      </c>
      <c r="C15" t="s">
        <v>252</v>
      </c>
      <c r="E15" s="1" t="str">
        <f t="shared" si="1"/>
        <v>Away</v>
      </c>
      <c r="F15" s="3">
        <f t="shared" si="2"/>
        <v>2</v>
      </c>
      <c r="G15" s="3">
        <f t="shared" si="3"/>
        <v>8</v>
      </c>
      <c r="H15" s="3">
        <f t="shared" si="0"/>
        <v>10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0.95697606835770299</v>
      </c>
    </row>
    <row r="16" spans="1:16" ht="15.75" thickBot="1" x14ac:dyDescent="0.3">
      <c r="A16" t="s">
        <v>32</v>
      </c>
      <c r="B16" t="s">
        <v>201</v>
      </c>
      <c r="C16" t="s">
        <v>104</v>
      </c>
      <c r="E16" s="1" t="str">
        <f t="shared" si="1"/>
        <v>Away</v>
      </c>
      <c r="F16" s="3">
        <f t="shared" si="2"/>
        <v>0</v>
      </c>
      <c r="G16" s="3">
        <f t="shared" si="3"/>
        <v>9</v>
      </c>
      <c r="H16" s="3">
        <f t="shared" si="0"/>
        <v>9</v>
      </c>
      <c r="I16" s="3" t="str">
        <f t="shared" si="4"/>
        <v>L</v>
      </c>
    </row>
    <row r="17" spans="1:14" x14ac:dyDescent="0.25">
      <c r="A17" t="s">
        <v>34</v>
      </c>
      <c r="B17" t="s">
        <v>203</v>
      </c>
      <c r="C17" t="s">
        <v>101</v>
      </c>
      <c r="E17" s="1" t="str">
        <f t="shared" si="1"/>
        <v>Away</v>
      </c>
      <c r="F17" s="3">
        <f t="shared" si="2"/>
        <v>0</v>
      </c>
      <c r="G17" s="3">
        <f t="shared" si="3"/>
        <v>7</v>
      </c>
      <c r="H17" s="3">
        <f t="shared" si="0"/>
        <v>7</v>
      </c>
      <c r="I17" s="3" t="str">
        <f t="shared" si="4"/>
        <v>L</v>
      </c>
      <c r="K17" s="9" t="s">
        <v>185</v>
      </c>
      <c r="L17" s="10">
        <f>L14*100</f>
        <v>95.627004985760095</v>
      </c>
    </row>
    <row r="18" spans="1:14" ht="15.75" thickBot="1" x14ac:dyDescent="0.3">
      <c r="A18" t="s">
        <v>37</v>
      </c>
      <c r="B18" t="s">
        <v>203</v>
      </c>
      <c r="C18" t="s">
        <v>256</v>
      </c>
      <c r="E18" s="1" t="str">
        <f t="shared" si="1"/>
        <v>Away</v>
      </c>
      <c r="F18" s="3">
        <f t="shared" si="2"/>
        <v>11</v>
      </c>
      <c r="G18" s="3">
        <f t="shared" si="3"/>
        <v>6</v>
      </c>
      <c r="H18" s="3">
        <f t="shared" si="0"/>
        <v>17</v>
      </c>
      <c r="I18" s="3" t="str">
        <f t="shared" si="4"/>
        <v>W</v>
      </c>
      <c r="K18" s="11" t="s">
        <v>186</v>
      </c>
      <c r="L18" s="12">
        <f>L15*100</f>
        <v>95.697606835770301</v>
      </c>
    </row>
    <row r="19" spans="1:14" x14ac:dyDescent="0.25">
      <c r="A19" t="s">
        <v>41</v>
      </c>
      <c r="B19" t="s">
        <v>278</v>
      </c>
      <c r="C19" t="s">
        <v>297</v>
      </c>
      <c r="E19" s="1" t="str">
        <f t="shared" si="1"/>
        <v>Home</v>
      </c>
      <c r="F19" s="3">
        <f t="shared" si="2"/>
        <v>2</v>
      </c>
      <c r="G19" s="3">
        <f t="shared" si="3"/>
        <v>10</v>
      </c>
      <c r="H19" s="3">
        <f t="shared" si="0"/>
        <v>12</v>
      </c>
      <c r="I19" s="3" t="str">
        <f t="shared" si="4"/>
        <v>L</v>
      </c>
    </row>
    <row r="20" spans="1:14" x14ac:dyDescent="0.25">
      <c r="A20" t="s">
        <v>41</v>
      </c>
      <c r="B20" t="s">
        <v>278</v>
      </c>
      <c r="C20" t="s">
        <v>277</v>
      </c>
      <c r="E20" s="1" t="str">
        <f t="shared" si="1"/>
        <v>Home</v>
      </c>
      <c r="F20" s="3">
        <f t="shared" si="2"/>
        <v>5</v>
      </c>
      <c r="G20" s="3">
        <f t="shared" si="3"/>
        <v>8</v>
      </c>
      <c r="H20" s="3">
        <f t="shared" si="0"/>
        <v>13</v>
      </c>
      <c r="I20" s="3" t="str">
        <f t="shared" si="4"/>
        <v>L</v>
      </c>
    </row>
    <row r="21" spans="1:14" x14ac:dyDescent="0.25">
      <c r="A21" t="s">
        <v>43</v>
      </c>
      <c r="B21" t="s">
        <v>278</v>
      </c>
      <c r="C21" t="s">
        <v>65</v>
      </c>
      <c r="E21" s="1" t="str">
        <f t="shared" si="1"/>
        <v>Home</v>
      </c>
      <c r="F21" s="3">
        <f t="shared" si="2"/>
        <v>1</v>
      </c>
      <c r="G21" s="3">
        <f t="shared" si="3"/>
        <v>4</v>
      </c>
      <c r="H21" s="3">
        <f t="shared" si="0"/>
        <v>5</v>
      </c>
      <c r="I21" s="3" t="str">
        <f t="shared" si="4"/>
        <v>L</v>
      </c>
    </row>
    <row r="22" spans="1:14" x14ac:dyDescent="0.25">
      <c r="A22" t="s">
        <v>45</v>
      </c>
      <c r="B22" t="s">
        <v>278</v>
      </c>
      <c r="C22" t="s">
        <v>15</v>
      </c>
      <c r="E22" s="1" t="str">
        <f t="shared" si="1"/>
        <v>Home</v>
      </c>
      <c r="F22" s="3">
        <f t="shared" si="2"/>
        <v>3</v>
      </c>
      <c r="G22" s="3">
        <f t="shared" si="3"/>
        <v>1</v>
      </c>
      <c r="H22" s="3">
        <f t="shared" si="0"/>
        <v>4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192</v>
      </c>
      <c r="C23" t="s">
        <v>298</v>
      </c>
      <c r="E23" s="1" t="str">
        <f t="shared" si="1"/>
        <v>Away</v>
      </c>
      <c r="F23" s="3">
        <f t="shared" si="2"/>
        <v>1</v>
      </c>
      <c r="G23" s="3">
        <f t="shared" si="3"/>
        <v>2</v>
      </c>
      <c r="H23" s="3">
        <f t="shared" si="0"/>
        <v>3</v>
      </c>
      <c r="I23" s="3" t="str">
        <f t="shared" si="4"/>
        <v>L</v>
      </c>
      <c r="K23" s="1">
        <f>COUNTIFS(Table5[At], "Home",Table5[Result], "W")</f>
        <v>28</v>
      </c>
      <c r="L23" s="1">
        <f>COUNTIFS(Table5[At], "Home",Table5[Result], "L")</f>
        <v>8</v>
      </c>
      <c r="M23" s="1">
        <f>COUNTIFS(Table5[At], "Away",Table5[Result], "W")</f>
        <v>14</v>
      </c>
      <c r="N23" s="1">
        <f>COUNTIFS(Table5[At], "Away",Table5[Result], "L")</f>
        <v>18</v>
      </c>
    </row>
    <row r="24" spans="1:14" x14ac:dyDescent="0.25">
      <c r="A24" t="s">
        <v>49</v>
      </c>
      <c r="B24" t="s">
        <v>192</v>
      </c>
      <c r="C24" t="s">
        <v>299</v>
      </c>
      <c r="E24" s="1" t="str">
        <f t="shared" si="1"/>
        <v>Away</v>
      </c>
      <c r="F24" s="3">
        <f t="shared" si="2"/>
        <v>11</v>
      </c>
      <c r="G24" s="3">
        <f t="shared" si="3"/>
        <v>3</v>
      </c>
      <c r="H24" s="3">
        <f t="shared" si="0"/>
        <v>14</v>
      </c>
      <c r="I24" s="3" t="str">
        <f t="shared" si="4"/>
        <v>W</v>
      </c>
      <c r="K24" s="1"/>
      <c r="M24" s="1"/>
      <c r="N24" s="1"/>
    </row>
    <row r="25" spans="1:14" x14ac:dyDescent="0.25">
      <c r="A25" t="s">
        <v>51</v>
      </c>
      <c r="B25" t="s">
        <v>225</v>
      </c>
      <c r="C25" t="s">
        <v>125</v>
      </c>
      <c r="E25" s="1" t="str">
        <f t="shared" si="1"/>
        <v>Home</v>
      </c>
      <c r="F25" s="3">
        <f t="shared" si="2"/>
        <v>0</v>
      </c>
      <c r="G25" s="3">
        <f t="shared" si="3"/>
        <v>4</v>
      </c>
      <c r="H25" s="3">
        <f t="shared" si="0"/>
        <v>4</v>
      </c>
      <c r="I25" s="3" t="str">
        <f t="shared" si="4"/>
        <v>L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225</v>
      </c>
      <c r="C26" t="s">
        <v>33</v>
      </c>
      <c r="E26" s="1" t="str">
        <f t="shared" si="1"/>
        <v>Home</v>
      </c>
      <c r="F26" s="3">
        <f t="shared" si="2"/>
        <v>7</v>
      </c>
      <c r="G26" s="3">
        <f t="shared" si="3"/>
        <v>4</v>
      </c>
      <c r="H26" s="3">
        <f t="shared" si="0"/>
        <v>11</v>
      </c>
      <c r="I26" s="3" t="str">
        <f t="shared" si="4"/>
        <v>W</v>
      </c>
      <c r="K26" s="1">
        <f>COUNTIFS(Table5[oR/G], "&gt;0",Table5[Result], "W")</f>
        <v>11</v>
      </c>
      <c r="L26" s="1">
        <f>COUNTIFS(Table5[oR/G], "&gt;0",Table5[Result], "l")</f>
        <v>13</v>
      </c>
      <c r="M26" s="1">
        <f>COUNTIFS(Table5[oR/G], "&lt;0",Table5[Result], "W")</f>
        <v>31</v>
      </c>
      <c r="N26" s="1">
        <f>COUNTIFS(Table5[oR/G], "&lt;0",Table5[Result], "l")</f>
        <v>13</v>
      </c>
    </row>
    <row r="27" spans="1:14" x14ac:dyDescent="0.25">
      <c r="A27" t="s">
        <v>53</v>
      </c>
      <c r="B27" t="s">
        <v>231</v>
      </c>
      <c r="C27" t="s">
        <v>226</v>
      </c>
      <c r="E27" s="1" t="str">
        <f t="shared" si="1"/>
        <v>Home</v>
      </c>
      <c r="F27" s="3">
        <f t="shared" si="2"/>
        <v>3</v>
      </c>
      <c r="G27" s="3">
        <f t="shared" si="3"/>
        <v>2</v>
      </c>
      <c r="H27" s="3">
        <f t="shared" si="0"/>
        <v>5</v>
      </c>
      <c r="I27" s="3" t="str">
        <f t="shared" si="4"/>
        <v>W</v>
      </c>
    </row>
    <row r="28" spans="1:14" x14ac:dyDescent="0.25">
      <c r="A28" t="s">
        <v>208</v>
      </c>
      <c r="B28" t="s">
        <v>231</v>
      </c>
      <c r="C28" t="s">
        <v>300</v>
      </c>
      <c r="E28" s="1" t="str">
        <f t="shared" si="1"/>
        <v>Home</v>
      </c>
      <c r="F28" s="3">
        <f t="shared" si="2"/>
        <v>9</v>
      </c>
      <c r="G28" s="3">
        <f t="shared" si="3"/>
        <v>4</v>
      </c>
      <c r="H28" s="3">
        <f t="shared" si="0"/>
        <v>13</v>
      </c>
      <c r="I28" s="3" t="str">
        <f t="shared" si="4"/>
        <v>W</v>
      </c>
    </row>
    <row r="29" spans="1:14" x14ac:dyDescent="0.25">
      <c r="A29" t="s">
        <v>247</v>
      </c>
      <c r="B29" t="s">
        <v>210</v>
      </c>
      <c r="C29" t="s">
        <v>301</v>
      </c>
      <c r="E29" s="1" t="str">
        <f t="shared" si="1"/>
        <v>Away</v>
      </c>
      <c r="F29" s="3">
        <f t="shared" si="2"/>
        <v>3</v>
      </c>
      <c r="G29" s="3">
        <f t="shared" si="3"/>
        <v>9</v>
      </c>
      <c r="H29" s="3">
        <f t="shared" si="0"/>
        <v>12</v>
      </c>
      <c r="I29" s="3" t="str">
        <f t="shared" si="4"/>
        <v>L</v>
      </c>
    </row>
    <row r="30" spans="1:14" x14ac:dyDescent="0.25">
      <c r="A30" t="s">
        <v>54</v>
      </c>
      <c r="B30" t="s">
        <v>210</v>
      </c>
      <c r="C30" t="s">
        <v>259</v>
      </c>
      <c r="E30" s="1" t="str">
        <f t="shared" si="1"/>
        <v>Away</v>
      </c>
      <c r="F30" s="3">
        <f t="shared" si="2"/>
        <v>0</v>
      </c>
      <c r="G30" s="3">
        <f t="shared" si="3"/>
        <v>5</v>
      </c>
      <c r="H30" s="3">
        <f t="shared" si="0"/>
        <v>5</v>
      </c>
      <c r="I30" s="3" t="str">
        <f t="shared" si="4"/>
        <v>L</v>
      </c>
    </row>
    <row r="31" spans="1:14" x14ac:dyDescent="0.25">
      <c r="A31" t="s">
        <v>57</v>
      </c>
      <c r="B31" t="s">
        <v>245</v>
      </c>
      <c r="C31" t="s">
        <v>28</v>
      </c>
      <c r="E31" s="1" t="str">
        <f t="shared" si="1"/>
        <v>Home</v>
      </c>
      <c r="F31" s="3">
        <f t="shared" si="2"/>
        <v>4</v>
      </c>
      <c r="G31" s="3">
        <f t="shared" si="3"/>
        <v>2</v>
      </c>
      <c r="H31" s="3">
        <f t="shared" si="0"/>
        <v>6</v>
      </c>
      <c r="I31" s="3" t="str">
        <f t="shared" si="4"/>
        <v>W</v>
      </c>
    </row>
    <row r="32" spans="1:14" x14ac:dyDescent="0.25">
      <c r="A32" t="s">
        <v>60</v>
      </c>
      <c r="B32" t="s">
        <v>245</v>
      </c>
      <c r="C32" t="s">
        <v>18</v>
      </c>
      <c r="E32" s="1" t="str">
        <f t="shared" si="1"/>
        <v>Home</v>
      </c>
      <c r="F32" s="3">
        <f t="shared" si="2"/>
        <v>8</v>
      </c>
      <c r="G32" s="3">
        <f t="shared" si="3"/>
        <v>9</v>
      </c>
      <c r="H32" s="3">
        <f t="shared" si="0"/>
        <v>17</v>
      </c>
      <c r="I32" s="3" t="str">
        <f t="shared" si="4"/>
        <v>L</v>
      </c>
    </row>
    <row r="33" spans="1:9" x14ac:dyDescent="0.25">
      <c r="A33" t="s">
        <v>68</v>
      </c>
      <c r="B33" t="s">
        <v>222</v>
      </c>
      <c r="C33" t="s">
        <v>35</v>
      </c>
      <c r="E33" s="1" t="str">
        <f t="shared" si="1"/>
        <v>Home</v>
      </c>
      <c r="F33" s="3">
        <f t="shared" si="2"/>
        <v>4</v>
      </c>
      <c r="G33" s="3">
        <f t="shared" si="3"/>
        <v>1</v>
      </c>
      <c r="H33" s="3">
        <f t="shared" si="0"/>
        <v>5</v>
      </c>
      <c r="I33" s="3" t="str">
        <f t="shared" si="4"/>
        <v>W</v>
      </c>
    </row>
    <row r="34" spans="1:9" x14ac:dyDescent="0.25">
      <c r="A34" t="s">
        <v>71</v>
      </c>
      <c r="B34" t="s">
        <v>222</v>
      </c>
      <c r="C34" t="s">
        <v>302</v>
      </c>
      <c r="E34" s="1" t="str">
        <f t="shared" si="1"/>
        <v>Home</v>
      </c>
      <c r="F34" s="3">
        <f t="shared" si="2"/>
        <v>2</v>
      </c>
      <c r="G34" s="3">
        <f t="shared" si="3"/>
        <v>9</v>
      </c>
      <c r="H34" s="3">
        <f t="shared" si="0"/>
        <v>11</v>
      </c>
      <c r="I34" s="3" t="str">
        <f t="shared" si="4"/>
        <v>L</v>
      </c>
    </row>
    <row r="35" spans="1:9" x14ac:dyDescent="0.25">
      <c r="A35" t="s">
        <v>73</v>
      </c>
      <c r="B35" t="s">
        <v>225</v>
      </c>
      <c r="C35" t="s">
        <v>207</v>
      </c>
      <c r="E35" s="1" t="str">
        <f t="shared" si="1"/>
        <v>Home</v>
      </c>
      <c r="F35" s="3">
        <f t="shared" si="2"/>
        <v>3</v>
      </c>
      <c r="G35" s="3">
        <f t="shared" si="3"/>
        <v>8</v>
      </c>
      <c r="H35" s="3">
        <f t="shared" si="0"/>
        <v>11</v>
      </c>
      <c r="I35" s="3" t="str">
        <f t="shared" si="4"/>
        <v>L</v>
      </c>
    </row>
    <row r="36" spans="1:9" x14ac:dyDescent="0.25">
      <c r="A36" t="s">
        <v>209</v>
      </c>
      <c r="B36" t="s">
        <v>198</v>
      </c>
      <c r="C36" t="s">
        <v>195</v>
      </c>
      <c r="E36" s="1" t="str">
        <f t="shared" si="1"/>
        <v>Away</v>
      </c>
      <c r="F36" s="3">
        <f t="shared" si="2"/>
        <v>8</v>
      </c>
      <c r="G36" s="3">
        <f t="shared" si="3"/>
        <v>1</v>
      </c>
      <c r="H36" s="3">
        <f t="shared" si="0"/>
        <v>9</v>
      </c>
      <c r="I36" s="3" t="str">
        <f t="shared" si="4"/>
        <v>W</v>
      </c>
    </row>
    <row r="37" spans="1:9" x14ac:dyDescent="0.25">
      <c r="A37" t="s">
        <v>76</v>
      </c>
      <c r="B37" t="s">
        <v>203</v>
      </c>
      <c r="C37" t="s">
        <v>269</v>
      </c>
      <c r="E37" s="1" t="str">
        <f t="shared" si="1"/>
        <v>Away</v>
      </c>
      <c r="F37" s="3">
        <f t="shared" si="2"/>
        <v>2</v>
      </c>
      <c r="G37" s="3">
        <f t="shared" si="3"/>
        <v>3</v>
      </c>
      <c r="H37" s="3">
        <f t="shared" si="0"/>
        <v>5</v>
      </c>
      <c r="I37" s="3" t="str">
        <f t="shared" si="4"/>
        <v>L</v>
      </c>
    </row>
    <row r="38" spans="1:9" x14ac:dyDescent="0.25">
      <c r="A38" t="s">
        <v>78</v>
      </c>
      <c r="B38" t="s">
        <v>203</v>
      </c>
      <c r="C38" t="s">
        <v>303</v>
      </c>
      <c r="E38" s="1" t="str">
        <f t="shared" si="1"/>
        <v>Away</v>
      </c>
      <c r="F38" s="3">
        <f t="shared" si="2"/>
        <v>8</v>
      </c>
      <c r="G38" s="3">
        <f t="shared" si="3"/>
        <v>2</v>
      </c>
      <c r="H38" s="3">
        <f t="shared" si="0"/>
        <v>10</v>
      </c>
      <c r="I38" s="3" t="str">
        <f t="shared" si="4"/>
        <v>W</v>
      </c>
    </row>
    <row r="39" spans="1:9" x14ac:dyDescent="0.25">
      <c r="A39" t="s">
        <v>80</v>
      </c>
      <c r="B39" t="s">
        <v>206</v>
      </c>
      <c r="C39" t="s">
        <v>264</v>
      </c>
      <c r="E39" s="1" t="str">
        <f t="shared" si="1"/>
        <v>Away</v>
      </c>
      <c r="F39" s="3">
        <f t="shared" si="2"/>
        <v>6</v>
      </c>
      <c r="G39" s="3">
        <f t="shared" si="3"/>
        <v>2</v>
      </c>
      <c r="H39" s="3">
        <f t="shared" si="0"/>
        <v>8</v>
      </c>
      <c r="I39" s="3" t="str">
        <f t="shared" si="4"/>
        <v>W</v>
      </c>
    </row>
    <row r="40" spans="1:9" x14ac:dyDescent="0.25">
      <c r="A40" t="s">
        <v>81</v>
      </c>
      <c r="B40" t="s">
        <v>206</v>
      </c>
      <c r="C40" t="s">
        <v>304</v>
      </c>
      <c r="E40" s="1" t="str">
        <f t="shared" si="1"/>
        <v>Away</v>
      </c>
      <c r="F40" s="3">
        <f t="shared" si="2"/>
        <v>2</v>
      </c>
      <c r="G40" s="3">
        <f t="shared" si="3"/>
        <v>0</v>
      </c>
      <c r="H40" s="3">
        <f t="shared" si="0"/>
        <v>2</v>
      </c>
      <c r="I40" s="3" t="str">
        <f t="shared" si="4"/>
        <v>W</v>
      </c>
    </row>
    <row r="41" spans="1:9" x14ac:dyDescent="0.25">
      <c r="A41" t="s">
        <v>82</v>
      </c>
      <c r="B41" t="s">
        <v>222</v>
      </c>
      <c r="C41" t="s">
        <v>50</v>
      </c>
      <c r="E41" s="1" t="str">
        <f t="shared" si="1"/>
        <v>Home</v>
      </c>
      <c r="F41" s="3">
        <f t="shared" si="2"/>
        <v>3</v>
      </c>
      <c r="G41" s="3">
        <f t="shared" si="3"/>
        <v>4</v>
      </c>
      <c r="H41" s="3">
        <f t="shared" si="0"/>
        <v>7</v>
      </c>
      <c r="I41" s="3" t="str">
        <f t="shared" si="4"/>
        <v>L</v>
      </c>
    </row>
    <row r="42" spans="1:9" x14ac:dyDescent="0.25">
      <c r="A42" t="s">
        <v>84</v>
      </c>
      <c r="B42" t="s">
        <v>222</v>
      </c>
      <c r="C42" t="s">
        <v>305</v>
      </c>
      <c r="E42" s="1" t="str">
        <f t="shared" si="1"/>
        <v>Home</v>
      </c>
      <c r="F42" s="3">
        <f t="shared" si="2"/>
        <v>11</v>
      </c>
      <c r="G42" s="3">
        <f t="shared" si="3"/>
        <v>15</v>
      </c>
      <c r="H42" s="3">
        <f t="shared" si="0"/>
        <v>26</v>
      </c>
      <c r="I42" s="3" t="str">
        <f t="shared" si="4"/>
        <v>L</v>
      </c>
    </row>
    <row r="43" spans="1:9" x14ac:dyDescent="0.25">
      <c r="A43" t="s">
        <v>86</v>
      </c>
      <c r="B43" t="s">
        <v>198</v>
      </c>
      <c r="C43" t="s">
        <v>50</v>
      </c>
      <c r="E43" s="1" t="str">
        <f t="shared" si="1"/>
        <v>Away</v>
      </c>
      <c r="F43" s="3">
        <f t="shared" si="2"/>
        <v>3</v>
      </c>
      <c r="G43" s="3">
        <f t="shared" si="3"/>
        <v>4</v>
      </c>
      <c r="H43" s="3">
        <f t="shared" si="0"/>
        <v>7</v>
      </c>
      <c r="I43" s="3" t="str">
        <f t="shared" si="4"/>
        <v>L</v>
      </c>
    </row>
    <row r="44" spans="1:9" x14ac:dyDescent="0.25">
      <c r="A44" t="s">
        <v>86</v>
      </c>
      <c r="B44" t="s">
        <v>198</v>
      </c>
      <c r="C44" t="s">
        <v>26</v>
      </c>
      <c r="E44" s="1" t="str">
        <f t="shared" si="1"/>
        <v>Away</v>
      </c>
      <c r="F44" s="3">
        <f t="shared" si="2"/>
        <v>10</v>
      </c>
      <c r="G44" s="3">
        <f t="shared" si="3"/>
        <v>6</v>
      </c>
      <c r="H44" s="3">
        <f t="shared" si="0"/>
        <v>16</v>
      </c>
      <c r="I44" s="3" t="str">
        <f t="shared" si="4"/>
        <v>W</v>
      </c>
    </row>
    <row r="45" spans="1:9" x14ac:dyDescent="0.25">
      <c r="A45" t="s">
        <v>88</v>
      </c>
      <c r="B45" t="s">
        <v>250</v>
      </c>
      <c r="C45" t="s">
        <v>116</v>
      </c>
      <c r="E45" s="1" t="str">
        <f t="shared" si="1"/>
        <v>Home</v>
      </c>
      <c r="F45" s="3">
        <f t="shared" si="2"/>
        <v>9</v>
      </c>
      <c r="G45" s="3">
        <f t="shared" si="3"/>
        <v>3</v>
      </c>
      <c r="H45" s="3">
        <f t="shared" si="0"/>
        <v>12</v>
      </c>
      <c r="I45" s="3" t="str">
        <f t="shared" si="4"/>
        <v>W</v>
      </c>
    </row>
    <row r="46" spans="1:9" x14ac:dyDescent="0.25">
      <c r="A46" t="s">
        <v>91</v>
      </c>
      <c r="B46" t="s">
        <v>250</v>
      </c>
      <c r="C46" t="s">
        <v>61</v>
      </c>
      <c r="E46" s="1" t="str">
        <f t="shared" si="1"/>
        <v>Home</v>
      </c>
      <c r="F46" s="3">
        <f t="shared" si="2"/>
        <v>7</v>
      </c>
      <c r="G46" s="3">
        <f t="shared" si="3"/>
        <v>3</v>
      </c>
      <c r="H46" s="3">
        <f t="shared" si="0"/>
        <v>10</v>
      </c>
      <c r="I46" s="3" t="str">
        <f t="shared" si="4"/>
        <v>W</v>
      </c>
    </row>
    <row r="47" spans="1:9" x14ac:dyDescent="0.25">
      <c r="A47" t="s">
        <v>93</v>
      </c>
      <c r="B47" t="s">
        <v>263</v>
      </c>
      <c r="C47" t="s">
        <v>239</v>
      </c>
      <c r="E47" s="1" t="str">
        <f t="shared" si="1"/>
        <v>Home</v>
      </c>
      <c r="F47" s="3">
        <f t="shared" si="2"/>
        <v>8</v>
      </c>
      <c r="G47" s="3">
        <f t="shared" si="3"/>
        <v>5</v>
      </c>
      <c r="H47" s="3">
        <f t="shared" si="0"/>
        <v>13</v>
      </c>
      <c r="I47" s="3" t="str">
        <f t="shared" si="4"/>
        <v>W</v>
      </c>
    </row>
    <row r="48" spans="1:9" x14ac:dyDescent="0.25">
      <c r="A48" t="s">
        <v>96</v>
      </c>
      <c r="B48" t="s">
        <v>263</v>
      </c>
      <c r="C48" t="s">
        <v>89</v>
      </c>
      <c r="E48" s="1" t="str">
        <f t="shared" si="1"/>
        <v>Home</v>
      </c>
      <c r="F48" s="3">
        <f t="shared" si="2"/>
        <v>1</v>
      </c>
      <c r="G48" s="3">
        <f t="shared" si="3"/>
        <v>6</v>
      </c>
      <c r="H48" s="3">
        <f t="shared" si="0"/>
        <v>7</v>
      </c>
      <c r="I48" s="3" t="str">
        <f t="shared" si="4"/>
        <v>L</v>
      </c>
    </row>
    <row r="49" spans="1:9" x14ac:dyDescent="0.25">
      <c r="A49" t="s">
        <v>97</v>
      </c>
      <c r="B49" t="s">
        <v>206</v>
      </c>
      <c r="C49" t="s">
        <v>65</v>
      </c>
      <c r="E49" s="1" t="str">
        <f t="shared" si="1"/>
        <v>Away</v>
      </c>
      <c r="F49" s="3">
        <f t="shared" si="2"/>
        <v>1</v>
      </c>
      <c r="G49" s="3">
        <f t="shared" si="3"/>
        <v>4</v>
      </c>
      <c r="H49" s="3">
        <f t="shared" si="0"/>
        <v>5</v>
      </c>
      <c r="I49" s="3" t="str">
        <f t="shared" si="4"/>
        <v>L</v>
      </c>
    </row>
    <row r="50" spans="1:9" x14ac:dyDescent="0.25">
      <c r="A50" t="s">
        <v>100</v>
      </c>
      <c r="B50" t="s">
        <v>206</v>
      </c>
      <c r="C50" t="s">
        <v>31</v>
      </c>
      <c r="E50" s="1" t="str">
        <f t="shared" si="1"/>
        <v>Away</v>
      </c>
      <c r="F50" s="3">
        <f t="shared" si="2"/>
        <v>5</v>
      </c>
      <c r="G50" s="3">
        <f t="shared" si="3"/>
        <v>9</v>
      </c>
      <c r="H50" s="3">
        <f t="shared" si="0"/>
        <v>14</v>
      </c>
      <c r="I50" s="3" t="str">
        <f t="shared" si="4"/>
        <v>L</v>
      </c>
    </row>
    <row r="51" spans="1:9" x14ac:dyDescent="0.25">
      <c r="A51" t="s">
        <v>215</v>
      </c>
      <c r="B51" t="s">
        <v>231</v>
      </c>
      <c r="C51" t="s">
        <v>226</v>
      </c>
      <c r="E51" s="1" t="str">
        <f t="shared" si="1"/>
        <v>Home</v>
      </c>
      <c r="F51" s="3">
        <f t="shared" si="2"/>
        <v>3</v>
      </c>
      <c r="G51" s="3">
        <f t="shared" si="3"/>
        <v>2</v>
      </c>
      <c r="H51" s="3">
        <f t="shared" si="0"/>
        <v>5</v>
      </c>
      <c r="I51" s="3" t="str">
        <f t="shared" si="4"/>
        <v>W</v>
      </c>
    </row>
    <row r="52" spans="1:9" x14ac:dyDescent="0.25">
      <c r="A52" t="s">
        <v>102</v>
      </c>
      <c r="B52" t="s">
        <v>190</v>
      </c>
      <c r="C52" t="s">
        <v>55</v>
      </c>
      <c r="E52" s="1" t="str">
        <f t="shared" si="1"/>
        <v>Away</v>
      </c>
      <c r="F52" s="3">
        <f t="shared" si="2"/>
        <v>5</v>
      </c>
      <c r="G52" s="3">
        <f t="shared" si="3"/>
        <v>7</v>
      </c>
      <c r="H52" s="3">
        <f t="shared" si="0"/>
        <v>12</v>
      </c>
      <c r="I52" s="3" t="str">
        <f t="shared" si="4"/>
        <v>L</v>
      </c>
    </row>
    <row r="53" spans="1:9" x14ac:dyDescent="0.25">
      <c r="A53" t="s">
        <v>105</v>
      </c>
      <c r="B53" t="s">
        <v>263</v>
      </c>
      <c r="C53" t="s">
        <v>226</v>
      </c>
      <c r="E53" s="1" t="str">
        <f t="shared" si="1"/>
        <v>Home</v>
      </c>
      <c r="F53" s="3">
        <f t="shared" si="2"/>
        <v>3</v>
      </c>
      <c r="G53" s="3">
        <f t="shared" si="3"/>
        <v>2</v>
      </c>
      <c r="H53" s="3">
        <f t="shared" si="0"/>
        <v>5</v>
      </c>
      <c r="I53" s="3" t="str">
        <f t="shared" si="4"/>
        <v>W</v>
      </c>
    </row>
    <row r="54" spans="1:9" x14ac:dyDescent="0.25">
      <c r="A54" t="s">
        <v>107</v>
      </c>
      <c r="B54" t="s">
        <v>210</v>
      </c>
      <c r="C54" t="s">
        <v>125</v>
      </c>
      <c r="E54" s="1" t="str">
        <f t="shared" si="1"/>
        <v>Away</v>
      </c>
      <c r="F54" s="3">
        <f t="shared" si="2"/>
        <v>0</v>
      </c>
      <c r="G54" s="3">
        <f t="shared" si="3"/>
        <v>4</v>
      </c>
      <c r="H54" s="3">
        <f t="shared" si="0"/>
        <v>4</v>
      </c>
      <c r="I54" s="3" t="str">
        <f t="shared" si="4"/>
        <v>L</v>
      </c>
    </row>
    <row r="55" spans="1:9" x14ac:dyDescent="0.25">
      <c r="A55" t="s">
        <v>108</v>
      </c>
      <c r="B55" t="s">
        <v>201</v>
      </c>
      <c r="C55" t="s">
        <v>219</v>
      </c>
      <c r="E55" s="1" t="str">
        <f t="shared" si="1"/>
        <v>Away</v>
      </c>
      <c r="F55" s="3">
        <f t="shared" si="2"/>
        <v>0</v>
      </c>
      <c r="G55" s="3">
        <f t="shared" si="3"/>
        <v>2</v>
      </c>
      <c r="H55" s="3">
        <f t="shared" si="0"/>
        <v>2</v>
      </c>
      <c r="I55" s="3" t="str">
        <f t="shared" si="4"/>
        <v>L</v>
      </c>
    </row>
    <row r="56" spans="1:9" x14ac:dyDescent="0.25">
      <c r="A56" t="s">
        <v>110</v>
      </c>
      <c r="B56" t="s">
        <v>201</v>
      </c>
      <c r="C56" t="s">
        <v>306</v>
      </c>
      <c r="E56" s="1" t="str">
        <f t="shared" si="1"/>
        <v>Away</v>
      </c>
      <c r="F56" s="3">
        <f t="shared" si="2"/>
        <v>1</v>
      </c>
      <c r="G56" s="3">
        <f t="shared" si="3"/>
        <v>10</v>
      </c>
      <c r="H56" s="3">
        <f t="shared" si="0"/>
        <v>11</v>
      </c>
      <c r="I56" s="3" t="str">
        <f t="shared" si="4"/>
        <v>L</v>
      </c>
    </row>
    <row r="57" spans="1:9" x14ac:dyDescent="0.25">
      <c r="A57" t="s">
        <v>111</v>
      </c>
      <c r="B57" t="s">
        <v>190</v>
      </c>
      <c r="C57" t="s">
        <v>18</v>
      </c>
      <c r="E57" s="1" t="str">
        <f t="shared" si="1"/>
        <v>Away</v>
      </c>
      <c r="F57" s="3">
        <f t="shared" si="2"/>
        <v>8</v>
      </c>
      <c r="G57" s="3">
        <f t="shared" si="3"/>
        <v>9</v>
      </c>
      <c r="H57" s="3">
        <f t="shared" si="0"/>
        <v>17</v>
      </c>
      <c r="I57" s="3" t="str">
        <f t="shared" si="4"/>
        <v>L</v>
      </c>
    </row>
    <row r="58" spans="1:9" x14ac:dyDescent="0.25">
      <c r="A58" t="s">
        <v>112</v>
      </c>
      <c r="B58" t="s">
        <v>231</v>
      </c>
      <c r="C58" t="s">
        <v>307</v>
      </c>
      <c r="E58" s="1" t="str">
        <f t="shared" si="1"/>
        <v>Home</v>
      </c>
      <c r="F58" s="3">
        <f t="shared" si="2"/>
        <v>16</v>
      </c>
      <c r="G58" s="3">
        <f t="shared" si="3"/>
        <v>2</v>
      </c>
      <c r="H58" s="3">
        <f t="shared" si="0"/>
        <v>18</v>
      </c>
      <c r="I58" s="3" t="str">
        <f t="shared" si="4"/>
        <v>W</v>
      </c>
    </row>
    <row r="59" spans="1:9" x14ac:dyDescent="0.25">
      <c r="A59" t="s">
        <v>114</v>
      </c>
      <c r="B59" t="s">
        <v>245</v>
      </c>
      <c r="C59" t="s">
        <v>308</v>
      </c>
      <c r="E59" s="1" t="str">
        <f t="shared" si="1"/>
        <v>Home</v>
      </c>
      <c r="F59" s="3">
        <f t="shared" si="2"/>
        <v>11</v>
      </c>
      <c r="G59" s="3">
        <f t="shared" si="3"/>
        <v>10</v>
      </c>
      <c r="H59" s="3">
        <f t="shared" si="0"/>
        <v>21</v>
      </c>
      <c r="I59" s="3" t="str">
        <f t="shared" si="4"/>
        <v>W</v>
      </c>
    </row>
    <row r="60" spans="1:9" x14ac:dyDescent="0.25">
      <c r="A60" t="s">
        <v>117</v>
      </c>
      <c r="B60" t="s">
        <v>245</v>
      </c>
      <c r="C60" t="s">
        <v>251</v>
      </c>
      <c r="E60" s="1" t="str">
        <f t="shared" si="1"/>
        <v>Home</v>
      </c>
      <c r="F60" s="3">
        <f t="shared" si="2"/>
        <v>2</v>
      </c>
      <c r="G60" s="3">
        <f t="shared" si="3"/>
        <v>7</v>
      </c>
      <c r="H60" s="3">
        <f t="shared" si="0"/>
        <v>9</v>
      </c>
      <c r="I60" s="3" t="str">
        <f t="shared" si="4"/>
        <v>L</v>
      </c>
    </row>
    <row r="61" spans="1:9" x14ac:dyDescent="0.25">
      <c r="A61" t="s">
        <v>119</v>
      </c>
      <c r="B61" t="s">
        <v>241</v>
      </c>
      <c r="C61" t="s">
        <v>212</v>
      </c>
      <c r="E61" s="1" t="str">
        <f t="shared" si="1"/>
        <v>Home</v>
      </c>
      <c r="F61" s="3">
        <f t="shared" si="2"/>
        <v>6</v>
      </c>
      <c r="G61" s="3">
        <f t="shared" si="3"/>
        <v>10</v>
      </c>
      <c r="H61" s="3">
        <f t="shared" si="0"/>
        <v>16</v>
      </c>
      <c r="I61" s="3" t="str">
        <f t="shared" si="4"/>
        <v>L</v>
      </c>
    </row>
    <row r="62" spans="1:9" x14ac:dyDescent="0.25">
      <c r="A62" t="s">
        <v>122</v>
      </c>
      <c r="B62" t="s">
        <v>241</v>
      </c>
      <c r="C62" t="s">
        <v>42</v>
      </c>
      <c r="E62" s="1" t="str">
        <f t="shared" si="1"/>
        <v>Home</v>
      </c>
      <c r="F62" s="3">
        <f t="shared" si="2"/>
        <v>0</v>
      </c>
      <c r="G62" s="3">
        <f t="shared" si="3"/>
        <v>3</v>
      </c>
      <c r="H62" s="3">
        <f t="shared" si="0"/>
        <v>3</v>
      </c>
      <c r="I62" s="3" t="str">
        <f t="shared" si="4"/>
        <v>L</v>
      </c>
    </row>
    <row r="63" spans="1:9" x14ac:dyDescent="0.25">
      <c r="A63" t="s">
        <v>123</v>
      </c>
      <c r="B63" t="s">
        <v>258</v>
      </c>
      <c r="C63" t="s">
        <v>65</v>
      </c>
      <c r="E63" s="1" t="str">
        <f t="shared" si="1"/>
        <v>Home</v>
      </c>
      <c r="F63" s="3">
        <f t="shared" si="2"/>
        <v>1</v>
      </c>
      <c r="G63" s="3">
        <f t="shared" si="3"/>
        <v>4</v>
      </c>
      <c r="H63" s="3">
        <f t="shared" si="0"/>
        <v>5</v>
      </c>
      <c r="I63" s="3" t="str">
        <f t="shared" si="4"/>
        <v>L</v>
      </c>
    </row>
    <row r="64" spans="1:9" x14ac:dyDescent="0.25">
      <c r="A64" t="s">
        <v>123</v>
      </c>
      <c r="B64" t="s">
        <v>258</v>
      </c>
      <c r="C64" t="s">
        <v>296</v>
      </c>
      <c r="E64" s="1" t="str">
        <f t="shared" si="1"/>
        <v>Home</v>
      </c>
      <c r="F64" s="3">
        <f t="shared" si="2"/>
        <v>3</v>
      </c>
      <c r="G64" s="3">
        <f t="shared" si="3"/>
        <v>10</v>
      </c>
      <c r="H64" s="3">
        <f t="shared" si="0"/>
        <v>13</v>
      </c>
      <c r="I64" s="3" t="str">
        <f t="shared" si="4"/>
        <v>L</v>
      </c>
    </row>
    <row r="65" spans="1:10" x14ac:dyDescent="0.25">
      <c r="A65" t="s">
        <v>126</v>
      </c>
      <c r="B65" t="s">
        <v>190</v>
      </c>
      <c r="C65" t="s">
        <v>33</v>
      </c>
      <c r="E65" s="1" t="str">
        <f t="shared" si="1"/>
        <v>Away</v>
      </c>
      <c r="F65" s="3">
        <f t="shared" si="2"/>
        <v>7</v>
      </c>
      <c r="G65" s="3">
        <f t="shared" si="3"/>
        <v>4</v>
      </c>
      <c r="H65" s="3">
        <f t="shared" si="0"/>
        <v>11</v>
      </c>
      <c r="I65" s="3" t="str">
        <f t="shared" si="4"/>
        <v>W</v>
      </c>
    </row>
    <row r="66" spans="1:10" x14ac:dyDescent="0.25">
      <c r="A66" t="s">
        <v>127</v>
      </c>
      <c r="B66" t="s">
        <v>190</v>
      </c>
      <c r="C66" t="s">
        <v>195</v>
      </c>
      <c r="E66" s="1" t="str">
        <f t="shared" si="1"/>
        <v>Away</v>
      </c>
      <c r="F66" s="3">
        <f t="shared" si="2"/>
        <v>8</v>
      </c>
      <c r="G66" s="3">
        <f t="shared" si="3"/>
        <v>1</v>
      </c>
      <c r="H66" s="3">
        <f t="shared" si="0"/>
        <v>9</v>
      </c>
      <c r="I66" s="3" t="str">
        <f t="shared" si="4"/>
        <v>W</v>
      </c>
    </row>
    <row r="67" spans="1:10" x14ac:dyDescent="0.25">
      <c r="A67" t="s">
        <v>129</v>
      </c>
      <c r="B67" t="s">
        <v>192</v>
      </c>
      <c r="C67" t="s">
        <v>309</v>
      </c>
      <c r="E67" s="1" t="str">
        <f t="shared" si="1"/>
        <v>Away</v>
      </c>
      <c r="F67" s="3">
        <f t="shared" si="2"/>
        <v>11</v>
      </c>
      <c r="G67" s="3">
        <f t="shared" si="3"/>
        <v>14</v>
      </c>
      <c r="H67" s="3">
        <f t="shared" ref="H67:H70" si="6">F67+G67</f>
        <v>25</v>
      </c>
      <c r="I67" s="3" t="str">
        <f t="shared" si="4"/>
        <v>L</v>
      </c>
    </row>
    <row r="68" spans="1:10" x14ac:dyDescent="0.25">
      <c r="A68" t="s">
        <v>131</v>
      </c>
      <c r="B68" t="s">
        <v>192</v>
      </c>
      <c r="C68" t="s">
        <v>303</v>
      </c>
      <c r="E68" s="1" t="str">
        <f t="shared" ref="E68:E70" si="7">IF(LEFT(B68,1)="@","Away","Home")</f>
        <v>Away</v>
      </c>
      <c r="F68" s="3">
        <f t="shared" ref="F68:F70" si="8">_xlfn.NUMBERVALUE(MID(LEFT(C68,FIND("-",C68)-1),FIND(" ",C68)+1,LEN(C68)))</f>
        <v>8</v>
      </c>
      <c r="G68" s="3">
        <f t="shared" ref="G68:G70" si="9">_xlfn.NUMBERVALUE(RIGHT(C68,LEN(C68)-FIND("-",C68)))</f>
        <v>2</v>
      </c>
      <c r="H68" s="3">
        <f t="shared" si="6"/>
        <v>10</v>
      </c>
      <c r="I68" s="3" t="str">
        <f t="shared" ref="I68:I70" si="10">LEFT(C68,1)</f>
        <v>W</v>
      </c>
    </row>
    <row r="69" spans="1:10" x14ac:dyDescent="0.25">
      <c r="A69" t="s">
        <v>133</v>
      </c>
      <c r="B69" t="s">
        <v>211</v>
      </c>
      <c r="C69" t="s">
        <v>310</v>
      </c>
      <c r="E69" s="1" t="str">
        <f t="shared" si="7"/>
        <v>Away</v>
      </c>
      <c r="F69" s="3">
        <f t="shared" si="8"/>
        <v>2</v>
      </c>
      <c r="G69" s="3">
        <f t="shared" si="9"/>
        <v>17</v>
      </c>
      <c r="H69" s="3">
        <f t="shared" si="6"/>
        <v>19</v>
      </c>
      <c r="I69" s="3" t="str">
        <f t="shared" si="10"/>
        <v>L</v>
      </c>
    </row>
    <row r="70" spans="1:10" x14ac:dyDescent="0.25">
      <c r="A70" t="s">
        <v>134</v>
      </c>
      <c r="B70" t="s">
        <v>211</v>
      </c>
      <c r="C70" t="s">
        <v>311</v>
      </c>
      <c r="E70" s="1" t="str">
        <f t="shared" si="7"/>
        <v>Away</v>
      </c>
      <c r="F70" s="3">
        <f t="shared" si="8"/>
        <v>8</v>
      </c>
      <c r="G70" s="3">
        <f t="shared" si="9"/>
        <v>11</v>
      </c>
      <c r="H70" s="3">
        <f t="shared" si="6"/>
        <v>19</v>
      </c>
      <c r="I70" s="3" t="str">
        <f t="shared" si="10"/>
        <v>L</v>
      </c>
    </row>
    <row r="71" spans="1:10" x14ac:dyDescent="0.25">
      <c r="E71" s="1"/>
      <c r="F71" s="3"/>
      <c r="G71" s="3"/>
      <c r="H71" s="3"/>
      <c r="I71" s="3"/>
    </row>
    <row r="72" spans="1:10" x14ac:dyDescent="0.25">
      <c r="A72" t="s">
        <v>1</v>
      </c>
      <c r="B72" t="s">
        <v>2</v>
      </c>
      <c r="C72" t="s">
        <v>469</v>
      </c>
      <c r="D72" t="s">
        <v>135</v>
      </c>
      <c r="E72" s="1" t="s">
        <v>136</v>
      </c>
      <c r="F72" s="3" t="s">
        <v>137</v>
      </c>
      <c r="G72" s="3" t="s">
        <v>138</v>
      </c>
      <c r="H72" s="3" t="s">
        <v>3</v>
      </c>
      <c r="I72" s="3" t="s">
        <v>494</v>
      </c>
      <c r="J72" s="3" t="s">
        <v>495</v>
      </c>
    </row>
    <row r="73" spans="1:10" x14ac:dyDescent="0.25">
      <c r="A73" t="s">
        <v>448</v>
      </c>
      <c r="B73" t="s">
        <v>231</v>
      </c>
      <c r="C73" t="s">
        <v>234</v>
      </c>
      <c r="D73" t="str">
        <f>IF(LEFT(Table5[[#This Row],[Opponent]],1)="@","Away","Home")</f>
        <v>Home</v>
      </c>
      <c r="E73" s="1">
        <f>_xlfn.NUMBERVALUE(MID(LEFT(Table5[[#This Row],[Score]],FIND("-",Table5[[#This Row],[Score]])-1),FIND(" ",Table5[[#This Row],[Score]])+1,LEN(Table5[[#This Row],[Score]])))</f>
        <v>2</v>
      </c>
      <c r="F73" s="3">
        <f>_xlfn.NUMBERVALUE(RIGHT(Table5[[#This Row],[Score]],LEN(Table5[[#This Row],[Score]])-FIND("-",Table5[[#This Row],[Score]])))</f>
        <v>5</v>
      </c>
      <c r="G73" s="3">
        <f t="shared" ref="G73" si="11">E73+F73</f>
        <v>7</v>
      </c>
      <c r="H73" s="3" t="str">
        <f>LEFT(Table5[[#This Row],[Score]],1)</f>
        <v>L</v>
      </c>
      <c r="I73" s="3" t="str">
        <f>VLOOKUP(IF(Table5[[#This Row],[At]]="Home",Table5[[#This Row],[Opponent]],RIGHT(Table5[[#This Row],[Opponent]],LEN(Table5[[#This Row],[Opponent]])-1)),CHOOSE({1,2},[1]StandingsRAW!$J$1:$J$22,[1]StandingsRAW!$L$1:$L$22),2,FALSE)</f>
        <v>LAC</v>
      </c>
      <c r="J73" s="3">
        <f>VLOOKUP(Table5[[#This Row],[OPP]],Raw!$L$2:$S$23,7,FALSE)-Raw!$U$2</f>
        <v>-0.25332005312084993</v>
      </c>
    </row>
    <row r="74" spans="1:10" x14ac:dyDescent="0.25">
      <c r="A74" t="s">
        <v>449</v>
      </c>
      <c r="B74" t="s">
        <v>190</v>
      </c>
      <c r="C74" t="s">
        <v>320</v>
      </c>
      <c r="D74" t="str">
        <f>IF(LEFT(Table5[[#This Row],[Opponent]],1)="@","Away","Home")</f>
        <v>Away</v>
      </c>
      <c r="E74" s="1">
        <f>_xlfn.NUMBERVALUE(MID(LEFT(Table5[[#This Row],[Score]],FIND("-",Table5[[#This Row],[Score]])-1),FIND(" ",Table5[[#This Row],[Score]])+1,LEN(Table5[[#This Row],[Score]])))</f>
        <v>5</v>
      </c>
      <c r="F74" s="3">
        <f>_xlfn.NUMBERVALUE(RIGHT(Table5[[#This Row],[Score]],LEN(Table5[[#This Row],[Score]])-FIND("-",Table5[[#This Row],[Score]])))</f>
        <v>1</v>
      </c>
      <c r="G74" s="3">
        <f t="shared" ref="G74:G93" si="12">E74+F74</f>
        <v>6</v>
      </c>
      <c r="H74" s="3" t="str">
        <f>LEFT(Table5[[#This Row],[Score]],1)</f>
        <v>W</v>
      </c>
      <c r="I74" s="3" t="str">
        <f>VLOOKUP(IF(Table5[[#This Row],[At]]="Home",Table5[[#This Row],[Opponent]],RIGHT(Table5[[#This Row],[Opponent]],LEN(Table5[[#This Row],[Opponent]])-1)),CHOOSE({1,2},[1]StandingsRAW!$J$1:$J$22,[1]StandingsRAW!$L$1:$L$22),2,FALSE)</f>
        <v>LAC</v>
      </c>
      <c r="J74" s="3">
        <f>VLOOKUP(Table5[[#This Row],[OPP]],Raw!$L$2:$S$23,7,FALSE)-Raw!$U$2</f>
        <v>-0.25332005312084993</v>
      </c>
    </row>
    <row r="75" spans="1:10" x14ac:dyDescent="0.25">
      <c r="A75" t="s">
        <v>450</v>
      </c>
      <c r="B75" t="s">
        <v>211</v>
      </c>
      <c r="C75" t="s">
        <v>416</v>
      </c>
      <c r="D75" t="str">
        <f>IF(LEFT(Table5[[#This Row],[Opponent]],1)="@","Away","Home")</f>
        <v>Away</v>
      </c>
      <c r="E75" s="1">
        <f>_xlfn.NUMBERVALUE(MID(LEFT(Table5[[#This Row],[Score]],FIND("-",Table5[[#This Row],[Score]])-1),FIND(" ",Table5[[#This Row],[Score]])+1,LEN(Table5[[#This Row],[Score]])))</f>
        <v>12</v>
      </c>
      <c r="F75" s="3">
        <f>_xlfn.NUMBERVALUE(RIGHT(Table5[[#This Row],[Score]],LEN(Table5[[#This Row],[Score]])-FIND("-",Table5[[#This Row],[Score]])))</f>
        <v>10</v>
      </c>
      <c r="G75" s="3">
        <f t="shared" si="12"/>
        <v>22</v>
      </c>
      <c r="H75" s="3" t="str">
        <f>LEFT(Table5[[#This Row],[Score]],1)</f>
        <v>W</v>
      </c>
      <c r="I75" s="3" t="str">
        <f>VLOOKUP(IF(Table5[[#This Row],[At]]="Home",Table5[[#This Row],[Opponent]],RIGHT(Table5[[#This Row],[Opponent]],LEN(Table5[[#This Row],[Opponent]])-1)),CHOOSE({1,2},[1]StandingsRAW!$J$1:$J$22,[1]StandingsRAW!$L$1:$L$22),2,FALSE)</f>
        <v>WIL</v>
      </c>
      <c r="J75" s="3">
        <f>VLOOKUP(Table5[[#This Row],[OPP]],Raw!$L$2:$S$23,7,FALSE)-Raw!$U$2</f>
        <v>3.0407975939379734</v>
      </c>
    </row>
    <row r="76" spans="1:10" x14ac:dyDescent="0.25">
      <c r="A76" t="s">
        <v>451</v>
      </c>
      <c r="B76" t="s">
        <v>211</v>
      </c>
      <c r="C76" t="s">
        <v>226</v>
      </c>
      <c r="D76" t="str">
        <f>IF(LEFT(Table5[[#This Row],[Opponent]],1)="@","Away","Home")</f>
        <v>Away</v>
      </c>
      <c r="E76" s="1">
        <f>_xlfn.NUMBERVALUE(MID(LEFT(Table5[[#This Row],[Score]],FIND("-",Table5[[#This Row],[Score]])-1),FIND(" ",Table5[[#This Row],[Score]])+1,LEN(Table5[[#This Row],[Score]])))</f>
        <v>3</v>
      </c>
      <c r="F76" s="3">
        <f>_xlfn.NUMBERVALUE(RIGHT(Table5[[#This Row],[Score]],LEN(Table5[[#This Row],[Score]])-FIND("-",Table5[[#This Row],[Score]])))</f>
        <v>2</v>
      </c>
      <c r="G76" s="3">
        <f t="shared" si="12"/>
        <v>5</v>
      </c>
      <c r="H76" s="3" t="str">
        <f>LEFT(Table5[[#This Row],[Score]],1)</f>
        <v>W</v>
      </c>
      <c r="I76" s="3" t="str">
        <f>VLOOKUP(IF(Table5[[#This Row],[At]]="Home",Table5[[#This Row],[Opponent]],RIGHT(Table5[[#This Row],[Opponent]],LEN(Table5[[#This Row],[Opponent]])-1)),CHOOSE({1,2},[1]StandingsRAW!$J$1:$J$22,[1]StandingsRAW!$L$1:$L$22),2,FALSE)</f>
        <v>WIL</v>
      </c>
      <c r="J76" s="3">
        <f>VLOOKUP(Table5[[#This Row],[OPP]],Raw!$L$2:$S$23,7,FALSE)-Raw!$U$2</f>
        <v>3.0407975939379734</v>
      </c>
    </row>
    <row r="77" spans="1:10" x14ac:dyDescent="0.25">
      <c r="A77" t="s">
        <v>453</v>
      </c>
      <c r="B77" t="s">
        <v>258</v>
      </c>
      <c r="C77" t="s">
        <v>473</v>
      </c>
      <c r="D77" t="str">
        <f>IF(LEFT(Table5[[#This Row],[Opponent]],1)="@","Away","Home")</f>
        <v>Home</v>
      </c>
      <c r="E77" s="1">
        <f>_xlfn.NUMBERVALUE(MID(LEFT(Table5[[#This Row],[Score]],FIND("-",Table5[[#This Row],[Score]])-1),FIND(" ",Table5[[#This Row],[Score]])+1,LEN(Table5[[#This Row],[Score]])))</f>
        <v>14</v>
      </c>
      <c r="F77" s="3">
        <f>_xlfn.NUMBERVALUE(RIGHT(Table5[[#This Row],[Score]],LEN(Table5[[#This Row],[Score]])-FIND("-",Table5[[#This Row],[Score]])))</f>
        <v>1</v>
      </c>
      <c r="G77" s="3">
        <f t="shared" si="12"/>
        <v>15</v>
      </c>
      <c r="H77" s="3" t="str">
        <f>LEFT(Table5[[#This Row],[Score]],1)</f>
        <v>W</v>
      </c>
      <c r="I77" s="3" t="str">
        <f>VLOOKUP(IF(Table5[[#This Row],[At]]="Home",Table5[[#This Row],[Opponent]],RIGHT(Table5[[#This Row],[Opponent]],LEN(Table5[[#This Row],[Opponent]])-1)),CHOOSE({1,2},[1]StandingsRAW!$J$1:$J$22,[1]StandingsRAW!$L$1:$L$22),2,FALSE)</f>
        <v>WAT</v>
      </c>
      <c r="J77" s="3">
        <f>VLOOKUP(Table5[[#This Row],[OPP]],Raw!$L$2:$S$23,7,FALSE)-Raw!$U$2</f>
        <v>-3.3415553472384971</v>
      </c>
    </row>
    <row r="78" spans="1:10" x14ac:dyDescent="0.25">
      <c r="A78" t="s">
        <v>454</v>
      </c>
      <c r="B78" t="s">
        <v>258</v>
      </c>
      <c r="C78" t="s">
        <v>28</v>
      </c>
      <c r="D78" t="str">
        <f>IF(LEFT(Table5[[#This Row],[Opponent]],1)="@","Away","Home")</f>
        <v>Home</v>
      </c>
      <c r="E78" s="1">
        <f>_xlfn.NUMBERVALUE(MID(LEFT(Table5[[#This Row],[Score]],FIND("-",Table5[[#This Row],[Score]])-1),FIND(" ",Table5[[#This Row],[Score]])+1,LEN(Table5[[#This Row],[Score]])))</f>
        <v>4</v>
      </c>
      <c r="F78" s="3">
        <f>_xlfn.NUMBERVALUE(RIGHT(Table5[[#This Row],[Score]],LEN(Table5[[#This Row],[Score]])-FIND("-",Table5[[#This Row],[Score]])))</f>
        <v>2</v>
      </c>
      <c r="G78" s="3">
        <f t="shared" si="12"/>
        <v>6</v>
      </c>
      <c r="H78" s="3" t="str">
        <f>LEFT(Table5[[#This Row],[Score]],1)</f>
        <v>W</v>
      </c>
      <c r="I78" s="3" t="str">
        <f>VLOOKUP(IF(Table5[[#This Row],[At]]="Home",Table5[[#This Row],[Opponent]],RIGHT(Table5[[#This Row],[Opponent]],LEN(Table5[[#This Row],[Opponent]])-1)),CHOOSE({1,2},[1]StandingsRAW!$J$1:$J$22,[1]StandingsRAW!$L$1:$L$22),2,FALSE)</f>
        <v>WAT</v>
      </c>
      <c r="J78" s="3">
        <f>VLOOKUP(Table5[[#This Row],[OPP]],Raw!$L$2:$S$23,7,FALSE)-Raw!$U$2</f>
        <v>-3.3415553472384971</v>
      </c>
    </row>
    <row r="79" spans="1:10" x14ac:dyDescent="0.25">
      <c r="A79" t="s">
        <v>455</v>
      </c>
      <c r="B79" t="s">
        <v>192</v>
      </c>
      <c r="C79" t="s">
        <v>35</v>
      </c>
      <c r="D79" t="str">
        <f>IF(LEFT(Table5[[#This Row],[Opponent]],1)="@","Away","Home")</f>
        <v>Away</v>
      </c>
      <c r="E79" s="1">
        <f>_xlfn.NUMBERVALUE(MID(LEFT(Table5[[#This Row],[Score]],FIND("-",Table5[[#This Row],[Score]])-1),FIND(" ",Table5[[#This Row],[Score]])+1,LEN(Table5[[#This Row],[Score]])))</f>
        <v>4</v>
      </c>
      <c r="F79" s="3">
        <f>_xlfn.NUMBERVALUE(RIGHT(Table5[[#This Row],[Score]],LEN(Table5[[#This Row],[Score]])-FIND("-",Table5[[#This Row],[Score]])))</f>
        <v>1</v>
      </c>
      <c r="G79" s="3">
        <f t="shared" si="12"/>
        <v>5</v>
      </c>
      <c r="H79" s="3" t="str">
        <f>LEFT(Table5[[#This Row],[Score]],1)</f>
        <v>W</v>
      </c>
      <c r="I79" s="3" t="str">
        <f>VLOOKUP(IF(Table5[[#This Row],[At]]="Home",Table5[[#This Row],[Opponent]],RIGHT(Table5[[#This Row],[Opponent]],LEN(Table5[[#This Row],[Opponent]])-1)),CHOOSE({1,2},[1]StandingsRAW!$J$1:$J$22,[1]StandingsRAW!$L$1:$L$22),2,FALSE)</f>
        <v>WAT</v>
      </c>
      <c r="J79" s="3">
        <f>VLOOKUP(Table5[[#This Row],[OPP]],Raw!$L$2:$S$23,7,FALSE)-Raw!$U$2</f>
        <v>-3.3415553472384971</v>
      </c>
    </row>
    <row r="80" spans="1:10" x14ac:dyDescent="0.25">
      <c r="A80" t="s">
        <v>456</v>
      </c>
      <c r="B80" t="s">
        <v>192</v>
      </c>
      <c r="C80" t="s">
        <v>255</v>
      </c>
      <c r="D80" t="str">
        <f>IF(LEFT(Table5[[#This Row],[Opponent]],1)="@","Away","Home")</f>
        <v>Away</v>
      </c>
      <c r="E80" s="1">
        <f>_xlfn.NUMBERVALUE(MID(LEFT(Table5[[#This Row],[Score]],FIND("-",Table5[[#This Row],[Score]])-1),FIND(" ",Table5[[#This Row],[Score]])+1,LEN(Table5[[#This Row],[Score]])))</f>
        <v>4</v>
      </c>
      <c r="F80" s="3">
        <f>_xlfn.NUMBERVALUE(RIGHT(Table5[[#This Row],[Score]],LEN(Table5[[#This Row],[Score]])-FIND("-",Table5[[#This Row],[Score]])))</f>
        <v>10</v>
      </c>
      <c r="G80" s="3">
        <f t="shared" si="12"/>
        <v>14</v>
      </c>
      <c r="H80" s="3" t="str">
        <f>LEFT(Table5[[#This Row],[Score]],1)</f>
        <v>L</v>
      </c>
      <c r="I80" s="3" t="str">
        <f>VLOOKUP(IF(Table5[[#This Row],[At]]="Home",Table5[[#This Row],[Opponent]],RIGHT(Table5[[#This Row],[Opponent]],LEN(Table5[[#This Row],[Opponent]])-1)),CHOOSE({1,2},[1]StandingsRAW!$J$1:$J$22,[1]StandingsRAW!$L$1:$L$22),2,FALSE)</f>
        <v>WAT</v>
      </c>
      <c r="J80" s="3">
        <f>VLOOKUP(Table5[[#This Row],[OPP]],Raw!$L$2:$S$23,7,FALSE)-Raw!$U$2</f>
        <v>-3.3415553472384971</v>
      </c>
    </row>
    <row r="81" spans="1:10" x14ac:dyDescent="0.25">
      <c r="A81" t="s">
        <v>470</v>
      </c>
      <c r="B81" t="s">
        <v>241</v>
      </c>
      <c r="C81" t="s">
        <v>234</v>
      </c>
      <c r="D81" t="str">
        <f>IF(LEFT(Table5[[#This Row],[Opponent]],1)="@","Away","Home")</f>
        <v>Home</v>
      </c>
      <c r="E81" s="1">
        <f>_xlfn.NUMBERVALUE(MID(LEFT(Table5[[#This Row],[Score]],FIND("-",Table5[[#This Row],[Score]])-1),FIND(" ",Table5[[#This Row],[Score]])+1,LEN(Table5[[#This Row],[Score]])))</f>
        <v>2</v>
      </c>
      <c r="F81" s="3">
        <f>_xlfn.NUMBERVALUE(RIGHT(Table5[[#This Row],[Score]],LEN(Table5[[#This Row],[Score]])-FIND("-",Table5[[#This Row],[Score]])))</f>
        <v>5</v>
      </c>
      <c r="G81" s="3">
        <f t="shared" si="12"/>
        <v>7</v>
      </c>
      <c r="H81" s="3" t="str">
        <f>LEFT(Table5[[#This Row],[Score]],1)</f>
        <v>L</v>
      </c>
      <c r="I81" s="3" t="str">
        <f>VLOOKUP(IF(Table5[[#This Row],[At]]="Home",Table5[[#This Row],[Opponent]],RIGHT(Table5[[#This Row],[Opponent]],LEN(Table5[[#This Row],[Opponent]])-1)),CHOOSE({1,2},[1]StandingsRAW!$J$1:$J$22,[1]StandingsRAW!$L$1:$L$22),2,FALSE)</f>
        <v>MIN</v>
      </c>
      <c r="J81" s="3">
        <f>VLOOKUP(Table5[[#This Row],[OPP]],Raw!$L$2:$S$23,7,FALSE)-Raw!$U$2</f>
        <v>-2.6422089420097388</v>
      </c>
    </row>
    <row r="82" spans="1:10" x14ac:dyDescent="0.25">
      <c r="A82" t="s">
        <v>457</v>
      </c>
      <c r="B82" t="s">
        <v>241</v>
      </c>
      <c r="C82" t="s">
        <v>244</v>
      </c>
      <c r="D82" t="str">
        <f>IF(LEFT(Table5[[#This Row],[Opponent]],1)="@","Away","Home")</f>
        <v>Home</v>
      </c>
      <c r="E82" s="1">
        <f>_xlfn.NUMBERVALUE(MID(LEFT(Table5[[#This Row],[Score]],FIND("-",Table5[[#This Row],[Score]])-1),FIND(" ",Table5[[#This Row],[Score]])+1,LEN(Table5[[#This Row],[Score]])))</f>
        <v>6</v>
      </c>
      <c r="F82" s="3">
        <f>_xlfn.NUMBERVALUE(RIGHT(Table5[[#This Row],[Score]],LEN(Table5[[#This Row],[Score]])-FIND("-",Table5[[#This Row],[Score]])))</f>
        <v>3</v>
      </c>
      <c r="G82" s="3">
        <f t="shared" si="12"/>
        <v>9</v>
      </c>
      <c r="H82" s="3" t="str">
        <f>LEFT(Table5[[#This Row],[Score]],1)</f>
        <v>W</v>
      </c>
      <c r="I82" s="3" t="str">
        <f>VLOOKUP(IF(Table5[[#This Row],[At]]="Home",Table5[[#This Row],[Opponent]],RIGHT(Table5[[#This Row],[Opponent]],LEN(Table5[[#This Row],[Opponent]])-1)),CHOOSE({1,2},[1]StandingsRAW!$J$1:$J$22,[1]StandingsRAW!$L$1:$L$22),2,FALSE)</f>
        <v>MIN</v>
      </c>
      <c r="J82" s="3">
        <f>VLOOKUP(Table5[[#This Row],[OPP]],Raw!$L$2:$S$23,7,FALSE)-Raw!$U$2</f>
        <v>-2.6422089420097388</v>
      </c>
    </row>
    <row r="83" spans="1:10" x14ac:dyDescent="0.25">
      <c r="A83" t="s">
        <v>458</v>
      </c>
      <c r="B83" t="s">
        <v>206</v>
      </c>
      <c r="C83" t="s">
        <v>197</v>
      </c>
      <c r="D83" t="str">
        <f>IF(LEFT(Table5[[#This Row],[Opponent]],1)="@","Away","Home")</f>
        <v>Away</v>
      </c>
      <c r="E83" s="1">
        <f>_xlfn.NUMBERVALUE(MID(LEFT(Table5[[#This Row],[Score]],FIND("-",Table5[[#This Row],[Score]])-1),FIND(" ",Table5[[#This Row],[Score]])+1,LEN(Table5[[#This Row],[Score]])))</f>
        <v>0</v>
      </c>
      <c r="F83" s="3">
        <f>_xlfn.NUMBERVALUE(RIGHT(Table5[[#This Row],[Score]],LEN(Table5[[#This Row],[Score]])-FIND("-",Table5[[#This Row],[Score]])))</f>
        <v>1</v>
      </c>
      <c r="G83" s="3">
        <f t="shared" si="12"/>
        <v>1</v>
      </c>
      <c r="H83" s="3" t="str">
        <f>LEFT(Table5[[#This Row],[Score]],1)</f>
        <v>L</v>
      </c>
      <c r="I83" s="3" t="str">
        <f>VLOOKUP(IF(Table5[[#This Row],[At]]="Home",Table5[[#This Row],[Opponent]],RIGHT(Table5[[#This Row],[Opponent]],LEN(Table5[[#This Row],[Opponent]])-1)),CHOOSE({1,2},[1]StandingsRAW!$J$1:$J$22,[1]StandingsRAW!$L$1:$L$22),2,FALSE)</f>
        <v>MAN</v>
      </c>
      <c r="J83" s="3">
        <f>VLOOKUP(Table5[[#This Row],[OPP]],Raw!$L$2:$S$23,7,FALSE)-Raw!$U$2</f>
        <v>0.73197406452620895</v>
      </c>
    </row>
    <row r="84" spans="1:10" x14ac:dyDescent="0.25">
      <c r="A84" t="s">
        <v>459</v>
      </c>
      <c r="B84" t="s">
        <v>206</v>
      </c>
      <c r="C84" t="s">
        <v>42</v>
      </c>
      <c r="D84" t="str">
        <f>IF(LEFT(Table5[[#This Row],[Opponent]],1)="@","Away","Home")</f>
        <v>Away</v>
      </c>
      <c r="E84" s="1">
        <f>_xlfn.NUMBERVALUE(MID(LEFT(Table5[[#This Row],[Score]],FIND("-",Table5[[#This Row],[Score]])-1),FIND(" ",Table5[[#This Row],[Score]])+1,LEN(Table5[[#This Row],[Score]])))</f>
        <v>0</v>
      </c>
      <c r="F84" s="3">
        <f>_xlfn.NUMBERVALUE(RIGHT(Table5[[#This Row],[Score]],LEN(Table5[[#This Row],[Score]])-FIND("-",Table5[[#This Row],[Score]])))</f>
        <v>3</v>
      </c>
      <c r="G84" s="3">
        <f t="shared" si="12"/>
        <v>3</v>
      </c>
      <c r="H84" s="3" t="str">
        <f>LEFT(Table5[[#This Row],[Score]],1)</f>
        <v>L</v>
      </c>
      <c r="I84" s="3" t="str">
        <f>VLOOKUP(IF(Table5[[#This Row],[At]]="Home",Table5[[#This Row],[Opponent]],RIGHT(Table5[[#This Row],[Opponent]],LEN(Table5[[#This Row],[Opponent]])-1)),CHOOSE({1,2},[1]StandingsRAW!$J$1:$J$22,[1]StandingsRAW!$L$1:$L$22),2,FALSE)</f>
        <v>MAN</v>
      </c>
      <c r="J84" s="3">
        <f>VLOOKUP(Table5[[#This Row],[OPP]],Raw!$L$2:$S$23,7,FALSE)-Raw!$U$2</f>
        <v>0.73197406452620895</v>
      </c>
    </row>
    <row r="85" spans="1:10" x14ac:dyDescent="0.25">
      <c r="A85" t="s">
        <v>460</v>
      </c>
      <c r="B85" t="s">
        <v>250</v>
      </c>
      <c r="C85" t="s">
        <v>336</v>
      </c>
      <c r="D85" t="str">
        <f>IF(LEFT(Table5[[#This Row],[Opponent]],1)="@","Away","Home")</f>
        <v>Home</v>
      </c>
      <c r="E85" s="1">
        <f>_xlfn.NUMBERVALUE(MID(LEFT(Table5[[#This Row],[Score]],FIND("-",Table5[[#This Row],[Score]])-1),FIND(" ",Table5[[#This Row],[Score]])+1,LEN(Table5[[#This Row],[Score]])))</f>
        <v>8</v>
      </c>
      <c r="F85" s="3">
        <f>_xlfn.NUMBERVALUE(RIGHT(Table5[[#This Row],[Score]],LEN(Table5[[#This Row],[Score]])-FIND("-",Table5[[#This Row],[Score]])))</f>
        <v>4</v>
      </c>
      <c r="G85" s="3">
        <f t="shared" si="12"/>
        <v>12</v>
      </c>
      <c r="H85" s="3" t="str">
        <f>LEFT(Table5[[#This Row],[Score]],1)</f>
        <v>W</v>
      </c>
      <c r="I85" s="3" t="str">
        <f>VLOOKUP(IF(Table5[[#This Row],[At]]="Home",Table5[[#This Row],[Opponent]],RIGHT(Table5[[#This Row],[Opponent]],LEN(Table5[[#This Row],[Opponent]])-1)),CHOOSE({1,2},[1]StandingsRAW!$J$1:$J$22,[1]StandingsRAW!$L$1:$L$22),2,FALSE)</f>
        <v>MAN</v>
      </c>
      <c r="J85" s="3">
        <f>VLOOKUP(Table5[[#This Row],[OPP]],Raw!$L$2:$S$23,7,FALSE)-Raw!$U$2</f>
        <v>0.73197406452620895</v>
      </c>
    </row>
    <row r="86" spans="1:10" x14ac:dyDescent="0.25">
      <c r="A86" t="s">
        <v>471</v>
      </c>
      <c r="B86" t="s">
        <v>250</v>
      </c>
      <c r="C86" t="s">
        <v>270</v>
      </c>
      <c r="D86" t="str">
        <f>IF(LEFT(Table5[[#This Row],[Opponent]],1)="@","Away","Home")</f>
        <v>Home</v>
      </c>
      <c r="E86" s="1">
        <f>_xlfn.NUMBERVALUE(MID(LEFT(Table5[[#This Row],[Score]],FIND("-",Table5[[#This Row],[Score]])-1),FIND(" ",Table5[[#This Row],[Score]])+1,LEN(Table5[[#This Row],[Score]])))</f>
        <v>4</v>
      </c>
      <c r="F86" s="3">
        <f>_xlfn.NUMBERVALUE(RIGHT(Table5[[#This Row],[Score]],LEN(Table5[[#This Row],[Score]])-FIND("-",Table5[[#This Row],[Score]])))</f>
        <v>3</v>
      </c>
      <c r="G86" s="3">
        <f t="shared" si="12"/>
        <v>7</v>
      </c>
      <c r="H86" s="3" t="str">
        <f>LEFT(Table5[[#This Row],[Score]],1)</f>
        <v>W</v>
      </c>
      <c r="I86" s="3" t="str">
        <f>VLOOKUP(IF(Table5[[#This Row],[At]]="Home",Table5[[#This Row],[Opponent]],RIGHT(Table5[[#This Row],[Opponent]],LEN(Table5[[#This Row],[Opponent]])-1)),CHOOSE({1,2},[1]StandingsRAW!$J$1:$J$22,[1]StandingsRAW!$L$1:$L$22),2,FALSE)</f>
        <v>MAN</v>
      </c>
      <c r="J86" s="3">
        <f>VLOOKUP(Table5[[#This Row],[OPP]],Raw!$L$2:$S$23,7,FALSE)-Raw!$U$2</f>
        <v>0.73197406452620895</v>
      </c>
    </row>
    <row r="87" spans="1:10" x14ac:dyDescent="0.25">
      <c r="A87" t="s">
        <v>461</v>
      </c>
      <c r="B87" t="s">
        <v>278</v>
      </c>
      <c r="C87" t="s">
        <v>323</v>
      </c>
      <c r="D87" t="str">
        <f>IF(LEFT(Table5[[#This Row],[Opponent]],1)="@","Away","Home")</f>
        <v>Home</v>
      </c>
      <c r="E87" s="1">
        <f>_xlfn.NUMBERVALUE(MID(LEFT(Table5[[#This Row],[Score]],FIND("-",Table5[[#This Row],[Score]])-1),FIND(" ",Table5[[#This Row],[Score]])+1,LEN(Table5[[#This Row],[Score]])))</f>
        <v>7</v>
      </c>
      <c r="F87" s="3">
        <f>_xlfn.NUMBERVALUE(RIGHT(Table5[[#This Row],[Score]],LEN(Table5[[#This Row],[Score]])-FIND("-",Table5[[#This Row],[Score]])))</f>
        <v>6</v>
      </c>
      <c r="G87" s="3">
        <f t="shared" si="12"/>
        <v>13</v>
      </c>
      <c r="H87" s="3" t="str">
        <f>LEFT(Table5[[#This Row],[Score]],1)</f>
        <v>W</v>
      </c>
      <c r="I87" s="3" t="str">
        <f>VLOOKUP(IF(Table5[[#This Row],[At]]="Home",Table5[[#This Row],[Opponent]],RIGHT(Table5[[#This Row],[Opponent]],LEN(Table5[[#This Row],[Opponent]])-1)),CHOOSE({1,2},[1]StandingsRAW!$J$1:$J$22,[1]StandingsRAW!$L$1:$L$22),2,FALSE)</f>
        <v>BIS</v>
      </c>
      <c r="J87" s="3">
        <f>VLOOKUP(Table5[[#This Row],[OPP]],Raw!$L$2:$S$23,7,FALSE)-Raw!$U$2</f>
        <v>-1.915084759003203</v>
      </c>
    </row>
    <row r="88" spans="1:10" x14ac:dyDescent="0.25">
      <c r="A88" t="s">
        <v>462</v>
      </c>
      <c r="B88" t="s">
        <v>278</v>
      </c>
      <c r="C88" t="s">
        <v>320</v>
      </c>
      <c r="D88" t="str">
        <f>IF(LEFT(Table5[[#This Row],[Opponent]],1)="@","Away","Home")</f>
        <v>Home</v>
      </c>
      <c r="E88" s="1">
        <f>_xlfn.NUMBERVALUE(MID(LEFT(Table5[[#This Row],[Score]],FIND("-",Table5[[#This Row],[Score]])-1),FIND(" ",Table5[[#This Row],[Score]])+1,LEN(Table5[[#This Row],[Score]])))</f>
        <v>5</v>
      </c>
      <c r="F88" s="3">
        <f>_xlfn.NUMBERVALUE(RIGHT(Table5[[#This Row],[Score]],LEN(Table5[[#This Row],[Score]])-FIND("-",Table5[[#This Row],[Score]])))</f>
        <v>1</v>
      </c>
      <c r="G88" s="3">
        <f t="shared" si="12"/>
        <v>6</v>
      </c>
      <c r="H88" s="3" t="str">
        <f>LEFT(Table5[[#This Row],[Score]],1)</f>
        <v>W</v>
      </c>
      <c r="I88" s="3" t="str">
        <f>VLOOKUP(IF(Table5[[#This Row],[At]]="Home",Table5[[#This Row],[Opponent]],RIGHT(Table5[[#This Row],[Opponent]],LEN(Table5[[#This Row],[Opponent]])-1)),CHOOSE({1,2},[1]StandingsRAW!$J$1:$J$22,[1]StandingsRAW!$L$1:$L$22),2,FALSE)</f>
        <v>BIS</v>
      </c>
      <c r="J88" s="3">
        <f>VLOOKUP(Table5[[#This Row],[OPP]],Raw!$L$2:$S$23,7,FALSE)-Raw!$U$2</f>
        <v>-1.915084759003203</v>
      </c>
    </row>
    <row r="89" spans="1:10" x14ac:dyDescent="0.25">
      <c r="A89" t="s">
        <v>463</v>
      </c>
      <c r="B89" t="s">
        <v>225</v>
      </c>
      <c r="C89" t="s">
        <v>267</v>
      </c>
      <c r="D89" t="str">
        <f>IF(LEFT(Table5[[#This Row],[Opponent]],1)="@","Away","Home")</f>
        <v>Home</v>
      </c>
      <c r="E89" s="1">
        <f>_xlfn.NUMBERVALUE(MID(LEFT(Table5[[#This Row],[Score]],FIND("-",Table5[[#This Row],[Score]])-1),FIND(" ",Table5[[#This Row],[Score]])+1,LEN(Table5[[#This Row],[Score]])))</f>
        <v>8</v>
      </c>
      <c r="F89" s="3">
        <f>_xlfn.NUMBERVALUE(RIGHT(Table5[[#This Row],[Score]],LEN(Table5[[#This Row],[Score]])-FIND("-",Table5[[#This Row],[Score]])))</f>
        <v>7</v>
      </c>
      <c r="G89" s="3">
        <f t="shared" si="12"/>
        <v>15</v>
      </c>
      <c r="H89" s="3" t="str">
        <f>LEFT(Table5[[#This Row],[Score]],1)</f>
        <v>W</v>
      </c>
      <c r="I89" s="3" t="str">
        <f>VLOOKUP(IF(Table5[[#This Row],[At]]="Home",Table5[[#This Row],[Opponent]],RIGHT(Table5[[#This Row],[Opponent]],LEN(Table5[[#This Row],[Opponent]])-1)),CHOOSE({1,2},[1]StandingsRAW!$J$1:$J$22,[1]StandingsRAW!$L$1:$L$22),2,FALSE)</f>
        <v>DUL</v>
      </c>
      <c r="J89" s="3">
        <f>VLOOKUP(Table5[[#This Row],[OPP]],Raw!$L$2:$S$23,7,FALSE)-Raw!$U$2</f>
        <v>-0.37645438147905891</v>
      </c>
    </row>
    <row r="90" spans="1:10" x14ac:dyDescent="0.25">
      <c r="A90" t="s">
        <v>463</v>
      </c>
      <c r="B90" t="s">
        <v>225</v>
      </c>
      <c r="C90" t="s">
        <v>409</v>
      </c>
      <c r="D90" t="str">
        <f>IF(LEFT(Table5[[#This Row],[Opponent]],1)="@","Away","Home")</f>
        <v>Home</v>
      </c>
      <c r="E90" s="1">
        <f>_xlfn.NUMBERVALUE(MID(LEFT(Table5[[#This Row],[Score]],FIND("-",Table5[[#This Row],[Score]])-1),FIND(" ",Table5[[#This Row],[Score]])+1,LEN(Table5[[#This Row],[Score]])))</f>
        <v>9</v>
      </c>
      <c r="F90" s="3">
        <f>_xlfn.NUMBERVALUE(RIGHT(Table5[[#This Row],[Score]],LEN(Table5[[#This Row],[Score]])-FIND("-",Table5[[#This Row],[Score]])))</f>
        <v>0</v>
      </c>
      <c r="G90" s="3">
        <f t="shared" si="12"/>
        <v>9</v>
      </c>
      <c r="H90" s="3" t="str">
        <f>LEFT(Table5[[#This Row],[Score]],1)</f>
        <v>W</v>
      </c>
      <c r="I90" s="3" t="str">
        <f>VLOOKUP(IF(Table5[[#This Row],[At]]="Home",Table5[[#This Row],[Opponent]],RIGHT(Table5[[#This Row],[Opponent]],LEN(Table5[[#This Row],[Opponent]])-1)),CHOOSE({1,2},[1]StandingsRAW!$J$1:$J$22,[1]StandingsRAW!$L$1:$L$22),2,FALSE)</f>
        <v>DUL</v>
      </c>
      <c r="J90" s="3">
        <f>VLOOKUP(Table5[[#This Row],[OPP]],Raw!$L$2:$S$23,7,FALSE)-Raw!$U$2</f>
        <v>-0.37645438147905891</v>
      </c>
    </row>
    <row r="91" spans="1:10" x14ac:dyDescent="0.25">
      <c r="A91" t="s">
        <v>464</v>
      </c>
      <c r="B91" t="s">
        <v>231</v>
      </c>
      <c r="C91" t="s">
        <v>55</v>
      </c>
      <c r="D91" t="str">
        <f>IF(LEFT(Table5[[#This Row],[Opponent]],1)="@","Away","Home")</f>
        <v>Home</v>
      </c>
      <c r="E91" s="1">
        <f>_xlfn.NUMBERVALUE(MID(LEFT(Table5[[#This Row],[Score]],FIND("-",Table5[[#This Row],[Score]])-1),FIND(" ",Table5[[#This Row],[Score]])+1,LEN(Table5[[#This Row],[Score]])))</f>
        <v>5</v>
      </c>
      <c r="F91" s="3">
        <f>_xlfn.NUMBERVALUE(RIGHT(Table5[[#This Row],[Score]],LEN(Table5[[#This Row],[Score]])-FIND("-",Table5[[#This Row],[Score]])))</f>
        <v>7</v>
      </c>
      <c r="G91" s="3">
        <f t="shared" si="12"/>
        <v>12</v>
      </c>
      <c r="H91" s="3" t="str">
        <f>LEFT(Table5[[#This Row],[Score]],1)</f>
        <v>L</v>
      </c>
      <c r="I91" s="3" t="str">
        <f>VLOOKUP(IF(Table5[[#This Row],[At]]="Home",Table5[[#This Row],[Opponent]],RIGHT(Table5[[#This Row],[Opponent]],LEN(Table5[[#This Row],[Opponent]])-1)),CHOOSE({1,2},[1]StandingsRAW!$J$1:$J$22,[1]StandingsRAW!$L$1:$L$22),2,FALSE)</f>
        <v>LAC</v>
      </c>
      <c r="J91" s="3">
        <f>VLOOKUP(Table5[[#This Row],[OPP]],Raw!$L$2:$S$23,7,FALSE)-Raw!$U$2</f>
        <v>-0.25332005312084993</v>
      </c>
    </row>
    <row r="92" spans="1:10" x14ac:dyDescent="0.25">
      <c r="A92" t="s">
        <v>465</v>
      </c>
      <c r="B92" t="s">
        <v>190</v>
      </c>
      <c r="C92" t="s">
        <v>31</v>
      </c>
      <c r="D92" t="str">
        <f>IF(LEFT(Table5[[#This Row],[Opponent]],1)="@","Away","Home")</f>
        <v>Away</v>
      </c>
      <c r="E92" s="1">
        <f>_xlfn.NUMBERVALUE(MID(LEFT(Table5[[#This Row],[Score]],FIND("-",Table5[[#This Row],[Score]])-1),FIND(" ",Table5[[#This Row],[Score]])+1,LEN(Table5[[#This Row],[Score]])))</f>
        <v>5</v>
      </c>
      <c r="F92" s="3">
        <f>_xlfn.NUMBERVALUE(RIGHT(Table5[[#This Row],[Score]],LEN(Table5[[#This Row],[Score]])-FIND("-",Table5[[#This Row],[Score]])))</f>
        <v>9</v>
      </c>
      <c r="G92" s="3">
        <f t="shared" si="12"/>
        <v>14</v>
      </c>
      <c r="H92" s="3" t="str">
        <f>LEFT(Table5[[#This Row],[Score]],1)</f>
        <v>L</v>
      </c>
      <c r="I92" s="3" t="str">
        <f>VLOOKUP(IF(Table5[[#This Row],[At]]="Home",Table5[[#This Row],[Opponent]],RIGHT(Table5[[#This Row],[Opponent]],LEN(Table5[[#This Row],[Opponent]])-1)),CHOOSE({1,2},[1]StandingsRAW!$J$1:$J$22,[1]StandingsRAW!$L$1:$L$22),2,FALSE)</f>
        <v>LAC</v>
      </c>
      <c r="J92" s="3">
        <f>VLOOKUP(Table5[[#This Row],[OPP]],Raw!$L$2:$S$23,7,FALSE)-Raw!$U$2</f>
        <v>-0.25332005312084993</v>
      </c>
    </row>
    <row r="93" spans="1:10" x14ac:dyDescent="0.25">
      <c r="A93" t="s">
        <v>468</v>
      </c>
      <c r="B93" t="s">
        <v>201</v>
      </c>
      <c r="C93" t="s">
        <v>132</v>
      </c>
      <c r="D93" t="str">
        <f>IF(LEFT(Table5[[#This Row],[Opponent]],1)="@","Away","Home")</f>
        <v>Away</v>
      </c>
      <c r="E93" s="1">
        <f>_xlfn.NUMBERVALUE(MID(LEFT(Table5[[#This Row],[Score]],FIND("-",Table5[[#This Row],[Score]])-1),FIND(" ",Table5[[#This Row],[Score]])+1,LEN(Table5[[#This Row],[Score]])))</f>
        <v>3</v>
      </c>
      <c r="F93" s="3">
        <f>_xlfn.NUMBERVALUE(RIGHT(Table5[[#This Row],[Score]],LEN(Table5[[#This Row],[Score]])-FIND("-",Table5[[#This Row],[Score]])))</f>
        <v>6</v>
      </c>
      <c r="G93" s="3">
        <f t="shared" si="12"/>
        <v>9</v>
      </c>
      <c r="H93" s="3" t="str">
        <f>LEFT(Table5[[#This Row],[Score]],1)</f>
        <v>L</v>
      </c>
      <c r="I93" s="3" t="str">
        <f>VLOOKUP(IF(Table5[[#This Row],[At]]="Home",Table5[[#This Row],[Opponent]],RIGHT(Table5[[#This Row],[Opponent]],LEN(Table5[[#This Row],[Opponent]])-1)),CHOOSE({1,2},[1]StandingsRAW!$J$1:$J$22,[1]StandingsRAW!$L$1:$L$22),2,FALSE)</f>
        <v>STC</v>
      </c>
      <c r="J93" s="3">
        <f>VLOOKUP(Table5[[#This Row],[OPP]],Raw!$L$2:$S$23,7,FALSE)-Raw!$U$2</f>
        <v>2.5702093586438561</v>
      </c>
    </row>
    <row r="94" spans="1:10" x14ac:dyDescent="0.25">
      <c r="A94" t="s">
        <v>498</v>
      </c>
      <c r="B94" t="s">
        <v>201</v>
      </c>
      <c r="C94" t="s">
        <v>38</v>
      </c>
      <c r="D94" t="str">
        <f>IF(LEFT(Table5[[#This Row],[Opponent]],1)="@","Away","Home")</f>
        <v>Away</v>
      </c>
      <c r="E94" s="1">
        <f>_xlfn.NUMBERVALUE(MID(LEFT(Table5[[#This Row],[Score]],FIND("-",Table5[[#This Row],[Score]])-1),FIND(" ",Table5[[#This Row],[Score]])+1,LEN(Table5[[#This Row],[Score]])))</f>
        <v>3</v>
      </c>
      <c r="F94" s="3">
        <f>_xlfn.NUMBERVALUE(RIGHT(Table5[[#This Row],[Score]],LEN(Table5[[#This Row],[Score]])-FIND("-",Table5[[#This Row],[Score]])))</f>
        <v>5</v>
      </c>
      <c r="G94" s="3">
        <f t="shared" ref="G94:G96" si="13">E94+F94</f>
        <v>8</v>
      </c>
      <c r="H94" s="3" t="str">
        <f>LEFT(Table5[[#This Row],[Score]],1)</f>
        <v>L</v>
      </c>
      <c r="I94" s="3" t="str">
        <f>VLOOKUP(IF(Table5[[#This Row],[At]]="Home",Table5[[#This Row],[Opponent]],RIGHT(Table5[[#This Row],[Opponent]],LEN(Table5[[#This Row],[Opponent]])-1)),CHOOSE({1,2},[1]StandingsRAW!$J$1:$J$22,[1]StandingsRAW!$L$1:$L$22),2,FALSE)</f>
        <v>STC</v>
      </c>
      <c r="J94" s="3">
        <f>VLOOKUP(Table5[[#This Row],[OPP]],Raw!$L$2:$S$23,7,FALSE)-Raw!$U$2</f>
        <v>2.5702093586438561</v>
      </c>
    </row>
    <row r="95" spans="1:10" x14ac:dyDescent="0.25">
      <c r="A95" t="s">
        <v>499</v>
      </c>
      <c r="B95" t="s">
        <v>263</v>
      </c>
      <c r="C95" t="s">
        <v>329</v>
      </c>
      <c r="D95" t="str">
        <f>IF(LEFT(Table5[[#This Row],[Opponent]],1)="@","Away","Home")</f>
        <v>Home</v>
      </c>
      <c r="E95" s="1">
        <f>_xlfn.NUMBERVALUE(MID(LEFT(Table5[[#This Row],[Score]],FIND("-",Table5[[#This Row],[Score]])-1),FIND(" ",Table5[[#This Row],[Score]])+1,LEN(Table5[[#This Row],[Score]])))</f>
        <v>5</v>
      </c>
      <c r="F95" s="3">
        <f>_xlfn.NUMBERVALUE(RIGHT(Table5[[#This Row],[Score]],LEN(Table5[[#This Row],[Score]])-FIND("-",Table5[[#This Row],[Score]])))</f>
        <v>2</v>
      </c>
      <c r="G95" s="3">
        <f t="shared" si="13"/>
        <v>7</v>
      </c>
      <c r="H95" s="3" t="str">
        <f>LEFT(Table5[[#This Row],[Score]],1)</f>
        <v>W</v>
      </c>
      <c r="I95" s="3" t="str">
        <f>VLOOKUP(IF(Table5[[#This Row],[At]]="Home",Table5[[#This Row],[Opponent]],RIGHT(Table5[[#This Row],[Opponent]],LEN(Table5[[#This Row],[Opponent]])-1)),CHOOSE({1,2},[1]StandingsRAW!$J$1:$J$22,[1]StandingsRAW!$L$1:$L$22),2,FALSE)</f>
        <v>ROC</v>
      </c>
      <c r="J95" s="3">
        <f>VLOOKUP(Table5[[#This Row],[OPP]],Raw!$L$2:$S$23,7,FALSE)-Raw!$U$2</f>
        <v>-0.20920240606202639</v>
      </c>
    </row>
    <row r="96" spans="1:10" x14ac:dyDescent="0.25">
      <c r="A96" t="s">
        <v>500</v>
      </c>
      <c r="B96" t="s">
        <v>263</v>
      </c>
      <c r="C96" t="s">
        <v>320</v>
      </c>
      <c r="D96" t="str">
        <f>IF(LEFT(Table5[[#This Row],[Opponent]],1)="@","Away","Home")</f>
        <v>Home</v>
      </c>
      <c r="E96" s="1">
        <f>_xlfn.NUMBERVALUE(MID(LEFT(Table5[[#This Row],[Score]],FIND("-",Table5[[#This Row],[Score]])-1),FIND(" ",Table5[[#This Row],[Score]])+1,LEN(Table5[[#This Row],[Score]])))</f>
        <v>5</v>
      </c>
      <c r="F96" s="3">
        <f>_xlfn.NUMBERVALUE(RIGHT(Table5[[#This Row],[Score]],LEN(Table5[[#This Row],[Score]])-FIND("-",Table5[[#This Row],[Score]])))</f>
        <v>1</v>
      </c>
      <c r="G96" s="3">
        <f t="shared" si="13"/>
        <v>6</v>
      </c>
      <c r="H96" s="3" t="str">
        <f>LEFT(Table5[[#This Row],[Score]],1)</f>
        <v>W</v>
      </c>
      <c r="I96" s="3" t="str">
        <f>VLOOKUP(IF(Table5[[#This Row],[At]]="Home",Table5[[#This Row],[Opponent]],RIGHT(Table5[[#This Row],[Opponent]],LEN(Table5[[#This Row],[Opponent]])-1)),CHOOSE({1,2},[1]StandingsRAW!$J$1:$J$22,[1]StandingsRAW!$L$1:$L$22),2,FALSE)</f>
        <v>ROC</v>
      </c>
      <c r="J96" s="3">
        <f>VLOOKUP(Table5[[#This Row],[OPP]],Raw!$L$2:$S$23,7,FALSE)-Raw!$U$2</f>
        <v>-0.20920240606202639</v>
      </c>
    </row>
    <row r="97" spans="1:10" x14ac:dyDescent="0.25">
      <c r="A97" t="s">
        <v>501</v>
      </c>
      <c r="B97" t="s">
        <v>231</v>
      </c>
      <c r="C97" t="s">
        <v>254</v>
      </c>
      <c r="D97" t="str">
        <f>IF(LEFT(Table5[[#This Row],[Opponent]],1)="@","Away","Home")</f>
        <v>Home</v>
      </c>
      <c r="E97" s="1">
        <f>_xlfn.NUMBERVALUE(MID(LEFT(Table5[[#This Row],[Score]],FIND("-",Table5[[#This Row],[Score]])-1),FIND(" ",Table5[[#This Row],[Score]])+1,LEN(Table5[[#This Row],[Score]])))</f>
        <v>5</v>
      </c>
      <c r="F97" s="3">
        <f>_xlfn.NUMBERVALUE(RIGHT(Table5[[#This Row],[Score]],LEN(Table5[[#This Row],[Score]])-FIND("-",Table5[[#This Row],[Score]])))</f>
        <v>4</v>
      </c>
      <c r="G97" s="3">
        <f t="shared" ref="G97:G98" si="14">E97+F97</f>
        <v>9</v>
      </c>
      <c r="H97" s="3" t="str">
        <f>LEFT(Table5[[#This Row],[Score]],1)</f>
        <v>W</v>
      </c>
      <c r="I97" s="3" t="str">
        <f>VLOOKUP(IF(Table5[[#This Row],[At]]="Home",Table5[[#This Row],[Opponent]],RIGHT(Table5[[#This Row],[Opponent]],LEN(Table5[[#This Row],[Opponent]])-1)),CHOOSE({1,2},[1]StandingsRAW!$J$1:$J$22,[1]StandingsRAW!$L$1:$L$22),2,FALSE)</f>
        <v>LAC</v>
      </c>
      <c r="J97" s="3">
        <f>VLOOKUP(Table5[[#This Row],[OPP]],Raw!$L$2:$S$23,7,FALSE)-Raw!$U$2</f>
        <v>-0.25332005312084993</v>
      </c>
    </row>
    <row r="98" spans="1:10" x14ac:dyDescent="0.25">
      <c r="A98" t="s">
        <v>502</v>
      </c>
      <c r="B98" t="s">
        <v>190</v>
      </c>
      <c r="C98" t="s">
        <v>322</v>
      </c>
      <c r="D98" t="str">
        <f>IF(LEFT(Table5[[#This Row],[Opponent]],1)="@","Away","Home")</f>
        <v>Away</v>
      </c>
      <c r="E98" s="1">
        <f>_xlfn.NUMBERVALUE(MID(LEFT(Table5[[#This Row],[Score]],FIND("-",Table5[[#This Row],[Score]])-1),FIND(" ",Table5[[#This Row],[Score]])+1,LEN(Table5[[#This Row],[Score]])))</f>
        <v>6</v>
      </c>
      <c r="F98" s="3">
        <f>_xlfn.NUMBERVALUE(RIGHT(Table5[[#This Row],[Score]],LEN(Table5[[#This Row],[Score]])-FIND("-",Table5[[#This Row],[Score]])))</f>
        <v>7</v>
      </c>
      <c r="G98" s="3">
        <f t="shared" si="14"/>
        <v>13</v>
      </c>
      <c r="H98" s="3" t="str">
        <f>LEFT(Table5[[#This Row],[Score]],1)</f>
        <v>L</v>
      </c>
      <c r="I98" s="3" t="str">
        <f>VLOOKUP(IF(Table5[[#This Row],[At]]="Home",Table5[[#This Row],[Opponent]],RIGHT(Table5[[#This Row],[Opponent]],LEN(Table5[[#This Row],[Opponent]])-1)),CHOOSE({1,2},[1]StandingsRAW!$J$1:$J$22,[1]StandingsRAW!$L$1:$L$22),2,FALSE)</f>
        <v>LAC</v>
      </c>
      <c r="J98" s="3">
        <f>VLOOKUP(Table5[[#This Row],[OPP]],Raw!$L$2:$S$23,7,FALSE)-Raw!$U$2</f>
        <v>-0.25332005312084993</v>
      </c>
    </row>
    <row r="99" spans="1:10" x14ac:dyDescent="0.25">
      <c r="A99" t="s">
        <v>505</v>
      </c>
      <c r="B99" t="s">
        <v>222</v>
      </c>
      <c r="C99" t="s">
        <v>322</v>
      </c>
      <c r="D99" t="str">
        <f>IF(LEFT(Table5[[#This Row],[Opponent]],1)="@","Away","Home")</f>
        <v>Home</v>
      </c>
      <c r="E99" s="1">
        <f>_xlfn.NUMBERVALUE(MID(LEFT(Table5[[#This Row],[Score]],FIND("-",Table5[[#This Row],[Score]])-1),FIND(" ",Table5[[#This Row],[Score]])+1,LEN(Table5[[#This Row],[Score]])))</f>
        <v>6</v>
      </c>
      <c r="F99" s="3">
        <f>_xlfn.NUMBERVALUE(RIGHT(Table5[[#This Row],[Score]],LEN(Table5[[#This Row],[Score]])-FIND("-",Table5[[#This Row],[Score]])))</f>
        <v>7</v>
      </c>
      <c r="G99" s="3">
        <f>E99+F99</f>
        <v>13</v>
      </c>
      <c r="H99" s="3" t="str">
        <f>LEFT(Table5[[#This Row],[Score]],1)</f>
        <v>L</v>
      </c>
      <c r="I99" s="3" t="str">
        <f>VLOOKUP(IF(Table5[[#This Row],[At]]="Home",Table5[[#This Row],[Opponent]],RIGHT(Table5[[#This Row],[Opponent]],LEN(Table5[[#This Row],[Opponent]])-1)),CHOOSE({1,2},[1]StandingsRAW!$J$1:$J$22,[1]StandingsRAW!$L$1:$L$22),2,FALSE)</f>
        <v>WIL</v>
      </c>
      <c r="J99" s="3">
        <f>VLOOKUP(Table5[[#This Row],[OPP]],Raw!$L$2:$S$23,7,FALSE)-Raw!$U$2</f>
        <v>3.0407975939379734</v>
      </c>
    </row>
    <row r="100" spans="1:10" x14ac:dyDescent="0.25">
      <c r="A100" t="s">
        <v>508</v>
      </c>
      <c r="B100" t="s">
        <v>222</v>
      </c>
      <c r="C100" t="s">
        <v>226</v>
      </c>
      <c r="D100" t="str">
        <f>IF(LEFT(Table5[[#This Row],[Opponent]],1)="@","Away","Home")</f>
        <v>Home</v>
      </c>
      <c r="E100" s="1">
        <f>_xlfn.NUMBERVALUE(MID(LEFT(Table5[[#This Row],[Score]],FIND("-",Table5[[#This Row],[Score]])-1),FIND(" ",Table5[[#This Row],[Score]])+1,LEN(Table5[[#This Row],[Score]])))</f>
        <v>3</v>
      </c>
      <c r="F100" s="3">
        <f>_xlfn.NUMBERVALUE(RIGHT(Table5[[#This Row],[Score]],LEN(Table5[[#This Row],[Score]])-FIND("-",Table5[[#This Row],[Score]])))</f>
        <v>2</v>
      </c>
      <c r="G100" s="3">
        <f t="shared" ref="G100:G102" si="15">E100+F100</f>
        <v>5</v>
      </c>
      <c r="H100" s="3" t="str">
        <f>LEFT(Table5[[#This Row],[Score]],1)</f>
        <v>W</v>
      </c>
      <c r="I100" s="3" t="str">
        <f>VLOOKUP(IF(Table5[[#This Row],[At]]="Home",Table5[[#This Row],[Opponent]],RIGHT(Table5[[#This Row],[Opponent]],LEN(Table5[[#This Row],[Opponent]])-1)),CHOOSE({1,2},[1]StandingsRAW!$J$1:$J$22,[1]StandingsRAW!$L$1:$L$22),2,FALSE)</f>
        <v>WIL</v>
      </c>
      <c r="J100" s="3">
        <f>VLOOKUP(Table5[[#This Row],[OPP]],Raw!$L$2:$S$23,7,FALSE)-Raw!$U$2</f>
        <v>3.0407975939379734</v>
      </c>
    </row>
    <row r="101" spans="1:10" x14ac:dyDescent="0.25">
      <c r="A101" t="s">
        <v>509</v>
      </c>
      <c r="B101" t="s">
        <v>211</v>
      </c>
      <c r="C101" t="s">
        <v>297</v>
      </c>
      <c r="D101" t="str">
        <f>IF(LEFT(Table5[[#This Row],[Opponent]],1)="@","Away","Home")</f>
        <v>Away</v>
      </c>
      <c r="E101" s="1">
        <f>_xlfn.NUMBERVALUE(MID(LEFT(Table5[[#This Row],[Score]],FIND("-",Table5[[#This Row],[Score]])-1),FIND(" ",Table5[[#This Row],[Score]])+1,LEN(Table5[[#This Row],[Score]])))</f>
        <v>2</v>
      </c>
      <c r="F101" s="3">
        <f>_xlfn.NUMBERVALUE(RIGHT(Table5[[#This Row],[Score]],LEN(Table5[[#This Row],[Score]])-FIND("-",Table5[[#This Row],[Score]])))</f>
        <v>10</v>
      </c>
      <c r="G101" s="3">
        <f t="shared" si="15"/>
        <v>12</v>
      </c>
      <c r="H101" s="3" t="str">
        <f>LEFT(Table5[[#This Row],[Score]],1)</f>
        <v>L</v>
      </c>
      <c r="I101" s="3" t="str">
        <f>VLOOKUP(IF(Table5[[#This Row],[At]]="Home",Table5[[#This Row],[Opponent]],RIGHT(Table5[[#This Row],[Opponent]],LEN(Table5[[#This Row],[Opponent]])-1)),CHOOSE({1,2},[1]StandingsRAW!$J$1:$J$22,[1]StandingsRAW!$L$1:$L$22),2,FALSE)</f>
        <v>WIL</v>
      </c>
      <c r="J101" s="3">
        <f>VLOOKUP(Table5[[#This Row],[OPP]],Raw!$L$2:$S$23,7,FALSE)-Raw!$U$2</f>
        <v>3.0407975939379734</v>
      </c>
    </row>
    <row r="102" spans="1:10" x14ac:dyDescent="0.25">
      <c r="A102" t="s">
        <v>510</v>
      </c>
      <c r="B102" t="s">
        <v>211</v>
      </c>
      <c r="C102" t="s">
        <v>234</v>
      </c>
      <c r="D102" t="str">
        <f>IF(LEFT(Table5[[#This Row],[Opponent]],1)="@","Away","Home")</f>
        <v>Away</v>
      </c>
      <c r="E102" s="1">
        <f>_xlfn.NUMBERVALUE(MID(LEFT(Table5[[#This Row],[Score]],FIND("-",Table5[[#This Row],[Score]])-1),FIND(" ",Table5[[#This Row],[Score]])+1,LEN(Table5[[#This Row],[Score]])))</f>
        <v>2</v>
      </c>
      <c r="F102" s="3">
        <f>_xlfn.NUMBERVALUE(RIGHT(Table5[[#This Row],[Score]],LEN(Table5[[#This Row],[Score]])-FIND("-",Table5[[#This Row],[Score]])))</f>
        <v>5</v>
      </c>
      <c r="G102" s="3">
        <f t="shared" si="15"/>
        <v>7</v>
      </c>
      <c r="H102" s="3" t="str">
        <f>LEFT(Table5[[#This Row],[Score]],1)</f>
        <v>L</v>
      </c>
      <c r="I102" s="3" t="str">
        <f>VLOOKUP(IF(Table5[[#This Row],[At]]="Home",Table5[[#This Row],[Opponent]],RIGHT(Table5[[#This Row],[Opponent]],LEN(Table5[[#This Row],[Opponent]])-1)),CHOOSE({1,2},[1]StandingsRAW!$J$1:$J$22,[1]StandingsRAW!$L$1:$L$22),2,FALSE)</f>
        <v>WIL</v>
      </c>
      <c r="J102" s="3">
        <f>VLOOKUP(Table5[[#This Row],[OPP]],Raw!$L$2:$S$23,7,FALSE)-Raw!$U$2</f>
        <v>3.0407975939379734</v>
      </c>
    </row>
    <row r="103" spans="1:10" x14ac:dyDescent="0.25">
      <c r="A103" t="s">
        <v>515</v>
      </c>
      <c r="B103" t="s">
        <v>201</v>
      </c>
      <c r="C103" t="s">
        <v>50</v>
      </c>
      <c r="D103" t="str">
        <f>IF(LEFT(Table5[[#This Row],[Opponent]],1)="@","Away","Home")</f>
        <v>Away</v>
      </c>
      <c r="E103" s="1">
        <f>_xlfn.NUMBERVALUE(MID(LEFT(Table5[[#This Row],[Score]],FIND("-",Table5[[#This Row],[Score]])-1),FIND(" ",Table5[[#This Row],[Score]])+1,LEN(Table5[[#This Row],[Score]])))</f>
        <v>3</v>
      </c>
      <c r="F103" s="3">
        <f>_xlfn.NUMBERVALUE(RIGHT(Table5[[#This Row],[Score]],LEN(Table5[[#This Row],[Score]])-FIND("-",Table5[[#This Row],[Score]])))</f>
        <v>4</v>
      </c>
      <c r="G103" s="3">
        <f>E103+F103</f>
        <v>7</v>
      </c>
      <c r="H103" s="3" t="str">
        <f>LEFT(Table5[[#This Row],[Score]],1)</f>
        <v>L</v>
      </c>
      <c r="I103" s="3" t="str">
        <f>VLOOKUP(IF(Table5[[#This Row],[At]]="Home",Table5[[#This Row],[Opponent]],RIGHT(Table5[[#This Row],[Opponent]],LEN(Table5[[#This Row],[Opponent]])-1)),CHOOSE({1,2},[1]StandingsRAW!$J$1:$J$22,[1]StandingsRAW!$L$1:$L$22),2,FALSE)</f>
        <v>STC</v>
      </c>
      <c r="J103" s="3">
        <f>VLOOKUP(Table5[[#This Row],[OPP]],Raw!$L$2:$S$23,7,FALSE)-Raw!$U$2</f>
        <v>2.5702093586438561</v>
      </c>
    </row>
    <row r="104" spans="1:10" x14ac:dyDescent="0.25">
      <c r="A104" t="s">
        <v>518</v>
      </c>
      <c r="B104" t="s">
        <v>201</v>
      </c>
      <c r="C104" t="s">
        <v>292</v>
      </c>
      <c r="D104" t="str">
        <f>IF(LEFT(Table5[[#This Row],[Opponent]],1)="@","Away","Home")</f>
        <v>Away</v>
      </c>
      <c r="E104" s="1">
        <f>_xlfn.NUMBERVALUE(MID(LEFT(Table5[[#This Row],[Score]],FIND("-",Table5[[#This Row],[Score]])-1),FIND(" ",Table5[[#This Row],[Score]])+1,LEN(Table5[[#This Row],[Score]])))</f>
        <v>7</v>
      </c>
      <c r="F104" s="3">
        <f>_xlfn.NUMBERVALUE(RIGHT(Table5[[#This Row],[Score]],LEN(Table5[[#This Row],[Score]])-FIND("-",Table5[[#This Row],[Score]])))</f>
        <v>8</v>
      </c>
      <c r="G104" s="3">
        <f t="shared" ref="G104:G107" si="16">E104+F104</f>
        <v>15</v>
      </c>
      <c r="H104" s="3" t="str">
        <f>LEFT(Table5[[#This Row],[Score]],1)</f>
        <v>L</v>
      </c>
      <c r="I104" s="3" t="str">
        <f>VLOOKUP(IF(Table5[[#This Row],[At]]="Home",Table5[[#This Row],[Opponent]],RIGHT(Table5[[#This Row],[Opponent]],LEN(Table5[[#This Row],[Opponent]])-1)),CHOOSE({1,2},[1]StandingsRAW!$J$1:$J$22,[1]StandingsRAW!$L$1:$L$22),2,FALSE)</f>
        <v>STC</v>
      </c>
      <c r="J104" s="3">
        <f>VLOOKUP(Table5[[#This Row],[OPP]],Raw!$L$2:$S$23,7,FALSE)-Raw!$U$2</f>
        <v>2.5702093586438561</v>
      </c>
    </row>
    <row r="105" spans="1:10" x14ac:dyDescent="0.25">
      <c r="A105" t="s">
        <v>519</v>
      </c>
      <c r="B105" t="s">
        <v>245</v>
      </c>
      <c r="C105" t="s">
        <v>254</v>
      </c>
      <c r="D105" t="str">
        <f>IF(LEFT(Table5[[#This Row],[Opponent]],1)="@","Away","Home")</f>
        <v>Home</v>
      </c>
      <c r="E105" s="1">
        <f>_xlfn.NUMBERVALUE(MID(LEFT(Table5[[#This Row],[Score]],FIND("-",Table5[[#This Row],[Score]])-1),FIND(" ",Table5[[#This Row],[Score]])+1,LEN(Table5[[#This Row],[Score]])))</f>
        <v>5</v>
      </c>
      <c r="F105" s="3">
        <f>_xlfn.NUMBERVALUE(RIGHT(Table5[[#This Row],[Score]],LEN(Table5[[#This Row],[Score]])-FIND("-",Table5[[#This Row],[Score]])))</f>
        <v>4</v>
      </c>
      <c r="G105" s="3">
        <f t="shared" si="16"/>
        <v>9</v>
      </c>
      <c r="H105" s="3" t="str">
        <f>LEFT(Table5[[#This Row],[Score]],1)</f>
        <v>W</v>
      </c>
      <c r="I105" s="3" t="str">
        <f>VLOOKUP(IF(Table5[[#This Row],[At]]="Home",Table5[[#This Row],[Opponent]],RIGHT(Table5[[#This Row],[Opponent]],LEN(Table5[[#This Row],[Opponent]])-1)),CHOOSE({1,2},[1]StandingsRAW!$J$1:$J$22,[1]StandingsRAW!$L$1:$L$22),2,FALSE)</f>
        <v>STC</v>
      </c>
      <c r="J105" s="3">
        <f>VLOOKUP(Table5[[#This Row],[OPP]],Raw!$L$2:$S$23,7,FALSE)-Raw!$U$2</f>
        <v>2.5702093586438561</v>
      </c>
    </row>
    <row r="106" spans="1:10" x14ac:dyDescent="0.25">
      <c r="A106" t="s">
        <v>520</v>
      </c>
      <c r="B106" t="s">
        <v>245</v>
      </c>
      <c r="C106" t="s">
        <v>118</v>
      </c>
      <c r="D106" t="str">
        <f>IF(LEFT(Table5[[#This Row],[Opponent]],1)="@","Away","Home")</f>
        <v>Home</v>
      </c>
      <c r="E106" s="1">
        <f>_xlfn.NUMBERVALUE(MID(LEFT(Table5[[#This Row],[Score]],FIND("-",Table5[[#This Row],[Score]])-1),FIND(" ",Table5[[#This Row],[Score]])+1,LEN(Table5[[#This Row],[Score]])))</f>
        <v>9</v>
      </c>
      <c r="F106" s="3">
        <f>_xlfn.NUMBERVALUE(RIGHT(Table5[[#This Row],[Score]],LEN(Table5[[#This Row],[Score]])-FIND("-",Table5[[#This Row],[Score]])))</f>
        <v>8</v>
      </c>
      <c r="G106" s="3">
        <f t="shared" si="16"/>
        <v>17</v>
      </c>
      <c r="H106" s="3" t="str">
        <f>LEFT(Table5[[#This Row],[Score]],1)</f>
        <v>W</v>
      </c>
      <c r="I106" s="3" t="str">
        <f>VLOOKUP(IF(Table5[[#This Row],[At]]="Home",Table5[[#This Row],[Opponent]],RIGHT(Table5[[#This Row],[Opponent]],LEN(Table5[[#This Row],[Opponent]])-1)),CHOOSE({1,2},[1]StandingsRAW!$J$1:$J$22,[1]StandingsRAW!$L$1:$L$22),2,FALSE)</f>
        <v>STC</v>
      </c>
      <c r="J106" s="3">
        <f>VLOOKUP(Table5[[#This Row],[OPP]],Raw!$L$2:$S$23,7,FALSE)-Raw!$U$2</f>
        <v>2.5702093586438561</v>
      </c>
    </row>
    <row r="107" spans="1:10" x14ac:dyDescent="0.25">
      <c r="A107" t="s">
        <v>521</v>
      </c>
      <c r="B107" t="s">
        <v>250</v>
      </c>
      <c r="C107" t="s">
        <v>270</v>
      </c>
      <c r="D107" t="str">
        <f>IF(LEFT(Table5[[#This Row],[Opponent]],1)="@","Away","Home")</f>
        <v>Home</v>
      </c>
      <c r="E107" s="1">
        <f>_xlfn.NUMBERVALUE(MID(LEFT(Table5[[#This Row],[Score]],FIND("-",Table5[[#This Row],[Score]])-1),FIND(" ",Table5[[#This Row],[Score]])+1,LEN(Table5[[#This Row],[Score]])))</f>
        <v>4</v>
      </c>
      <c r="F107" s="3">
        <f>_xlfn.NUMBERVALUE(RIGHT(Table5[[#This Row],[Score]],LEN(Table5[[#This Row],[Score]])-FIND("-",Table5[[#This Row],[Score]])))</f>
        <v>3</v>
      </c>
      <c r="G107" s="3">
        <f t="shared" si="16"/>
        <v>7</v>
      </c>
      <c r="H107" s="3" t="str">
        <f>LEFT(Table5[[#This Row],[Score]],1)</f>
        <v>W</v>
      </c>
      <c r="I107" s="3" t="str">
        <f>VLOOKUP(IF(Table5[[#This Row],[At]]="Home",Table5[[#This Row],[Opponent]],RIGHT(Table5[[#This Row],[Opponent]],LEN(Table5[[#This Row],[Opponent]])-1)),CHOOSE({1,2},[1]StandingsRAW!$J$1:$J$22,[1]StandingsRAW!$L$1:$L$22),2,FALSE)</f>
        <v>MAN</v>
      </c>
      <c r="J107" s="3">
        <f>VLOOKUP(Table5[[#This Row],[OPP]],Raw!$L$2:$S$23,7,FALSE)-Raw!$U$2</f>
        <v>0.73197406452620895</v>
      </c>
    </row>
    <row r="108" spans="1:10" x14ac:dyDescent="0.25">
      <c r="A108" t="s">
        <v>524</v>
      </c>
      <c r="B108" t="s">
        <v>250</v>
      </c>
      <c r="C108" t="s">
        <v>128</v>
      </c>
      <c r="D108" t="str">
        <f>IF(LEFT(Table5[[#This Row],[Opponent]],1)="@","Away","Home")</f>
        <v>Home</v>
      </c>
      <c r="E108" s="1">
        <f>_xlfn.NUMBERVALUE(MID(LEFT(Table5[[#This Row],[Score]],FIND("-",Table5[[#This Row],[Score]])-1),FIND(" ",Table5[[#This Row],[Score]])+1,LEN(Table5[[#This Row],[Score]])))</f>
        <v>6</v>
      </c>
      <c r="F108" s="3">
        <f>_xlfn.NUMBERVALUE(RIGHT(Table5[[#This Row],[Score]],LEN(Table5[[#This Row],[Score]])-FIND("-",Table5[[#This Row],[Score]])))</f>
        <v>5</v>
      </c>
      <c r="G108" s="3">
        <f t="shared" ref="G108:G114" si="17">E108+F108</f>
        <v>11</v>
      </c>
      <c r="H108" s="3" t="str">
        <f>LEFT(Table5[[#This Row],[Score]],1)</f>
        <v>W</v>
      </c>
      <c r="I108" s="3" t="str">
        <f>VLOOKUP(IF(Table5[[#This Row],[At]]="Home",Table5[[#This Row],[Opponent]],RIGHT(Table5[[#This Row],[Opponent]],LEN(Table5[[#This Row],[Opponent]])-1)),CHOOSE({1,2},[1]StandingsRAW!$J$1:$J$22,[1]StandingsRAW!$L$1:$L$22),2,FALSE)</f>
        <v>MAN</v>
      </c>
      <c r="J108" s="3">
        <f>VLOOKUP(Table5[[#This Row],[OPP]],Raw!$L$2:$S$23,7,FALSE)-Raw!$U$2</f>
        <v>0.73197406452620895</v>
      </c>
    </row>
    <row r="109" spans="1:10" x14ac:dyDescent="0.25">
      <c r="A109" t="s">
        <v>525</v>
      </c>
      <c r="B109" t="s">
        <v>203</v>
      </c>
      <c r="C109" t="s">
        <v>318</v>
      </c>
      <c r="D109" t="str">
        <f>IF(LEFT(Table5[[#This Row],[Opponent]],1)="@","Away","Home")</f>
        <v>Away</v>
      </c>
      <c r="E109" s="1">
        <f>_xlfn.NUMBERVALUE(MID(LEFT(Table5[[#This Row],[Score]],FIND("-",Table5[[#This Row],[Score]])-1),FIND(" ",Table5[[#This Row],[Score]])+1,LEN(Table5[[#This Row],[Score]])))</f>
        <v>11</v>
      </c>
      <c r="F109" s="3">
        <f>_xlfn.NUMBERVALUE(RIGHT(Table5[[#This Row],[Score]],LEN(Table5[[#This Row],[Score]])-FIND("-",Table5[[#This Row],[Score]])))</f>
        <v>4</v>
      </c>
      <c r="G109" s="3">
        <f t="shared" si="17"/>
        <v>15</v>
      </c>
      <c r="H109" s="3" t="str">
        <f>LEFT(Table5[[#This Row],[Score]],1)</f>
        <v>W</v>
      </c>
      <c r="I109" s="3" t="str">
        <f>VLOOKUP(IF(Table5[[#This Row],[At]]="Home",Table5[[#This Row],[Opponent]],RIGHT(Table5[[#This Row],[Opponent]],LEN(Table5[[#This Row],[Opponent]])-1)),CHOOSE({1,2},[1]StandingsRAW!$J$1:$J$22,[1]StandingsRAW!$L$1:$L$22),2,FALSE)</f>
        <v>BIS</v>
      </c>
      <c r="J109" s="3">
        <f>VLOOKUP(Table5[[#This Row],[OPP]],Raw!$L$2:$S$23,7,FALSE)-Raw!$U$2</f>
        <v>-1.915084759003203</v>
      </c>
    </row>
    <row r="110" spans="1:10" x14ac:dyDescent="0.25">
      <c r="A110" t="s">
        <v>526</v>
      </c>
      <c r="B110" t="s">
        <v>203</v>
      </c>
      <c r="C110" t="s">
        <v>353</v>
      </c>
      <c r="D110" t="str">
        <f>IF(LEFT(Table5[[#This Row],[Opponent]],1)="@","Away","Home")</f>
        <v>Away</v>
      </c>
      <c r="E110" s="1">
        <f>_xlfn.NUMBERVALUE(MID(LEFT(Table5[[#This Row],[Score]],FIND("-",Table5[[#This Row],[Score]])-1),FIND(" ",Table5[[#This Row],[Score]])+1,LEN(Table5[[#This Row],[Score]])))</f>
        <v>17</v>
      </c>
      <c r="F110" s="3">
        <f>_xlfn.NUMBERVALUE(RIGHT(Table5[[#This Row],[Score]],LEN(Table5[[#This Row],[Score]])-FIND("-",Table5[[#This Row],[Score]])))</f>
        <v>5</v>
      </c>
      <c r="G110" s="3">
        <f t="shared" si="17"/>
        <v>22</v>
      </c>
      <c r="H110" s="3" t="str">
        <f>LEFT(Table5[[#This Row],[Score]],1)</f>
        <v>W</v>
      </c>
      <c r="I110" s="3" t="str">
        <f>VLOOKUP(IF(Table5[[#This Row],[At]]="Home",Table5[[#This Row],[Opponent]],RIGHT(Table5[[#This Row],[Opponent]],LEN(Table5[[#This Row],[Opponent]])-1)),CHOOSE({1,2},[1]StandingsRAW!$J$1:$J$22,[1]StandingsRAW!$L$1:$L$22),2,FALSE)</f>
        <v>BIS</v>
      </c>
      <c r="J110" s="3">
        <f>VLOOKUP(Table5[[#This Row],[OPP]],Raw!$L$2:$S$23,7,FALSE)-Raw!$U$2</f>
        <v>-1.915084759003203</v>
      </c>
    </row>
    <row r="111" spans="1:10" x14ac:dyDescent="0.25">
      <c r="A111" t="s">
        <v>527</v>
      </c>
      <c r="B111" t="s">
        <v>203</v>
      </c>
      <c r="C111" t="s">
        <v>336</v>
      </c>
      <c r="D111" t="str">
        <f>IF(LEFT(Table5[[#This Row],[Opponent]],1)="@","Away","Home")</f>
        <v>Away</v>
      </c>
      <c r="E111" s="1">
        <f>_xlfn.NUMBERVALUE(MID(LEFT(Table5[[#This Row],[Score]],FIND("-",Table5[[#This Row],[Score]])-1),FIND(" ",Table5[[#This Row],[Score]])+1,LEN(Table5[[#This Row],[Score]])))</f>
        <v>8</v>
      </c>
      <c r="F111" s="3">
        <f>_xlfn.NUMBERVALUE(RIGHT(Table5[[#This Row],[Score]],LEN(Table5[[#This Row],[Score]])-FIND("-",Table5[[#This Row],[Score]])))</f>
        <v>4</v>
      </c>
      <c r="G111" s="3">
        <f t="shared" si="17"/>
        <v>12</v>
      </c>
      <c r="H111" s="3" t="str">
        <f>LEFT(Table5[[#This Row],[Score]],1)</f>
        <v>W</v>
      </c>
      <c r="I111" s="3" t="str">
        <f>VLOOKUP(IF(Table5[[#This Row],[At]]="Home",Table5[[#This Row],[Opponent]],RIGHT(Table5[[#This Row],[Opponent]],LEN(Table5[[#This Row],[Opponent]])-1)),CHOOSE({1,2},[1]StandingsRAW!$J$1:$J$22,[1]StandingsRAW!$L$1:$L$22),2,FALSE)</f>
        <v>BIS</v>
      </c>
      <c r="J111" s="3">
        <f>VLOOKUP(Table5[[#This Row],[OPP]],Raw!$L$2:$S$23,7,FALSE)-Raw!$U$2</f>
        <v>-1.915084759003203</v>
      </c>
    </row>
    <row r="112" spans="1:10" x14ac:dyDescent="0.25">
      <c r="A112" t="s">
        <v>528</v>
      </c>
      <c r="B112" t="s">
        <v>203</v>
      </c>
      <c r="C112" t="s">
        <v>296</v>
      </c>
      <c r="D112" t="str">
        <f>IF(LEFT(Table5[[#This Row],[Opponent]],1)="@","Away","Home")</f>
        <v>Away</v>
      </c>
      <c r="E112" s="1">
        <f>_xlfn.NUMBERVALUE(MID(LEFT(Table5[[#This Row],[Score]],FIND("-",Table5[[#This Row],[Score]])-1),FIND(" ",Table5[[#This Row],[Score]])+1,LEN(Table5[[#This Row],[Score]])))</f>
        <v>3</v>
      </c>
      <c r="F112" s="3">
        <f>_xlfn.NUMBERVALUE(RIGHT(Table5[[#This Row],[Score]],LEN(Table5[[#This Row],[Score]])-FIND("-",Table5[[#This Row],[Score]])))</f>
        <v>10</v>
      </c>
      <c r="G112" s="3">
        <f t="shared" si="17"/>
        <v>13</v>
      </c>
      <c r="H112" s="3" t="str">
        <f>LEFT(Table5[[#This Row],[Score]],1)</f>
        <v>L</v>
      </c>
      <c r="I112" s="3" t="str">
        <f>VLOOKUP(IF(Table5[[#This Row],[At]]="Home",Table5[[#This Row],[Opponent]],RIGHT(Table5[[#This Row],[Opponent]],LEN(Table5[[#This Row],[Opponent]])-1)),CHOOSE({1,2},[1]StandingsRAW!$J$1:$J$22,[1]StandingsRAW!$L$1:$L$22),2,FALSE)</f>
        <v>BIS</v>
      </c>
      <c r="J112" s="3">
        <f>VLOOKUP(Table5[[#This Row],[OPP]],Raw!$L$2:$S$23,7,FALSE)-Raw!$U$2</f>
        <v>-1.915084759003203</v>
      </c>
    </row>
    <row r="113" spans="1:10" x14ac:dyDescent="0.25">
      <c r="A113" t="s">
        <v>529</v>
      </c>
      <c r="B113" t="s">
        <v>225</v>
      </c>
      <c r="C113" t="s">
        <v>35</v>
      </c>
      <c r="D113" t="str">
        <f>IF(LEFT(Table5[[#This Row],[Opponent]],1)="@","Away","Home")</f>
        <v>Home</v>
      </c>
      <c r="E113" s="1">
        <f>_xlfn.NUMBERVALUE(MID(LEFT(Table5[[#This Row],[Score]],FIND("-",Table5[[#This Row],[Score]])-1),FIND(" ",Table5[[#This Row],[Score]])+1,LEN(Table5[[#This Row],[Score]])))</f>
        <v>4</v>
      </c>
      <c r="F113" s="3">
        <f>_xlfn.NUMBERVALUE(RIGHT(Table5[[#This Row],[Score]],LEN(Table5[[#This Row],[Score]])-FIND("-",Table5[[#This Row],[Score]])))</f>
        <v>1</v>
      </c>
      <c r="G113" s="3">
        <f t="shared" si="17"/>
        <v>5</v>
      </c>
      <c r="H113" s="3" t="str">
        <f>LEFT(Table5[[#This Row],[Score]],1)</f>
        <v>W</v>
      </c>
      <c r="I113" s="3" t="str">
        <f>VLOOKUP(IF(Table5[[#This Row],[At]]="Home",Table5[[#This Row],[Opponent]],RIGHT(Table5[[#This Row],[Opponent]],LEN(Table5[[#This Row],[Opponent]])-1)),CHOOSE({1,2},[1]StandingsRAW!$J$1:$J$22,[1]StandingsRAW!$L$1:$L$22),2,FALSE)</f>
        <v>DUL</v>
      </c>
      <c r="J113" s="3">
        <f>VLOOKUP(Table5[[#This Row],[OPP]],Raw!$L$2:$S$23,7,FALSE)-Raw!$U$2</f>
        <v>-0.37645438147905891</v>
      </c>
    </row>
    <row r="114" spans="1:10" x14ac:dyDescent="0.25">
      <c r="A114" t="s">
        <v>530</v>
      </c>
      <c r="B114" t="s">
        <v>225</v>
      </c>
      <c r="C114" t="s">
        <v>15</v>
      </c>
      <c r="D114" t="str">
        <f>IF(LEFT(Table5[[#This Row],[Opponent]],1)="@","Away","Home")</f>
        <v>Home</v>
      </c>
      <c r="E114" s="1">
        <f>_xlfn.NUMBERVALUE(MID(LEFT(Table5[[#This Row],[Score]],FIND("-",Table5[[#This Row],[Score]])-1),FIND(" ",Table5[[#This Row],[Score]])+1,LEN(Table5[[#This Row],[Score]])))</f>
        <v>3</v>
      </c>
      <c r="F114" s="3">
        <f>_xlfn.NUMBERVALUE(RIGHT(Table5[[#This Row],[Score]],LEN(Table5[[#This Row],[Score]])-FIND("-",Table5[[#This Row],[Score]])))</f>
        <v>1</v>
      </c>
      <c r="G114" s="3">
        <f t="shared" si="17"/>
        <v>4</v>
      </c>
      <c r="H114" s="3" t="str">
        <f>LEFT(Table5[[#This Row],[Score]],1)</f>
        <v>W</v>
      </c>
      <c r="I114" s="3" t="str">
        <f>VLOOKUP(IF(Table5[[#This Row],[At]]="Home",Table5[[#This Row],[Opponent]],RIGHT(Table5[[#This Row],[Opponent]],LEN(Table5[[#This Row],[Opponent]])-1)),CHOOSE({1,2},[1]StandingsRAW!$J$1:$J$22,[1]StandingsRAW!$L$1:$L$22),2,FALSE)</f>
        <v>DUL</v>
      </c>
      <c r="J114" s="3">
        <f>VLOOKUP(Table5[[#This Row],[OPP]],Raw!$L$2:$S$23,7,FALSE)-Raw!$U$2</f>
        <v>-0.37645438147905891</v>
      </c>
    </row>
    <row r="115" spans="1:10" x14ac:dyDescent="0.25">
      <c r="A115" t="s">
        <v>541</v>
      </c>
      <c r="B115" t="s">
        <v>245</v>
      </c>
      <c r="C115" t="s">
        <v>295</v>
      </c>
      <c r="D115" t="str">
        <f>IF(LEFT(Table5[[#This Row],[Opponent]],1)="@","Away","Home")</f>
        <v>Home</v>
      </c>
      <c r="E115" s="1">
        <f>_xlfn.NUMBERVALUE(MID(LEFT(Table5[[#This Row],[Score]],FIND("-",Table5[[#This Row],[Score]])-1),FIND(" ",Table5[[#This Row],[Score]])+1,LEN(Table5[[#This Row],[Score]])))</f>
        <v>1</v>
      </c>
      <c r="F115" s="3">
        <f>_xlfn.NUMBERVALUE(RIGHT(Table5[[#This Row],[Score]],LEN(Table5[[#This Row],[Score]])-FIND("-",Table5[[#This Row],[Score]])))</f>
        <v>0</v>
      </c>
      <c r="G115" s="3">
        <f>E115+F115</f>
        <v>1</v>
      </c>
      <c r="H115" s="3" t="str">
        <f>LEFT(Table5[[#This Row],[Score]],1)</f>
        <v>W</v>
      </c>
      <c r="I115" s="3" t="str">
        <f>VLOOKUP(IF(Table5[[#This Row],[At]]="Home",Table5[[#This Row],[Opponent]],RIGHT(Table5[[#This Row],[Opponent]],LEN(Table5[[#This Row],[Opponent]])-1)),CHOOSE({1,2},[1]StandingsRAW!$J$1:$J$22,[1]StandingsRAW!$L$1:$L$22),2,FALSE)</f>
        <v>STC</v>
      </c>
      <c r="J115" s="3">
        <f>VLOOKUP(Table5[[#This Row],[OPP]],Raw!$L$2:$S$23,7,FALSE)-Raw!$U$2</f>
        <v>2.5702093586438561</v>
      </c>
    </row>
    <row r="116" spans="1:10" x14ac:dyDescent="0.25">
      <c r="A116" t="s">
        <v>542</v>
      </c>
      <c r="B116" t="s">
        <v>245</v>
      </c>
      <c r="C116" t="s">
        <v>251</v>
      </c>
      <c r="D116" t="str">
        <f>IF(LEFT(Table5[[#This Row],[Opponent]],1)="@","Away","Home")</f>
        <v>Home</v>
      </c>
      <c r="E116" s="1">
        <f>_xlfn.NUMBERVALUE(MID(LEFT(Table5[[#This Row],[Score]],FIND("-",Table5[[#This Row],[Score]])-1),FIND(" ",Table5[[#This Row],[Score]])+1,LEN(Table5[[#This Row],[Score]])))</f>
        <v>2</v>
      </c>
      <c r="F116" s="3">
        <f>_xlfn.NUMBERVALUE(RIGHT(Table5[[#This Row],[Score]],LEN(Table5[[#This Row],[Score]])-FIND("-",Table5[[#This Row],[Score]])))</f>
        <v>7</v>
      </c>
      <c r="G116" s="3">
        <f>E116+F116</f>
        <v>9</v>
      </c>
      <c r="H116" s="3" t="str">
        <f>LEFT(Table5[[#This Row],[Score]],1)</f>
        <v>L</v>
      </c>
      <c r="I116" s="3" t="str">
        <f>VLOOKUP(IF(Table5[[#This Row],[At]]="Home",Table5[[#This Row],[Opponent]],RIGHT(Table5[[#This Row],[Opponent]],LEN(Table5[[#This Row],[Opponent]])-1)),CHOOSE({1,2},[1]StandingsRAW!$J$1:$J$22,[1]StandingsRAW!$L$1:$L$22),2,FALSE)</f>
        <v>STC</v>
      </c>
      <c r="J116" s="3">
        <f>VLOOKUP(Table5[[#This Row],[OPP]],Raw!$L$2:$S$23,7,FALSE)-Raw!$U$2</f>
        <v>2.5702093586438561</v>
      </c>
    </row>
    <row r="117" spans="1:10" x14ac:dyDescent="0.25">
      <c r="A117" t="s">
        <v>543</v>
      </c>
      <c r="B117" t="s">
        <v>192</v>
      </c>
      <c r="C117" t="s">
        <v>6</v>
      </c>
      <c r="D117" t="str">
        <f>IF(LEFT(Table5[[#This Row],[Opponent]],1)="@","Away","Home")</f>
        <v>Away</v>
      </c>
      <c r="E117" s="1">
        <f>_xlfn.NUMBERVALUE(MID(LEFT(Table5[[#This Row],[Score]],FIND("-",Table5[[#This Row],[Score]])-1),FIND(" ",Table5[[#This Row],[Score]])+1,LEN(Table5[[#This Row],[Score]])))</f>
        <v>2</v>
      </c>
      <c r="F117" s="3">
        <f>_xlfn.NUMBERVALUE(RIGHT(Table5[[#This Row],[Score]],LEN(Table5[[#This Row],[Score]])-FIND("-",Table5[[#This Row],[Score]])))</f>
        <v>6</v>
      </c>
      <c r="G117" s="3">
        <f>E117+F117</f>
        <v>8</v>
      </c>
      <c r="H117" s="3" t="str">
        <f>LEFT(Table5[[#This Row],[Score]],1)</f>
        <v>L</v>
      </c>
      <c r="I117" s="3" t="str">
        <f>VLOOKUP(IF(Table5[[#This Row],[At]]="Home",Table5[[#This Row],[Opponent]],RIGHT(Table5[[#This Row],[Opponent]],LEN(Table5[[#This Row],[Opponent]])-1)),CHOOSE({1,2},[1]StandingsRAW!$J$1:$J$22,[1]StandingsRAW!$L$1:$L$22),2,FALSE)</f>
        <v>WAT</v>
      </c>
      <c r="J117" s="3">
        <f>VLOOKUP(Table5[[#This Row],[OPP]],Raw!$L$2:$S$23,7,FALSE)-Raw!$U$2</f>
        <v>-3.3415553472384971</v>
      </c>
    </row>
    <row r="118" spans="1:10" x14ac:dyDescent="0.25">
      <c r="A118" t="s">
        <v>546</v>
      </c>
      <c r="B118" t="s">
        <v>192</v>
      </c>
      <c r="C118" t="s">
        <v>547</v>
      </c>
      <c r="D118" t="str">
        <f>IF(LEFT(Table5[[#This Row],[Opponent]],1)="@","Away","Home")</f>
        <v>Away</v>
      </c>
      <c r="E118" s="1">
        <f>_xlfn.NUMBERVALUE(MID(LEFT(Table5[[#This Row],[Score]],FIND("-",Table5[[#This Row],[Score]])-1),FIND(" ",Table5[[#This Row],[Score]])+1,LEN(Table5[[#This Row],[Score]])))</f>
        <v>14</v>
      </c>
      <c r="F118" s="3">
        <f>_xlfn.NUMBERVALUE(RIGHT(Table5[[#This Row],[Score]],LEN(Table5[[#This Row],[Score]])-FIND("-",Table5[[#This Row],[Score]])))</f>
        <v>9</v>
      </c>
      <c r="G118" s="3">
        <f>E118+F118</f>
        <v>23</v>
      </c>
      <c r="H118" s="3" t="str">
        <f>LEFT(Table5[[#This Row],[Score]],1)</f>
        <v>W</v>
      </c>
      <c r="I118" s="3" t="str">
        <f>VLOOKUP(IF(Table5[[#This Row],[At]]="Home",Table5[[#This Row],[Opponent]],RIGHT(Table5[[#This Row],[Opponent]],LEN(Table5[[#This Row],[Opponent]])-1)),CHOOSE({1,2},[1]StandingsRAW!$J$1:$J$22,[1]StandingsRAW!$L$1:$L$22),2,FALSE)</f>
        <v>WAT</v>
      </c>
      <c r="J118" s="3">
        <f>VLOOKUP(Table5[[#This Row],[OPP]],Raw!$L$2:$S$23,7,FALSE)-Raw!$U$2</f>
        <v>-3.3415553472384971</v>
      </c>
    </row>
    <row r="119" spans="1:10" x14ac:dyDescent="0.25">
      <c r="A119" t="s">
        <v>549</v>
      </c>
      <c r="B119" t="s">
        <v>231</v>
      </c>
      <c r="C119" t="s">
        <v>270</v>
      </c>
      <c r="D119" t="str">
        <f>IF(LEFT(Table5[[#This Row],[Opponent]],1)="@","Away","Home")</f>
        <v>Home</v>
      </c>
      <c r="E119" s="1">
        <f>_xlfn.NUMBERVALUE(MID(LEFT(Table5[[#This Row],[Score]],FIND("-",Table5[[#This Row],[Score]])-1),FIND(" ",Table5[[#This Row],[Score]])+1,LEN(Table5[[#This Row],[Score]])))</f>
        <v>4</v>
      </c>
      <c r="F119" s="3">
        <f>_xlfn.NUMBERVALUE(RIGHT(Table5[[#This Row],[Score]],LEN(Table5[[#This Row],[Score]])-FIND("-",Table5[[#This Row],[Score]])))</f>
        <v>3</v>
      </c>
      <c r="G119" s="3">
        <f t="shared" ref="G119:G122" si="18">E119+F119</f>
        <v>7</v>
      </c>
      <c r="H119" s="3" t="str">
        <f>LEFT(Table5[[#This Row],[Score]],1)</f>
        <v>W</v>
      </c>
      <c r="I119" s="3" t="str">
        <f>VLOOKUP(IF(Table5[[#This Row],[At]]="Home",Table5[[#This Row],[Opponent]],RIGHT(Table5[[#This Row],[Opponent]],LEN(Table5[[#This Row],[Opponent]])-1)),CHOOSE({1,2},[1]StandingsRAW!$J$1:$J$22,[1]StandingsRAW!$L$1:$L$22),2,FALSE)</f>
        <v>LAC</v>
      </c>
      <c r="J119" s="3">
        <f>VLOOKUP(Table5[[#This Row],[OPP]],Raw!$L$2:$S$23,7,FALSE)-Raw!$U$2</f>
        <v>-0.25332005312084993</v>
      </c>
    </row>
    <row r="120" spans="1:10" x14ac:dyDescent="0.25">
      <c r="A120" t="s">
        <v>550</v>
      </c>
      <c r="B120" t="s">
        <v>190</v>
      </c>
      <c r="C120" t="s">
        <v>398</v>
      </c>
      <c r="D120" t="str">
        <f>IF(LEFT(Table5[[#This Row],[Opponent]],1)="@","Away","Home")</f>
        <v>Away</v>
      </c>
      <c r="E120" s="1">
        <f>_xlfn.NUMBERVALUE(MID(LEFT(Table5[[#This Row],[Score]],FIND("-",Table5[[#This Row],[Score]])-1),FIND(" ",Table5[[#This Row],[Score]])+1,LEN(Table5[[#This Row],[Score]])))</f>
        <v>5</v>
      </c>
      <c r="F120" s="3">
        <f>_xlfn.NUMBERVALUE(RIGHT(Table5[[#This Row],[Score]],LEN(Table5[[#This Row],[Score]])-FIND("-",Table5[[#This Row],[Score]])))</f>
        <v>14</v>
      </c>
      <c r="G120" s="3">
        <f t="shared" si="18"/>
        <v>19</v>
      </c>
      <c r="H120" s="3" t="str">
        <f>LEFT(Table5[[#This Row],[Score]],1)</f>
        <v>L</v>
      </c>
      <c r="I120" s="3" t="str">
        <f>VLOOKUP(IF(Table5[[#This Row],[At]]="Home",Table5[[#This Row],[Opponent]],RIGHT(Table5[[#This Row],[Opponent]],LEN(Table5[[#This Row],[Opponent]])-1)),CHOOSE({1,2},[1]StandingsRAW!$J$1:$J$22,[1]StandingsRAW!$L$1:$L$22),2,FALSE)</f>
        <v>LAC</v>
      </c>
      <c r="J120" s="3">
        <f>VLOOKUP(Table5[[#This Row],[OPP]],Raw!$L$2:$S$23,7,FALSE)-Raw!$U$2</f>
        <v>-0.25332005312084993</v>
      </c>
    </row>
    <row r="121" spans="1:10" x14ac:dyDescent="0.25">
      <c r="A121" t="s">
        <v>551</v>
      </c>
      <c r="B121" t="s">
        <v>263</v>
      </c>
      <c r="C121" t="s">
        <v>270</v>
      </c>
      <c r="D121" t="str">
        <f>IF(LEFT(Table5[[#This Row],[Opponent]],1)="@","Away","Home")</f>
        <v>Home</v>
      </c>
      <c r="E121" s="1">
        <f>_xlfn.NUMBERVALUE(MID(LEFT(Table5[[#This Row],[Score]],FIND("-",Table5[[#This Row],[Score]])-1),FIND(" ",Table5[[#This Row],[Score]])+1,LEN(Table5[[#This Row],[Score]])))</f>
        <v>4</v>
      </c>
      <c r="F121" s="3">
        <f>_xlfn.NUMBERVALUE(RIGHT(Table5[[#This Row],[Score]],LEN(Table5[[#This Row],[Score]])-FIND("-",Table5[[#This Row],[Score]])))</f>
        <v>3</v>
      </c>
      <c r="G121" s="3">
        <f t="shared" si="18"/>
        <v>7</v>
      </c>
      <c r="H121" s="3" t="str">
        <f>LEFT(Table5[[#This Row],[Score]],1)</f>
        <v>W</v>
      </c>
      <c r="I121" s="3" t="str">
        <f>VLOOKUP(IF(Table5[[#This Row],[At]]="Home",Table5[[#This Row],[Opponent]],RIGHT(Table5[[#This Row],[Opponent]],LEN(Table5[[#This Row],[Opponent]])-1)),CHOOSE({1,2},[1]StandingsRAW!$J$1:$J$22,[1]StandingsRAW!$L$1:$L$22),2,FALSE)</f>
        <v>ROC</v>
      </c>
      <c r="J121" s="3">
        <f>VLOOKUP(Table5[[#This Row],[OPP]],Raw!$L$2:$S$23,7,FALSE)-Raw!$U$2</f>
        <v>-0.20920240606202639</v>
      </c>
    </row>
    <row r="122" spans="1:10" x14ac:dyDescent="0.25">
      <c r="A122" t="s">
        <v>552</v>
      </c>
      <c r="B122" t="s">
        <v>210</v>
      </c>
      <c r="C122" t="s">
        <v>352</v>
      </c>
      <c r="D122" t="str">
        <f>IF(LEFT(Table5[[#This Row],[Opponent]],1)="@","Away","Home")</f>
        <v>Away</v>
      </c>
      <c r="E122" s="1">
        <f>_xlfn.NUMBERVALUE(MID(LEFT(Table5[[#This Row],[Score]],FIND("-",Table5[[#This Row],[Score]])-1),FIND(" ",Table5[[#This Row],[Score]])+1,LEN(Table5[[#This Row],[Score]])))</f>
        <v>5</v>
      </c>
      <c r="F122" s="3">
        <f>_xlfn.NUMBERVALUE(RIGHT(Table5[[#This Row],[Score]],LEN(Table5[[#This Row],[Score]])-FIND("-",Table5[[#This Row],[Score]])))</f>
        <v>13</v>
      </c>
      <c r="G122" s="3">
        <f t="shared" si="18"/>
        <v>18</v>
      </c>
      <c r="H122" s="3" t="str">
        <f>LEFT(Table5[[#This Row],[Score]],1)</f>
        <v>L</v>
      </c>
      <c r="I122" s="3" t="str">
        <f>VLOOKUP(IF(Table5[[#This Row],[At]]="Home",Table5[[#This Row],[Opponent]],RIGHT(Table5[[#This Row],[Opponent]],LEN(Table5[[#This Row],[Opponent]])-1)),CHOOSE({1,2},[1]StandingsRAW!$J$1:$J$22,[1]StandingsRAW!$L$1:$L$22),2,FALSE)</f>
        <v>ROC</v>
      </c>
      <c r="J122" s="3">
        <f>VLOOKUP(Table5[[#This Row],[OPP]],Raw!$L$2:$S$23,7,FALSE)-Raw!$U$2</f>
        <v>-0.20920240606202639</v>
      </c>
    </row>
    <row r="123" spans="1:10" x14ac:dyDescent="0.25">
      <c r="A123" t="s">
        <v>558</v>
      </c>
      <c r="B123" t="s">
        <v>198</v>
      </c>
      <c r="C123" t="s">
        <v>191</v>
      </c>
      <c r="D123" t="str">
        <f>IF(LEFT(Table5[[#This Row],[Opponent]],1)="@","Away","Home")</f>
        <v>Away</v>
      </c>
      <c r="E123" s="1">
        <f>_xlfn.NUMBERVALUE(MID(LEFT(Table5[[#This Row],[Score]],FIND("-",Table5[[#This Row],[Score]])-1),FIND(" ",Table5[[#This Row],[Score]])+1,LEN(Table5[[#This Row],[Score]])))</f>
        <v>12</v>
      </c>
      <c r="F123" s="3">
        <f>_xlfn.NUMBERVALUE(RIGHT(Table5[[#This Row],[Score]],LEN(Table5[[#This Row],[Score]])-FIND("-",Table5[[#This Row],[Score]])))</f>
        <v>4</v>
      </c>
      <c r="G123" s="3">
        <f t="shared" ref="G123:G124" si="19">E123+F123</f>
        <v>16</v>
      </c>
      <c r="H123" s="3" t="str">
        <f>LEFT(Table5[[#This Row],[Score]],1)</f>
        <v>W</v>
      </c>
      <c r="I123" s="3" t="str">
        <f>VLOOKUP(IF(Table5[[#This Row],[At]]="Home",Table5[[#This Row],[Opponent]],RIGHT(Table5[[#This Row],[Opponent]],LEN(Table5[[#This Row],[Opponent]])-1)),CHOOSE({1,2},[1]StandingsRAW!$J$1:$J$22,[1]StandingsRAW!$L$1:$L$22),2,FALSE)</f>
        <v>DUL</v>
      </c>
      <c r="J123" s="3">
        <f>VLOOKUP(Table5[[#This Row],[OPP]],Raw!$L$2:$S$23,7,FALSE)-Raw!$U$2</f>
        <v>-0.37645438147905891</v>
      </c>
    </row>
    <row r="124" spans="1:10" x14ac:dyDescent="0.25">
      <c r="A124" t="s">
        <v>558</v>
      </c>
      <c r="B124" t="s">
        <v>198</v>
      </c>
      <c r="C124" t="s">
        <v>347</v>
      </c>
      <c r="D124" t="str">
        <f>IF(LEFT(Table5[[#This Row],[Opponent]],1)="@","Away","Home")</f>
        <v>Away</v>
      </c>
      <c r="E124" s="1">
        <f>_xlfn.NUMBERVALUE(MID(LEFT(Table5[[#This Row],[Score]],FIND("-",Table5[[#This Row],[Score]])-1),FIND(" ",Table5[[#This Row],[Score]])+1,LEN(Table5[[#This Row],[Score]])))</f>
        <v>9</v>
      </c>
      <c r="F124" s="3">
        <f>_xlfn.NUMBERVALUE(RIGHT(Table5[[#This Row],[Score]],LEN(Table5[[#This Row],[Score]])-FIND("-",Table5[[#This Row],[Score]])))</f>
        <v>5</v>
      </c>
      <c r="G124" s="3">
        <f t="shared" si="19"/>
        <v>14</v>
      </c>
      <c r="H124" s="3" t="str">
        <f>LEFT(Table5[[#This Row],[Score]],1)</f>
        <v>W</v>
      </c>
      <c r="I124" s="3" t="str">
        <f>VLOOKUP(IF(Table5[[#This Row],[At]]="Home",Table5[[#This Row],[Opponent]],RIGHT(Table5[[#This Row],[Opponent]],LEN(Table5[[#This Row],[Opponent]])-1)),CHOOSE({1,2},[1]StandingsRAW!$J$1:$J$22,[1]StandingsRAW!$L$1:$L$22),2,FALSE)</f>
        <v>DUL</v>
      </c>
      <c r="J124" s="3">
        <f>VLOOKUP(Table5[[#This Row],[OPP]],Raw!$L$2:$S$23,7,FALSE)-Raw!$U$2</f>
        <v>-0.37645438147905891</v>
      </c>
    </row>
    <row r="125" spans="1:10" x14ac:dyDescent="0.25">
      <c r="A125" t="s">
        <v>563</v>
      </c>
      <c r="B125" t="s">
        <v>222</v>
      </c>
      <c r="C125" t="s">
        <v>230</v>
      </c>
      <c r="D125" t="str">
        <f>IF(LEFT(Table5[[#This Row],[Opponent]],1)="@","Away","Home")</f>
        <v>Home</v>
      </c>
      <c r="E125" s="1">
        <f>_xlfn.NUMBERVALUE(MID(LEFT(Table5[[#This Row],[Score]],FIND("-",Table5[[#This Row],[Score]])-1),FIND(" ",Table5[[#This Row],[Score]])+1,LEN(Table5[[#This Row],[Score]])))</f>
        <v>4</v>
      </c>
      <c r="F125" s="3">
        <f>_xlfn.NUMBERVALUE(RIGHT(Table5[[#This Row],[Score]],LEN(Table5[[#This Row],[Score]])-FIND("-",Table5[[#This Row],[Score]])))</f>
        <v>9</v>
      </c>
      <c r="G125" s="3">
        <f>E125+F125</f>
        <v>13</v>
      </c>
      <c r="H125" s="3" t="str">
        <f>LEFT(Table5[[#This Row],[Score]],1)</f>
        <v>L</v>
      </c>
      <c r="I125" s="3" t="str">
        <f>VLOOKUP(IF(Table5[[#This Row],[At]]="Home",Table5[[#This Row],[Opponent]],RIGHT(Table5[[#This Row],[Opponent]],LEN(Table5[[#This Row],[Opponent]])-1)),CHOOSE({1,2},[1]StandingsRAW!$J$1:$J$22,[1]StandingsRAW!$L$1:$L$22),2,FALSE)</f>
        <v>WIL</v>
      </c>
      <c r="J125" s="3">
        <f>VLOOKUP(Table5[[#This Row],[OPP]],Raw!$L$2:$S$23,7,FALSE)-Raw!$U$2</f>
        <v>3.0407975939379734</v>
      </c>
    </row>
    <row r="126" spans="1:10" x14ac:dyDescent="0.25">
      <c r="A126" t="s">
        <v>564</v>
      </c>
      <c r="B126" t="s">
        <v>222</v>
      </c>
      <c r="C126" t="s">
        <v>48</v>
      </c>
      <c r="D126" t="str">
        <f>IF(LEFT(Table5[[#This Row],[Opponent]],1)="@","Away","Home")</f>
        <v>Home</v>
      </c>
      <c r="E126" s="1">
        <f>_xlfn.NUMBERVALUE(MID(LEFT(Table5[[#This Row],[Score]],FIND("-",Table5[[#This Row],[Score]])-1),FIND(" ",Table5[[#This Row],[Score]])+1,LEN(Table5[[#This Row],[Score]])))</f>
        <v>4</v>
      </c>
      <c r="F126" s="3">
        <f>_xlfn.NUMBERVALUE(RIGHT(Table5[[#This Row],[Score]],LEN(Table5[[#This Row],[Score]])-FIND("-",Table5[[#This Row],[Score]])))</f>
        <v>5</v>
      </c>
      <c r="G126" s="3">
        <f t="shared" ref="G126:G129" si="20">E126+F126</f>
        <v>9</v>
      </c>
      <c r="H126" s="3" t="str">
        <f>LEFT(Table5[[#This Row],[Score]],1)</f>
        <v>L</v>
      </c>
      <c r="I126" s="3" t="str">
        <f>VLOOKUP(IF(Table5[[#This Row],[At]]="Home",Table5[[#This Row],[Opponent]],RIGHT(Table5[[#This Row],[Opponent]],LEN(Table5[[#This Row],[Opponent]])-1)),CHOOSE({1,2},[1]StandingsRAW!$J$1:$J$22,[1]StandingsRAW!$L$1:$L$22),2,FALSE)</f>
        <v>WIL</v>
      </c>
      <c r="J126" s="3">
        <f>VLOOKUP(Table5[[#This Row],[OPP]],Raw!$L$2:$S$23,7,FALSE)-Raw!$U$2</f>
        <v>3.0407975939379734</v>
      </c>
    </row>
    <row r="127" spans="1:10" x14ac:dyDescent="0.25">
      <c r="A127" t="s">
        <v>565</v>
      </c>
      <c r="B127" t="s">
        <v>210</v>
      </c>
      <c r="C127" t="s">
        <v>125</v>
      </c>
      <c r="D127" t="str">
        <f>IF(LEFT(Table5[[#This Row],[Opponent]],1)="@","Away","Home")</f>
        <v>Away</v>
      </c>
      <c r="E127" s="1">
        <f>_xlfn.NUMBERVALUE(MID(LEFT(Table5[[#This Row],[Score]],FIND("-",Table5[[#This Row],[Score]])-1),FIND(" ",Table5[[#This Row],[Score]])+1,LEN(Table5[[#This Row],[Score]])))</f>
        <v>0</v>
      </c>
      <c r="F127" s="3">
        <f>_xlfn.NUMBERVALUE(RIGHT(Table5[[#This Row],[Score]],LEN(Table5[[#This Row],[Score]])-FIND("-",Table5[[#This Row],[Score]])))</f>
        <v>4</v>
      </c>
      <c r="G127" s="3">
        <f t="shared" si="20"/>
        <v>4</v>
      </c>
      <c r="H127" s="3" t="str">
        <f>LEFT(Table5[[#This Row],[Score]],1)</f>
        <v>L</v>
      </c>
      <c r="I127" s="3" t="str">
        <f>VLOOKUP(IF(Table5[[#This Row],[At]]="Home",Table5[[#This Row],[Opponent]],RIGHT(Table5[[#This Row],[Opponent]],LEN(Table5[[#This Row],[Opponent]])-1)),CHOOSE({1,2},[1]StandingsRAW!$J$1:$J$22,[1]StandingsRAW!$L$1:$L$22),2,FALSE)</f>
        <v>ROC</v>
      </c>
      <c r="J127" s="3">
        <f>VLOOKUP(Table5[[#This Row],[OPP]],Raw!$L$2:$S$23,7,FALSE)-Raw!$U$2</f>
        <v>-0.20920240606202639</v>
      </c>
    </row>
    <row r="128" spans="1:10" x14ac:dyDescent="0.25">
      <c r="A128" t="s">
        <v>566</v>
      </c>
      <c r="B128" t="s">
        <v>210</v>
      </c>
      <c r="C128" t="s">
        <v>384</v>
      </c>
      <c r="D128" t="str">
        <f>IF(LEFT(Table5[[#This Row],[Opponent]],1)="@","Away","Home")</f>
        <v>Away</v>
      </c>
      <c r="E128" s="1">
        <f>_xlfn.NUMBERVALUE(MID(LEFT(Table5[[#This Row],[Score]],FIND("-",Table5[[#This Row],[Score]])-1),FIND(" ",Table5[[#This Row],[Score]])+1,LEN(Table5[[#This Row],[Score]])))</f>
        <v>7</v>
      </c>
      <c r="F128" s="3">
        <f>_xlfn.NUMBERVALUE(RIGHT(Table5[[#This Row],[Score]],LEN(Table5[[#This Row],[Score]])-FIND("-",Table5[[#This Row],[Score]])))</f>
        <v>5</v>
      </c>
      <c r="G128" s="3">
        <f t="shared" si="20"/>
        <v>12</v>
      </c>
      <c r="H128" s="3" t="str">
        <f>LEFT(Table5[[#This Row],[Score]],1)</f>
        <v>W</v>
      </c>
      <c r="I128" s="3" t="str">
        <f>VLOOKUP(IF(Table5[[#This Row],[At]]="Home",Table5[[#This Row],[Opponent]],RIGHT(Table5[[#This Row],[Opponent]],LEN(Table5[[#This Row],[Opponent]])-1)),CHOOSE({1,2},[1]StandingsRAW!$J$1:$J$22,[1]StandingsRAW!$L$1:$L$22),2,FALSE)</f>
        <v>ROC</v>
      </c>
      <c r="J128" s="3">
        <f>VLOOKUP(Table5[[#This Row],[OPP]],Raw!$L$2:$S$23,7,FALSE)-Raw!$U$2</f>
        <v>-0.20920240606202639</v>
      </c>
    </row>
    <row r="129" spans="1:10" x14ac:dyDescent="0.25">
      <c r="A129" t="s">
        <v>568</v>
      </c>
      <c r="B129" t="s">
        <v>258</v>
      </c>
      <c r="C129" t="s">
        <v>384</v>
      </c>
      <c r="D129" t="str">
        <f>IF(LEFT(Table5[[#This Row],[Opponent]],1)="@","Away","Home")</f>
        <v>Home</v>
      </c>
      <c r="E129" s="1">
        <f>_xlfn.NUMBERVALUE(MID(LEFT(Table5[[#This Row],[Score]],FIND("-",Table5[[#This Row],[Score]])-1),FIND(" ",Table5[[#This Row],[Score]])+1,LEN(Table5[[#This Row],[Score]])))</f>
        <v>7</v>
      </c>
      <c r="F129" s="3">
        <f>_xlfn.NUMBERVALUE(RIGHT(Table5[[#This Row],[Score]],LEN(Table5[[#This Row],[Score]])-FIND("-",Table5[[#This Row],[Score]])))</f>
        <v>5</v>
      </c>
      <c r="G129" s="3">
        <f t="shared" si="20"/>
        <v>12</v>
      </c>
      <c r="H129" s="3" t="str">
        <f>LEFT(Table5[[#This Row],[Score]],1)</f>
        <v>W</v>
      </c>
      <c r="I129" s="3" t="str">
        <f>VLOOKUP(IF(Table5[[#This Row],[At]]="Home",Table5[[#This Row],[Opponent]],RIGHT(Table5[[#This Row],[Opponent]],LEN(Table5[[#This Row],[Opponent]])-1)),CHOOSE({1,2},[1]StandingsRAW!$J$1:$J$22,[1]StandingsRAW!$L$1:$L$22),2,FALSE)</f>
        <v>WAT</v>
      </c>
      <c r="J129" s="3">
        <f>VLOOKUP(Table5[[#This Row],[OPP]],Raw!$L$2:$S$23,7,FALSE)-Raw!$U$2</f>
        <v>-3.3415553472384971</v>
      </c>
    </row>
    <row r="130" spans="1:10" x14ac:dyDescent="0.25">
      <c r="A130" t="s">
        <v>589</v>
      </c>
      <c r="B130" t="s">
        <v>258</v>
      </c>
      <c r="C130" t="s">
        <v>590</v>
      </c>
      <c r="D130" t="str">
        <f>IF(LEFT(Table5[[#This Row],[Opponent]],1)="@","Away","Home")</f>
        <v>Home</v>
      </c>
      <c r="E130" s="1">
        <f>_xlfn.NUMBERVALUE(MID(LEFT(Table5[[#This Row],[Score]],FIND("-",Table5[[#This Row],[Score]])-1),FIND(" ",Table5[[#This Row],[Score]])+1,LEN(Table5[[#This Row],[Score]])))</f>
        <v>19</v>
      </c>
      <c r="F130" s="3">
        <f>_xlfn.NUMBERVALUE(RIGHT(Table5[[#This Row],[Score]],LEN(Table5[[#This Row],[Score]])-FIND("-",Table5[[#This Row],[Score]])))</f>
        <v>2</v>
      </c>
      <c r="G130" s="3">
        <f>E130+F130</f>
        <v>21</v>
      </c>
      <c r="H130" s="3" t="str">
        <f>LEFT(Table5[[#This Row],[Score]],1)</f>
        <v>W</v>
      </c>
      <c r="I130" s="3" t="str">
        <f>VLOOKUP(IF(Table5[[#This Row],[At]]="Home",Table5[[#This Row],[Opponent]],RIGHT(Table5[[#This Row],[Opponent]],LEN(Table5[[#This Row],[Opponent]])-1)),CHOOSE({1,2},[1]StandingsRAW!$J$1:$J$22,[1]StandingsRAW!$L$1:$L$22),2,FALSE)</f>
        <v>WAT</v>
      </c>
      <c r="J130" s="3">
        <f>VLOOKUP(Table5[[#This Row],[OPP]],Raw!$L$2:$S$23,7,FALSE)-Raw!$U$2</f>
        <v>-3.3415553472384971</v>
      </c>
    </row>
    <row r="131" spans="1:10" x14ac:dyDescent="0.25">
      <c r="A131" t="s">
        <v>592</v>
      </c>
      <c r="B131" t="s">
        <v>278</v>
      </c>
      <c r="C131" t="s">
        <v>267</v>
      </c>
      <c r="D131" t="str">
        <f>IF(LEFT(Table5[[#This Row],[Opponent]],1)="@","Away","Home")</f>
        <v>Home</v>
      </c>
      <c r="E131" s="1">
        <f>_xlfn.NUMBERVALUE(MID(LEFT(Table5[[#This Row],[Score]],FIND("-",Table5[[#This Row],[Score]])-1),FIND(" ",Table5[[#This Row],[Score]])+1,LEN(Table5[[#This Row],[Score]])))</f>
        <v>8</v>
      </c>
      <c r="F131" s="3">
        <f>_xlfn.NUMBERVALUE(RIGHT(Table5[[#This Row],[Score]],LEN(Table5[[#This Row],[Score]])-FIND("-",Table5[[#This Row],[Score]])))</f>
        <v>7</v>
      </c>
      <c r="G131" s="3">
        <f>E131+F131</f>
        <v>15</v>
      </c>
      <c r="H131" s="3" t="str">
        <f>LEFT(Table5[[#This Row],[Score]],1)</f>
        <v>W</v>
      </c>
      <c r="I131" s="3" t="str">
        <f>VLOOKUP(IF(Table5[[#This Row],[At]]="Home",Table5[[#This Row],[Opponent]],RIGHT(Table5[[#This Row],[Opponent]],LEN(Table5[[#This Row],[Opponent]])-1)),CHOOSE({1,2},[1]StandingsRAW!$J$1:$J$22,[1]StandingsRAW!$L$1:$L$22),2,FALSE)</f>
        <v>BIS</v>
      </c>
      <c r="J131" s="3">
        <f>VLOOKUP(Table5[[#This Row],[OPP]],Raw!$L$2:$S$23,7,FALSE)-Raw!$U$2</f>
        <v>-1.915084759003203</v>
      </c>
    </row>
    <row r="132" spans="1:10" x14ac:dyDescent="0.25">
      <c r="A132" t="s">
        <v>595</v>
      </c>
      <c r="B132" t="s">
        <v>278</v>
      </c>
      <c r="C132" t="s">
        <v>269</v>
      </c>
      <c r="D132" t="str">
        <f>IF(LEFT(Table5[[#This Row],[Opponent]],1)="@","Away","Home")</f>
        <v>Home</v>
      </c>
      <c r="E132" s="1">
        <f>_xlfn.NUMBERVALUE(MID(LEFT(Table5[[#This Row],[Score]],FIND("-",Table5[[#This Row],[Score]])-1),FIND(" ",Table5[[#This Row],[Score]])+1,LEN(Table5[[#This Row],[Score]])))</f>
        <v>2</v>
      </c>
      <c r="F132" s="3">
        <f>_xlfn.NUMBERVALUE(RIGHT(Table5[[#This Row],[Score]],LEN(Table5[[#This Row],[Score]])-FIND("-",Table5[[#This Row],[Score]])))</f>
        <v>3</v>
      </c>
      <c r="G132" s="3">
        <f>E132+F132</f>
        <v>5</v>
      </c>
      <c r="H132" s="3" t="str">
        <f>LEFT(Table5[[#This Row],[Score]],1)</f>
        <v>L</v>
      </c>
      <c r="I132" s="3" t="str">
        <f>VLOOKUP(IF(Table5[[#This Row],[At]]="Home",Table5[[#This Row],[Opponent]],RIGHT(Table5[[#This Row],[Opponent]],LEN(Table5[[#This Row],[Opponent]])-1)),CHOOSE({1,2},[1]StandingsRAW!$J$1:$J$22,[1]StandingsRAW!$L$1:$L$22),2,FALSE)</f>
        <v>BIS</v>
      </c>
      <c r="J132" s="3">
        <f>VLOOKUP(Table5[[#This Row],[OPP]],Raw!$L$2:$S$23,7,FALSE)-Raw!$U$2</f>
        <v>-1.915084759003203</v>
      </c>
    </row>
    <row r="133" spans="1:10" x14ac:dyDescent="0.25">
      <c r="A133" t="s">
        <v>598</v>
      </c>
      <c r="B133" t="s">
        <v>241</v>
      </c>
      <c r="C133" t="s">
        <v>24</v>
      </c>
      <c r="D133" t="str">
        <f>IF(LEFT(Table5[[#This Row],[Opponent]],1)="@","Away","Home")</f>
        <v>Home</v>
      </c>
      <c r="E133" s="1">
        <f>_xlfn.NUMBERVALUE(MID(LEFT(Table5[[#This Row],[Score]],FIND("-",Table5[[#This Row],[Score]])-1),FIND(" ",Table5[[#This Row],[Score]])+1,LEN(Table5[[#This Row],[Score]])))</f>
        <v>10</v>
      </c>
      <c r="F133" s="3">
        <f>_xlfn.NUMBERVALUE(RIGHT(Table5[[#This Row],[Score]],LEN(Table5[[#This Row],[Score]])-FIND("-",Table5[[#This Row],[Score]])))</f>
        <v>5</v>
      </c>
      <c r="G133" s="3">
        <f>E133+F133</f>
        <v>15</v>
      </c>
      <c r="H133" s="3" t="str">
        <f>LEFT(Table5[[#This Row],[Score]],1)</f>
        <v>W</v>
      </c>
      <c r="I133" s="3" t="str">
        <f>VLOOKUP(IF(Table5[[#This Row],[At]]="Home",Table5[[#This Row],[Opponent]],RIGHT(Table5[[#This Row],[Opponent]],LEN(Table5[[#This Row],[Opponent]])-1)),CHOOSE({1,2},[1]StandingsRAW!$J$1:$J$22,[1]StandingsRAW!$L$1:$L$22),2,FALSE)</f>
        <v>MIN</v>
      </c>
      <c r="J133" s="3">
        <f>VLOOKUP(Table5[[#This Row],[OPP]],Raw!$L$2:$S$23,7,FALSE)-Raw!$U$2</f>
        <v>-2.6422089420097388</v>
      </c>
    </row>
    <row r="134" spans="1:10" x14ac:dyDescent="0.25">
      <c r="A134" t="s">
        <v>599</v>
      </c>
      <c r="B134" t="s">
        <v>241</v>
      </c>
      <c r="C134" t="s">
        <v>290</v>
      </c>
      <c r="D134" t="str">
        <f>IF(LEFT(Table5[[#This Row],[Opponent]],1)="@","Away","Home")</f>
        <v>Home</v>
      </c>
      <c r="E134" s="1">
        <f>_xlfn.NUMBERVALUE(MID(LEFT(Table5[[#This Row],[Score]],FIND("-",Table5[[#This Row],[Score]])-1),FIND(" ",Table5[[#This Row],[Score]])+1,LEN(Table5[[#This Row],[Score]])))</f>
        <v>5</v>
      </c>
      <c r="F134" s="3">
        <f>_xlfn.NUMBERVALUE(RIGHT(Table5[[#This Row],[Score]],LEN(Table5[[#This Row],[Score]])-FIND("-",Table5[[#This Row],[Score]])))</f>
        <v>0</v>
      </c>
      <c r="G134" s="3">
        <f>E134+F134</f>
        <v>5</v>
      </c>
      <c r="H134" s="3" t="str">
        <f>LEFT(Table5[[#This Row],[Score]],1)</f>
        <v>W</v>
      </c>
      <c r="I134" s="3" t="str">
        <f>VLOOKUP(IF(Table5[[#This Row],[At]]="Home",Table5[[#This Row],[Opponent]],RIGHT(Table5[[#This Row],[Opponent]],LEN(Table5[[#This Row],[Opponent]])-1)),CHOOSE({1,2},[1]StandingsRAW!$J$1:$J$22,[1]StandingsRAW!$L$1:$L$22),2,FALSE)</f>
        <v>MIN</v>
      </c>
      <c r="J134" s="3">
        <f>VLOOKUP(Table5[[#This Row],[OPP]],Raw!$L$2:$S$23,7,FALSE)-Raw!$U$2</f>
        <v>-2.6422089420097388</v>
      </c>
    </row>
    <row r="135" spans="1:10" x14ac:dyDescent="0.25">
      <c r="A135" t="s">
        <v>600</v>
      </c>
      <c r="B135" t="s">
        <v>198</v>
      </c>
      <c r="C135" t="s">
        <v>106</v>
      </c>
      <c r="D135" t="str">
        <f>IF(LEFT(Table5[[#This Row],[Opponent]],1)="@","Away","Home")</f>
        <v>Away</v>
      </c>
      <c r="E135" s="1">
        <f>_xlfn.NUMBERVALUE(MID(LEFT(Table5[[#This Row],[Score]],FIND("-",Table5[[#This Row],[Score]])-1),FIND(" ",Table5[[#This Row],[Score]])+1,LEN(Table5[[#This Row],[Score]])))</f>
        <v>12</v>
      </c>
      <c r="F135" s="3">
        <f>_xlfn.NUMBERVALUE(RIGHT(Table5[[#This Row],[Score]],LEN(Table5[[#This Row],[Score]])-FIND("-",Table5[[#This Row],[Score]])))</f>
        <v>5</v>
      </c>
      <c r="G135" s="3">
        <f t="shared" ref="G135:G138" si="21">E135+F135</f>
        <v>17</v>
      </c>
      <c r="H135" s="3" t="str">
        <f>LEFT(Table5[[#This Row],[Score]],1)</f>
        <v>W</v>
      </c>
      <c r="I135" s="3" t="str">
        <f>VLOOKUP(IF(Table5[[#This Row],[At]]="Home",Table5[[#This Row],[Opponent]],RIGHT(Table5[[#This Row],[Opponent]],LEN(Table5[[#This Row],[Opponent]])-1)),CHOOSE({1,2},[1]StandingsRAW!$J$1:$J$22,[1]StandingsRAW!$L$1:$L$22),2,FALSE)</f>
        <v>DUL</v>
      </c>
      <c r="J135" s="3">
        <f>VLOOKUP(Table5[[#This Row],[OPP]],Raw!$L$2:$S$23,7,FALSE)-Raw!$U$2</f>
        <v>-0.37645438147905891</v>
      </c>
    </row>
    <row r="136" spans="1:10" x14ac:dyDescent="0.25">
      <c r="A136" t="s">
        <v>601</v>
      </c>
      <c r="B136" t="s">
        <v>198</v>
      </c>
      <c r="C136" t="s">
        <v>195</v>
      </c>
      <c r="D136" t="str">
        <f>IF(LEFT(Table5[[#This Row],[Opponent]],1)="@","Away","Home")</f>
        <v>Away</v>
      </c>
      <c r="E136" s="1">
        <f>_xlfn.NUMBERVALUE(MID(LEFT(Table5[[#This Row],[Score]],FIND("-",Table5[[#This Row],[Score]])-1),FIND(" ",Table5[[#This Row],[Score]])+1,LEN(Table5[[#This Row],[Score]])))</f>
        <v>8</v>
      </c>
      <c r="F136" s="3">
        <f>_xlfn.NUMBERVALUE(RIGHT(Table5[[#This Row],[Score]],LEN(Table5[[#This Row],[Score]])-FIND("-",Table5[[#This Row],[Score]])))</f>
        <v>1</v>
      </c>
      <c r="G136" s="3">
        <f t="shared" si="21"/>
        <v>9</v>
      </c>
      <c r="H136" s="3" t="str">
        <f>LEFT(Table5[[#This Row],[Score]],1)</f>
        <v>W</v>
      </c>
      <c r="I136" s="3" t="str">
        <f>VLOOKUP(IF(Table5[[#This Row],[At]]="Home",Table5[[#This Row],[Opponent]],RIGHT(Table5[[#This Row],[Opponent]],LEN(Table5[[#This Row],[Opponent]])-1)),CHOOSE({1,2},[1]StandingsRAW!$J$1:$J$22,[1]StandingsRAW!$L$1:$L$22),2,FALSE)</f>
        <v>DUL</v>
      </c>
      <c r="J136" s="3">
        <f>VLOOKUP(Table5[[#This Row],[OPP]],Raw!$L$2:$S$23,7,FALSE)-Raw!$U$2</f>
        <v>-0.37645438147905891</v>
      </c>
    </row>
    <row r="137" spans="1:10" x14ac:dyDescent="0.25">
      <c r="A137" t="s">
        <v>602</v>
      </c>
      <c r="B137" t="s">
        <v>206</v>
      </c>
      <c r="C137" t="s">
        <v>327</v>
      </c>
      <c r="D137" t="str">
        <f>IF(LEFT(Table5[[#This Row],[Opponent]],1)="@","Away","Home")</f>
        <v>Away</v>
      </c>
      <c r="E137" s="1">
        <f>_xlfn.NUMBERVALUE(MID(LEFT(Table5[[#This Row],[Score]],FIND("-",Table5[[#This Row],[Score]])-1),FIND(" ",Table5[[#This Row],[Score]])+1,LEN(Table5[[#This Row],[Score]])))</f>
        <v>9</v>
      </c>
      <c r="F137" s="3">
        <f>_xlfn.NUMBERVALUE(RIGHT(Table5[[#This Row],[Score]],LEN(Table5[[#This Row],[Score]])-FIND("-",Table5[[#This Row],[Score]])))</f>
        <v>7</v>
      </c>
      <c r="G137" s="3">
        <f t="shared" si="21"/>
        <v>16</v>
      </c>
      <c r="H137" s="3" t="str">
        <f>LEFT(Table5[[#This Row],[Score]],1)</f>
        <v>W</v>
      </c>
      <c r="I137" s="3" t="str">
        <f>VLOOKUP(IF(Table5[[#This Row],[At]]="Home",Table5[[#This Row],[Opponent]],RIGHT(Table5[[#This Row],[Opponent]],LEN(Table5[[#This Row],[Opponent]])-1)),CHOOSE({1,2},[1]StandingsRAW!$J$1:$J$22,[1]StandingsRAW!$L$1:$L$22),2,FALSE)</f>
        <v>MAN</v>
      </c>
      <c r="J137" s="3">
        <f>VLOOKUP(Table5[[#This Row],[OPP]],Raw!$L$2:$S$23,7,FALSE)-Raw!$U$2</f>
        <v>0.73197406452620895</v>
      </c>
    </row>
    <row r="138" spans="1:10" x14ac:dyDescent="0.25">
      <c r="A138" t="s">
        <v>603</v>
      </c>
      <c r="B138" t="s">
        <v>206</v>
      </c>
      <c r="C138" t="s">
        <v>48</v>
      </c>
      <c r="D138" t="str">
        <f>IF(LEFT(Table5[[#This Row],[Opponent]],1)="@","Away","Home")</f>
        <v>Away</v>
      </c>
      <c r="E138" s="1">
        <f>_xlfn.NUMBERVALUE(MID(LEFT(Table5[[#This Row],[Score]],FIND("-",Table5[[#This Row],[Score]])-1),FIND(" ",Table5[[#This Row],[Score]])+1,LEN(Table5[[#This Row],[Score]])))</f>
        <v>4</v>
      </c>
      <c r="F138" s="3">
        <f>_xlfn.NUMBERVALUE(RIGHT(Table5[[#This Row],[Score]],LEN(Table5[[#This Row],[Score]])-FIND("-",Table5[[#This Row],[Score]])))</f>
        <v>5</v>
      </c>
      <c r="G138" s="3">
        <f t="shared" si="21"/>
        <v>9</v>
      </c>
      <c r="H138" s="3" t="str">
        <f>LEFT(Table5[[#This Row],[Score]],1)</f>
        <v>L</v>
      </c>
      <c r="I138" s="3" t="str">
        <f>VLOOKUP(IF(Table5[[#This Row],[At]]="Home",Table5[[#This Row],[Opponent]],RIGHT(Table5[[#This Row],[Opponent]],LEN(Table5[[#This Row],[Opponent]])-1)),CHOOSE({1,2},[1]StandingsRAW!$J$1:$J$22,[1]StandingsRAW!$L$1:$L$22),2,FALSE)</f>
        <v>MAN</v>
      </c>
      <c r="J138" s="3">
        <f>VLOOKUP(Table5[[#This Row],[OPP]],Raw!$L$2:$S$23,7,FALSE)-Raw!$U$2</f>
        <v>0.73197406452620895</v>
      </c>
    </row>
    <row r="139" spans="1:10" x14ac:dyDescent="0.25">
      <c r="A139" t="s">
        <v>608</v>
      </c>
      <c r="B139" t="s">
        <v>210</v>
      </c>
      <c r="C139" t="s">
        <v>46</v>
      </c>
      <c r="D139" t="str">
        <f>IF(LEFT(Table5[[#This Row],[Opponent]],1)="@","Away","Home")</f>
        <v>Away</v>
      </c>
      <c r="E139" s="1">
        <f>_xlfn.NUMBERVALUE(MID(LEFT(Table5[[#This Row],[Score]],FIND("-",Table5[[#This Row],[Score]])-1),FIND(" ",Table5[[#This Row],[Score]])+1,LEN(Table5[[#This Row],[Score]])))</f>
        <v>6</v>
      </c>
      <c r="F139" s="3">
        <f>_xlfn.NUMBERVALUE(RIGHT(Table5[[#This Row],[Score]],LEN(Table5[[#This Row],[Score]])-FIND("-",Table5[[#This Row],[Score]])))</f>
        <v>8</v>
      </c>
      <c r="G139" s="3">
        <f t="shared" ref="G139:G140" si="22">E139+F139</f>
        <v>14</v>
      </c>
      <c r="H139" s="3" t="str">
        <f>LEFT(Table5[[#This Row],[Score]],1)</f>
        <v>L</v>
      </c>
      <c r="I139" s="3" t="str">
        <f>VLOOKUP(IF(Table5[[#This Row],[At]]="Home",Table5[[#This Row],[Opponent]],RIGHT(Table5[[#This Row],[Opponent]],LEN(Table5[[#This Row],[Opponent]])-1)),CHOOSE({1,2},[1]StandingsRAW!$J$1:$J$22,[1]StandingsRAW!$L$1:$L$22),2,FALSE)</f>
        <v>ROC</v>
      </c>
      <c r="J139" s="3">
        <f>VLOOKUP(Table5[[#This Row],[OPP]],Raw!$L$2:$S$23,7,FALSE)-Raw!$U$2</f>
        <v>-0.20920240606202639</v>
      </c>
    </row>
    <row r="140" spans="1:10" x14ac:dyDescent="0.25">
      <c r="A140" t="s">
        <v>609</v>
      </c>
      <c r="B140" t="s">
        <v>263</v>
      </c>
      <c r="C140" t="s">
        <v>340</v>
      </c>
      <c r="D140" t="str">
        <f>IF(LEFT(Table5[[#This Row],[Opponent]],1)="@","Away","Home")</f>
        <v>Home</v>
      </c>
      <c r="E140" s="1">
        <f>_xlfn.NUMBERVALUE(MID(LEFT(Table5[[#This Row],[Score]],FIND("-",Table5[[#This Row],[Score]])-1),FIND(" ",Table5[[#This Row],[Score]])+1,LEN(Table5[[#This Row],[Score]])))</f>
        <v>13</v>
      </c>
      <c r="F140" s="3">
        <f>_xlfn.NUMBERVALUE(RIGHT(Table5[[#This Row],[Score]],LEN(Table5[[#This Row],[Score]])-FIND("-",Table5[[#This Row],[Score]])))</f>
        <v>5</v>
      </c>
      <c r="G140" s="3">
        <f t="shared" si="22"/>
        <v>18</v>
      </c>
      <c r="H140" s="3" t="str">
        <f>LEFT(Table5[[#This Row],[Score]],1)</f>
        <v>W</v>
      </c>
      <c r="I140" s="3" t="str">
        <f>VLOOKUP(IF(Table5[[#This Row],[At]]="Home",Table5[[#This Row],[Opponent]],RIGHT(Table5[[#This Row],[Opponent]],LEN(Table5[[#This Row],[Opponent]])-1)),CHOOSE({1,2},[1]StandingsRAW!$J$1:$J$22,[1]StandingsRAW!$L$1:$L$22),2,FALSE)</f>
        <v>ROC</v>
      </c>
      <c r="J140" s="3">
        <f>VLOOKUP(Table5[[#This Row],[OPP]],Raw!$L$2:$S$23,7,FALSE)-Raw!$U$2</f>
        <v>-0.20920240606202639</v>
      </c>
    </row>
    <row r="141" spans="1:10" x14ac:dyDescent="0.25">
      <c r="E141" s="1"/>
      <c r="F141" s="3"/>
      <c r="G141" s="3"/>
      <c r="H141" s="3"/>
    </row>
    <row r="142" spans="1:10" x14ac:dyDescent="0.25">
      <c r="E142" s="1"/>
      <c r="F142" s="3"/>
      <c r="G142" s="3"/>
      <c r="H142" s="3"/>
    </row>
  </sheetData>
  <conditionalFormatting sqref="L17">
    <cfRule type="cellIs" dxfId="94" priority="4" operator="greaterThan">
      <formula>100</formula>
    </cfRule>
    <cfRule type="cellIs" dxfId="93" priority="5" operator="lessThan">
      <formula>100</formula>
    </cfRule>
  </conditionalFormatting>
  <conditionalFormatting sqref="L18">
    <cfRule type="cellIs" dxfId="92" priority="2" operator="greaterThan">
      <formula>100</formula>
    </cfRule>
    <cfRule type="cellIs" dxfId="91" priority="3" operator="lessThan">
      <formula>100</formula>
    </cfRule>
  </conditionalFormatting>
  <conditionalFormatting sqref="L17:L18">
    <cfRule type="cellIs" dxfId="90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3D88-E42B-4F0D-AAAC-05707575D81F}">
  <sheetPr codeName="Sheet7"/>
  <dimension ref="A1:P147"/>
  <sheetViews>
    <sheetView topLeftCell="A71" workbookViewId="0">
      <selection activeCell="A76" sqref="A76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313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98</v>
      </c>
      <c r="C3" t="s">
        <v>293</v>
      </c>
      <c r="E3" s="1" t="str">
        <f>IF(LEFT(B3,1)="@","Away","Home")</f>
        <v>Home</v>
      </c>
      <c r="F3" s="3">
        <f>_xlfn.NUMBERVALUE(MID(LEFT(C3,FIND("-",C3)-1),FIND(" ",C3)+1,LEN(C3)))</f>
        <v>13</v>
      </c>
      <c r="G3" s="3">
        <f>_xlfn.NUMBERVALUE(RIGHT(C3,LEN(C3)-FIND("-",C3)))</f>
        <v>3</v>
      </c>
      <c r="H3" s="3">
        <f t="shared" ref="H3:H66" si="0">F3+G3</f>
        <v>16</v>
      </c>
      <c r="I3" s="3" t="str">
        <f>LEFT(C3,1)</f>
        <v>W</v>
      </c>
      <c r="K3" s="4" t="s">
        <v>139</v>
      </c>
      <c r="L3" s="5">
        <f>(SUMIF($E$3:$E$74,$K3,F$3:F$74) + SUMIF(Table6[At],$K3,Table6[Scored]))/(COUNTIF($E$3:$E$74,$K3) + COUNTIF(Table6[At],$K3))</f>
        <v>6.816901408450704</v>
      </c>
      <c r="M3" s="5">
        <f>(SUMIF($E$3:$E$74,$K3,G$3:G$74) + SUMIF(Table6[At],$K3,Table6[Allowed]))/(COUNTIF($E$3:$E$74,$K3) + COUNTIF(Table6[At],$K3))</f>
        <v>5.901408450704225</v>
      </c>
      <c r="N3" s="5">
        <f>L3+M3</f>
        <v>12.718309859154928</v>
      </c>
      <c r="O3" s="5">
        <f>(COUNTIFS($E$3:$E$74,$K3,$I$3:$I$74,O$2) + COUNTIFS(Table6[At],$K3,Table6[Result],O$2))/(COUNTIF($E$3:$E$74,$K3) + COUNTIF(Table6[At],$K3))</f>
        <v>0.53521126760563376</v>
      </c>
      <c r="P3" s="5">
        <f>(COUNTIFS($E$3:$E$74,$K3,$I$3:$I$74,P$2) + COUNTIFS(Table6[At],$K3,Table6[Result],P$2))/(COUNTIF($E$3:$E$74,$K3) + COUNTIF(Table6[At],$K3))</f>
        <v>0.46478873239436619</v>
      </c>
    </row>
    <row r="4" spans="1:16" x14ac:dyDescent="0.25">
      <c r="A4" t="s">
        <v>7</v>
      </c>
      <c r="B4" t="s">
        <v>115</v>
      </c>
      <c r="C4" t="s">
        <v>228</v>
      </c>
      <c r="E4" s="1" t="str">
        <f t="shared" ref="E4:E67" si="1">IF(LEFT(B4,1)="@","Away","Home")</f>
        <v>Away</v>
      </c>
      <c r="F4" s="3">
        <f t="shared" ref="F4:F67" si="2">_xlfn.NUMBERVALUE(MID(LEFT(C4,FIND("-",C4)-1),FIND(" ",C4)+1,LEN(C4)))</f>
        <v>10</v>
      </c>
      <c r="G4" s="3">
        <f t="shared" ref="G4:G67" si="3">_xlfn.NUMBERVALUE(RIGHT(C4,LEN(C4)-FIND("-",C4)))</f>
        <v>3</v>
      </c>
      <c r="H4" s="3">
        <f t="shared" si="0"/>
        <v>13</v>
      </c>
      <c r="I4" s="3" t="str">
        <f t="shared" ref="I4:I67" si="4">LEFT(C4,1)</f>
        <v>W</v>
      </c>
      <c r="K4" s="4" t="s">
        <v>140</v>
      </c>
      <c r="L4" s="5">
        <f>(SUMIF($E$3:$E$74,$K4,F$3:F$74) + SUMIF(Table6[At],$K4,Table6[Scored]))/(COUNTIF($E$3:$E$74,$K4) + COUNTIF(Table6[At],$K4))</f>
        <v>6.375</v>
      </c>
      <c r="M4" s="5">
        <f>(SUMIF($E$3:$E$74,$K4,G$3:G$74) + SUMIF(Table6[At],$K4,Table6[Allowed]))/(COUNTIF($E$3:$E$74,$K4) + COUNTIF(Table6[At],$K4))</f>
        <v>5.5138888888888893</v>
      </c>
      <c r="N4" s="5">
        <f>L4+M4</f>
        <v>11.888888888888889</v>
      </c>
      <c r="O4" s="5">
        <f>(COUNTIFS($E$3:$E$74,$K4,$I$3:$I$74,O$2) + COUNTIFS(Table6[At],$K4,Table6[Result],O$2))/(COUNTIF($E$3:$E$74,$K4) + COUNTIF(Table6[At],$K4))</f>
        <v>0.56944444444444442</v>
      </c>
      <c r="P4" s="5">
        <f>(COUNTIFS($E$3:$E$74,$K4,$I$3:$I$74,P$2) + COUNTIFS(Table6[At],$K4,Table6[Result],P$2))/(COUNTIF($E$3:$E$74,$K4) + COUNTIF(Table6[At],$K4))</f>
        <v>0.43055555555555558</v>
      </c>
    </row>
    <row r="5" spans="1:16" x14ac:dyDescent="0.25">
      <c r="A5" t="s">
        <v>9</v>
      </c>
      <c r="B5" t="s">
        <v>314</v>
      </c>
      <c r="C5" t="s">
        <v>50</v>
      </c>
      <c r="E5" s="1" t="str">
        <f t="shared" si="1"/>
        <v>Home</v>
      </c>
      <c r="F5" s="3">
        <f t="shared" si="2"/>
        <v>3</v>
      </c>
      <c r="G5" s="3">
        <f t="shared" si="3"/>
        <v>4</v>
      </c>
      <c r="H5" s="3">
        <f t="shared" si="0"/>
        <v>7</v>
      </c>
      <c r="I5" s="3" t="str">
        <f t="shared" si="4"/>
        <v>L</v>
      </c>
    </row>
    <row r="6" spans="1:16" x14ac:dyDescent="0.25">
      <c r="A6" t="s">
        <v>12</v>
      </c>
      <c r="B6" t="s">
        <v>315</v>
      </c>
      <c r="C6" t="s">
        <v>316</v>
      </c>
      <c r="E6" s="1" t="str">
        <f t="shared" si="1"/>
        <v>Away</v>
      </c>
      <c r="F6" s="3">
        <f t="shared" si="2"/>
        <v>9</v>
      </c>
      <c r="G6" s="3">
        <f t="shared" si="3"/>
        <v>6</v>
      </c>
      <c r="H6" s="3">
        <f t="shared" si="0"/>
        <v>15</v>
      </c>
      <c r="I6" s="3" t="str">
        <f t="shared" si="4"/>
        <v>W</v>
      </c>
      <c r="K6" s="4" t="s">
        <v>144</v>
      </c>
      <c r="L6" s="5">
        <f>N3/N4</f>
        <v>1.0697643806765826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98</v>
      </c>
      <c r="C7" t="s">
        <v>317</v>
      </c>
      <c r="E7" s="1" t="str">
        <f t="shared" si="1"/>
        <v>Home</v>
      </c>
      <c r="F7" s="3">
        <f t="shared" si="2"/>
        <v>15</v>
      </c>
      <c r="G7" s="3">
        <f t="shared" si="3"/>
        <v>7</v>
      </c>
      <c r="H7" s="3">
        <f t="shared" si="0"/>
        <v>22</v>
      </c>
      <c r="I7" s="3" t="str">
        <f t="shared" si="4"/>
        <v>W</v>
      </c>
      <c r="K7" s="7" t="s">
        <v>143</v>
      </c>
      <c r="L7" s="5">
        <f>(18.5 - O3)/(18.5-P4)</f>
        <v>0.99420813891805893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115</v>
      </c>
      <c r="C8" t="s">
        <v>48</v>
      </c>
      <c r="E8" s="1" t="str">
        <f t="shared" si="1"/>
        <v>Away</v>
      </c>
      <c r="F8" s="3">
        <f t="shared" si="2"/>
        <v>4</v>
      </c>
      <c r="G8" s="3">
        <f t="shared" si="3"/>
        <v>5</v>
      </c>
      <c r="H8" s="3">
        <f t="shared" si="0"/>
        <v>9</v>
      </c>
      <c r="I8" s="3" t="str">
        <f t="shared" si="4"/>
        <v>L</v>
      </c>
      <c r="K8" s="7" t="s">
        <v>146</v>
      </c>
      <c r="L8" s="5">
        <f>L6/L7</f>
        <v>1.0759964023637418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52</v>
      </c>
      <c r="C9" t="s">
        <v>92</v>
      </c>
      <c r="E9" s="1" t="str">
        <f t="shared" si="1"/>
        <v>Home</v>
      </c>
      <c r="F9" s="3">
        <f t="shared" si="2"/>
        <v>5</v>
      </c>
      <c r="G9" s="3">
        <f t="shared" si="3"/>
        <v>10</v>
      </c>
      <c r="H9" s="3">
        <f t="shared" si="0"/>
        <v>15</v>
      </c>
      <c r="I9" s="3" t="str">
        <f t="shared" si="4"/>
        <v>L</v>
      </c>
      <c r="K9" s="7" t="s">
        <v>145</v>
      </c>
      <c r="L9" s="5">
        <f>(P7)/(P7-1+L8)</f>
        <v>0.99370682138089517</v>
      </c>
      <c r="O9" s="4"/>
      <c r="P9" s="1"/>
    </row>
    <row r="10" spans="1:16" x14ac:dyDescent="0.25">
      <c r="A10" t="s">
        <v>193</v>
      </c>
      <c r="B10" t="s">
        <v>30</v>
      </c>
      <c r="C10" t="s">
        <v>128</v>
      </c>
      <c r="E10" s="1" t="str">
        <f t="shared" si="1"/>
        <v>Away</v>
      </c>
      <c r="F10" s="3">
        <f t="shared" si="2"/>
        <v>6</v>
      </c>
      <c r="G10" s="3">
        <f t="shared" si="3"/>
        <v>5</v>
      </c>
      <c r="H10" s="3">
        <f t="shared" si="0"/>
        <v>11</v>
      </c>
      <c r="I10" s="3" t="str">
        <f t="shared" si="4"/>
        <v>W</v>
      </c>
      <c r="K10" s="4" t="s">
        <v>149</v>
      </c>
      <c r="L10" s="5">
        <f>L8*L9</f>
        <v>1.0692249648101526</v>
      </c>
      <c r="O10" s="4"/>
      <c r="P10" s="1"/>
    </row>
    <row r="11" spans="1:16" x14ac:dyDescent="0.25">
      <c r="A11" t="s">
        <v>22</v>
      </c>
      <c r="B11" t="s">
        <v>124</v>
      </c>
      <c r="C11" t="s">
        <v>244</v>
      </c>
      <c r="E11" s="1" t="str">
        <f t="shared" si="1"/>
        <v>Away</v>
      </c>
      <c r="F11" s="3">
        <f t="shared" si="2"/>
        <v>6</v>
      </c>
      <c r="G11" s="3">
        <f t="shared" si="3"/>
        <v>3</v>
      </c>
      <c r="H11" s="3">
        <f t="shared" si="0"/>
        <v>9</v>
      </c>
      <c r="I11" s="3" t="str">
        <f t="shared" si="4"/>
        <v>W</v>
      </c>
      <c r="K11" s="4" t="s">
        <v>148</v>
      </c>
      <c r="L11" s="5">
        <f>1 - ((L10-1)/(P7-1))</f>
        <v>0.99370682138089517</v>
      </c>
      <c r="O11" s="4"/>
      <c r="P11" s="1"/>
    </row>
    <row r="12" spans="1:16" x14ac:dyDescent="0.25">
      <c r="A12" t="s">
        <v>196</v>
      </c>
      <c r="B12" t="s">
        <v>103</v>
      </c>
      <c r="C12" t="s">
        <v>205</v>
      </c>
      <c r="E12" s="1" t="str">
        <f t="shared" si="1"/>
        <v>Home</v>
      </c>
      <c r="F12" s="3">
        <f t="shared" si="2"/>
        <v>5</v>
      </c>
      <c r="G12" s="3">
        <f t="shared" si="3"/>
        <v>6</v>
      </c>
      <c r="H12" s="3">
        <f t="shared" si="0"/>
        <v>11</v>
      </c>
      <c r="I12" s="3" t="str">
        <f t="shared" si="4"/>
        <v>L</v>
      </c>
      <c r="K12" s="4" t="s">
        <v>150</v>
      </c>
      <c r="L12" s="5">
        <f>(($L4/$L11)+($L3/$L10)) * (1 + (L13-1)/($P7-1)) / $P8</f>
        <v>1.1185066393480703</v>
      </c>
      <c r="M12" s="5">
        <f t="shared" ref="M12:O12" si="5">(($L4/$L11)+($L3/$L10)) * (1 + (M13-1)/($P7-1)) / $P8</f>
        <v>1.1162985192720287</v>
      </c>
      <c r="N12" s="5">
        <f t="shared" si="5"/>
        <v>1.1162787638129799</v>
      </c>
      <c r="O12" s="8">
        <f t="shared" si="5"/>
        <v>1.1162785870661778</v>
      </c>
      <c r="P12" s="5"/>
    </row>
    <row r="13" spans="1:16" x14ac:dyDescent="0.25">
      <c r="A13" t="s">
        <v>25</v>
      </c>
      <c r="B13" t="s">
        <v>120</v>
      </c>
      <c r="C13" t="s">
        <v>116</v>
      </c>
      <c r="E13" s="1" t="str">
        <f t="shared" si="1"/>
        <v>Away</v>
      </c>
      <c r="F13" s="3">
        <f t="shared" si="2"/>
        <v>9</v>
      </c>
      <c r="G13" s="3">
        <f t="shared" si="3"/>
        <v>3</v>
      </c>
      <c r="H13" s="3">
        <f t="shared" si="0"/>
        <v>12</v>
      </c>
      <c r="I13" s="3" t="str">
        <f t="shared" si="4"/>
        <v>W</v>
      </c>
      <c r="K13" s="4" t="s">
        <v>182</v>
      </c>
      <c r="L13" s="5">
        <v>1</v>
      </c>
      <c r="M13" s="5">
        <f>(($M4/$L11)+($M3/$L10)) * (1 + (L12-1)/($P7-1)) / $P8</f>
        <v>0.97828415140153768</v>
      </c>
      <c r="N13" s="5">
        <f>(($M4/$L11)+($M3/$L10)) * (1 + (M12-1)/($P7-1)) / $P8</f>
        <v>0.97808986551901289</v>
      </c>
      <c r="O13" s="5">
        <f>(($M4/$L11)+($M3/$L10)) * (1 + (N12-1)/($P7-1)) / $P8</f>
        <v>0.97808812729524608</v>
      </c>
      <c r="P13" s="8">
        <f>(($M4/$L11)+($M3/$L10)) * (1 + (O12-1)/($P7-1)) / $P8</f>
        <v>0.9780881117438236</v>
      </c>
    </row>
    <row r="14" spans="1:16" x14ac:dyDescent="0.25">
      <c r="A14" t="s">
        <v>27</v>
      </c>
      <c r="B14" t="s">
        <v>120</v>
      </c>
      <c r="C14" t="s">
        <v>259</v>
      </c>
      <c r="E14" s="1" t="str">
        <f t="shared" si="1"/>
        <v>Away</v>
      </c>
      <c r="F14" s="3">
        <f t="shared" si="2"/>
        <v>0</v>
      </c>
      <c r="G14" s="3">
        <f t="shared" si="3"/>
        <v>5</v>
      </c>
      <c r="H14" s="3">
        <f t="shared" si="0"/>
        <v>5</v>
      </c>
      <c r="I14" s="3" t="str">
        <f t="shared" si="4"/>
        <v>L</v>
      </c>
      <c r="K14" s="4" t="s">
        <v>183</v>
      </c>
      <c r="L14" s="5">
        <f xml:space="preserve"> (L10+L11) / (2 * (1 + ((P13-1)/(P7-1))))</f>
        <v>1.0335246637265765</v>
      </c>
      <c r="N14" s="5"/>
    </row>
    <row r="15" spans="1:16" x14ac:dyDescent="0.25">
      <c r="A15" t="s">
        <v>29</v>
      </c>
      <c r="B15" t="s">
        <v>58</v>
      </c>
      <c r="C15" t="s">
        <v>92</v>
      </c>
      <c r="E15" s="1" t="str">
        <f t="shared" si="1"/>
        <v>Away</v>
      </c>
      <c r="F15" s="3">
        <f t="shared" si="2"/>
        <v>5</v>
      </c>
      <c r="G15" s="3">
        <f t="shared" si="3"/>
        <v>10</v>
      </c>
      <c r="H15" s="3">
        <f t="shared" si="0"/>
        <v>15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1.0206765452290851</v>
      </c>
    </row>
    <row r="16" spans="1:16" ht="15.75" thickBot="1" x14ac:dyDescent="0.3">
      <c r="A16" t="s">
        <v>32</v>
      </c>
      <c r="B16" t="s">
        <v>58</v>
      </c>
      <c r="C16" t="s">
        <v>318</v>
      </c>
      <c r="E16" s="1" t="str">
        <f t="shared" si="1"/>
        <v>Away</v>
      </c>
      <c r="F16" s="3">
        <f t="shared" si="2"/>
        <v>11</v>
      </c>
      <c r="G16" s="3">
        <f t="shared" si="3"/>
        <v>4</v>
      </c>
      <c r="H16" s="3">
        <f t="shared" si="0"/>
        <v>15</v>
      </c>
      <c r="I16" s="3" t="str">
        <f t="shared" si="4"/>
        <v>W</v>
      </c>
    </row>
    <row r="17" spans="1:14" x14ac:dyDescent="0.25">
      <c r="A17" t="s">
        <v>34</v>
      </c>
      <c r="B17" t="s">
        <v>40</v>
      </c>
      <c r="C17" t="s">
        <v>264</v>
      </c>
      <c r="E17" s="1" t="str">
        <f t="shared" si="1"/>
        <v>Away</v>
      </c>
      <c r="F17" s="3">
        <f t="shared" si="2"/>
        <v>6</v>
      </c>
      <c r="G17" s="3">
        <f t="shared" si="3"/>
        <v>2</v>
      </c>
      <c r="H17" s="3">
        <f t="shared" si="0"/>
        <v>8</v>
      </c>
      <c r="I17" s="3" t="str">
        <f t="shared" si="4"/>
        <v>W</v>
      </c>
      <c r="K17" s="9" t="s">
        <v>185</v>
      </c>
      <c r="L17" s="10">
        <f>L14*100</f>
        <v>103.35246637265764</v>
      </c>
    </row>
    <row r="18" spans="1:14" ht="15.75" thickBot="1" x14ac:dyDescent="0.3">
      <c r="A18" t="s">
        <v>37</v>
      </c>
      <c r="B18" t="s">
        <v>40</v>
      </c>
      <c r="C18" t="s">
        <v>92</v>
      </c>
      <c r="E18" s="1" t="str">
        <f t="shared" si="1"/>
        <v>Away</v>
      </c>
      <c r="F18" s="3">
        <f t="shared" si="2"/>
        <v>5</v>
      </c>
      <c r="G18" s="3">
        <f t="shared" si="3"/>
        <v>10</v>
      </c>
      <c r="H18" s="3">
        <f t="shared" si="0"/>
        <v>15</v>
      </c>
      <c r="I18" s="3" t="str">
        <f t="shared" si="4"/>
        <v>L</v>
      </c>
      <c r="K18" s="11" t="s">
        <v>186</v>
      </c>
      <c r="L18" s="12">
        <f>L15*100</f>
        <v>102.06765452290851</v>
      </c>
    </row>
    <row r="19" spans="1:14" x14ac:dyDescent="0.25">
      <c r="A19" t="s">
        <v>39</v>
      </c>
      <c r="B19" t="s">
        <v>115</v>
      </c>
      <c r="C19" t="s">
        <v>36</v>
      </c>
      <c r="E19" s="1" t="str">
        <f t="shared" si="1"/>
        <v>Away</v>
      </c>
      <c r="F19" s="3">
        <f t="shared" si="2"/>
        <v>1</v>
      </c>
      <c r="G19" s="3">
        <f t="shared" si="3"/>
        <v>5</v>
      </c>
      <c r="H19" s="3">
        <f t="shared" si="0"/>
        <v>6</v>
      </c>
      <c r="I19" s="3" t="str">
        <f t="shared" si="4"/>
        <v>L</v>
      </c>
    </row>
    <row r="20" spans="1:14" x14ac:dyDescent="0.25">
      <c r="A20" t="s">
        <v>41</v>
      </c>
      <c r="B20" t="s">
        <v>98</v>
      </c>
      <c r="C20" t="s">
        <v>275</v>
      </c>
      <c r="E20" s="1" t="str">
        <f t="shared" si="1"/>
        <v>Home</v>
      </c>
      <c r="F20" s="3">
        <f t="shared" si="2"/>
        <v>12</v>
      </c>
      <c r="G20" s="3">
        <f t="shared" si="3"/>
        <v>6</v>
      </c>
      <c r="H20" s="3">
        <f t="shared" si="0"/>
        <v>18</v>
      </c>
      <c r="I20" s="3" t="str">
        <f t="shared" si="4"/>
        <v>W</v>
      </c>
    </row>
    <row r="21" spans="1:14" x14ac:dyDescent="0.25">
      <c r="A21" t="s">
        <v>43</v>
      </c>
      <c r="B21" t="s">
        <v>319</v>
      </c>
      <c r="C21" t="s">
        <v>320</v>
      </c>
      <c r="E21" s="1" t="str">
        <f t="shared" si="1"/>
        <v>Away</v>
      </c>
      <c r="F21" s="3">
        <f t="shared" si="2"/>
        <v>5</v>
      </c>
      <c r="G21" s="3">
        <f t="shared" si="3"/>
        <v>1</v>
      </c>
      <c r="H21" s="3">
        <f t="shared" si="0"/>
        <v>6</v>
      </c>
      <c r="I21" s="3" t="str">
        <f t="shared" si="4"/>
        <v>W</v>
      </c>
    </row>
    <row r="22" spans="1:14" x14ac:dyDescent="0.25">
      <c r="A22" t="s">
        <v>45</v>
      </c>
      <c r="B22" t="s">
        <v>321</v>
      </c>
      <c r="C22" t="s">
        <v>128</v>
      </c>
      <c r="E22" s="1" t="str">
        <f t="shared" si="1"/>
        <v>Home</v>
      </c>
      <c r="F22" s="3">
        <f t="shared" si="2"/>
        <v>6</v>
      </c>
      <c r="G22" s="3">
        <f t="shared" si="3"/>
        <v>5</v>
      </c>
      <c r="H22" s="3">
        <f t="shared" si="0"/>
        <v>11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321</v>
      </c>
      <c r="C23" t="s">
        <v>254</v>
      </c>
      <c r="E23" s="1" t="str">
        <f t="shared" si="1"/>
        <v>Home</v>
      </c>
      <c r="F23" s="3">
        <f t="shared" si="2"/>
        <v>5</v>
      </c>
      <c r="G23" s="3">
        <f t="shared" si="3"/>
        <v>4</v>
      </c>
      <c r="H23" s="3">
        <f t="shared" si="0"/>
        <v>9</v>
      </c>
      <c r="I23" s="3" t="str">
        <f t="shared" si="4"/>
        <v>W</v>
      </c>
      <c r="K23" s="1">
        <f>COUNTIFS(Table6[At], "Home",Table6[Result], "W")</f>
        <v>18</v>
      </c>
      <c r="L23" s="1">
        <f>COUNTIFS(Table6[At], "Home",Table6[Result], "L")</f>
        <v>18</v>
      </c>
      <c r="M23" s="1">
        <f>COUNTIFS(Table6[At], "Away",Table6[Result], "W")</f>
        <v>18</v>
      </c>
      <c r="N23" s="1">
        <f>COUNTIFS(Table6[At], "Away",Table6[Result], "L")</f>
        <v>18</v>
      </c>
    </row>
    <row r="24" spans="1:14" x14ac:dyDescent="0.25">
      <c r="A24" t="s">
        <v>49</v>
      </c>
      <c r="B24" t="s">
        <v>319</v>
      </c>
      <c r="C24" t="s">
        <v>259</v>
      </c>
      <c r="E24" s="1" t="str">
        <f t="shared" si="1"/>
        <v>Away</v>
      </c>
      <c r="F24" s="3">
        <f t="shared" si="2"/>
        <v>0</v>
      </c>
      <c r="G24" s="3">
        <f t="shared" si="3"/>
        <v>5</v>
      </c>
      <c r="H24" s="3">
        <f t="shared" si="0"/>
        <v>5</v>
      </c>
      <c r="I24" s="3" t="str">
        <f t="shared" si="4"/>
        <v>L</v>
      </c>
      <c r="K24" s="1"/>
      <c r="M24" s="1"/>
      <c r="N24" s="1"/>
    </row>
    <row r="25" spans="1:14" x14ac:dyDescent="0.25">
      <c r="A25" t="s">
        <v>51</v>
      </c>
      <c r="B25" t="s">
        <v>74</v>
      </c>
      <c r="C25" t="s">
        <v>229</v>
      </c>
      <c r="E25" s="1" t="str">
        <f t="shared" si="1"/>
        <v>Home</v>
      </c>
      <c r="F25" s="3">
        <f t="shared" si="2"/>
        <v>7</v>
      </c>
      <c r="G25" s="3">
        <f t="shared" si="3"/>
        <v>1</v>
      </c>
      <c r="H25" s="3">
        <f t="shared" si="0"/>
        <v>8</v>
      </c>
      <c r="I25" s="3" t="str">
        <f t="shared" si="4"/>
        <v>W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74</v>
      </c>
      <c r="C26" t="s">
        <v>85</v>
      </c>
      <c r="E26" s="1" t="str">
        <f t="shared" si="1"/>
        <v>Home</v>
      </c>
      <c r="F26" s="3">
        <f t="shared" si="2"/>
        <v>5</v>
      </c>
      <c r="G26" s="3">
        <f t="shared" si="3"/>
        <v>3</v>
      </c>
      <c r="H26" s="3">
        <f t="shared" si="0"/>
        <v>8</v>
      </c>
      <c r="I26" s="3" t="str">
        <f t="shared" si="4"/>
        <v>W</v>
      </c>
      <c r="K26" s="1">
        <f>COUNTIFS(Table6[oR/G], "&gt;0",Table6[Result], "W")</f>
        <v>14</v>
      </c>
      <c r="L26" s="1">
        <f>COUNTIFS(Table6[oR/G], "&gt;0",Table6[Result], "l")</f>
        <v>26</v>
      </c>
      <c r="M26" s="1">
        <f>COUNTIFS(Table6[oR/G], "&lt;0",Table6[Result], "W")</f>
        <v>22</v>
      </c>
      <c r="N26" s="1">
        <f>COUNTIFS(Table6[oR/G], "&lt;0",Table6[Result], "l")</f>
        <v>10</v>
      </c>
    </row>
    <row r="27" spans="1:14" x14ac:dyDescent="0.25">
      <c r="A27" t="s">
        <v>53</v>
      </c>
      <c r="B27" t="s">
        <v>315</v>
      </c>
      <c r="C27" t="s">
        <v>300</v>
      </c>
      <c r="E27" s="1" t="str">
        <f t="shared" si="1"/>
        <v>Away</v>
      </c>
      <c r="F27" s="3">
        <f t="shared" si="2"/>
        <v>9</v>
      </c>
      <c r="G27" s="3">
        <f t="shared" si="3"/>
        <v>4</v>
      </c>
      <c r="H27" s="3">
        <f t="shared" si="0"/>
        <v>13</v>
      </c>
      <c r="I27" s="3" t="str">
        <f t="shared" si="4"/>
        <v>W</v>
      </c>
    </row>
    <row r="28" spans="1:14" x14ac:dyDescent="0.25">
      <c r="A28" t="s">
        <v>247</v>
      </c>
      <c r="B28" t="s">
        <v>103</v>
      </c>
      <c r="C28" t="s">
        <v>322</v>
      </c>
      <c r="E28" s="1" t="str">
        <f t="shared" si="1"/>
        <v>Home</v>
      </c>
      <c r="F28" s="3">
        <f t="shared" si="2"/>
        <v>6</v>
      </c>
      <c r="G28" s="3">
        <f t="shared" si="3"/>
        <v>7</v>
      </c>
      <c r="H28" s="3">
        <f t="shared" si="0"/>
        <v>13</v>
      </c>
      <c r="I28" s="3" t="str">
        <f t="shared" si="4"/>
        <v>L</v>
      </c>
    </row>
    <row r="29" spans="1:14" x14ac:dyDescent="0.25">
      <c r="A29" t="s">
        <v>54</v>
      </c>
      <c r="B29" t="s">
        <v>103</v>
      </c>
      <c r="C29" t="s">
        <v>199</v>
      </c>
      <c r="E29" s="1" t="str">
        <f t="shared" si="1"/>
        <v>Home</v>
      </c>
      <c r="F29" s="3">
        <f t="shared" si="2"/>
        <v>3</v>
      </c>
      <c r="G29" s="3">
        <f t="shared" si="3"/>
        <v>7</v>
      </c>
      <c r="H29" s="3">
        <f t="shared" si="0"/>
        <v>10</v>
      </c>
      <c r="I29" s="3" t="str">
        <f t="shared" si="4"/>
        <v>L</v>
      </c>
    </row>
    <row r="30" spans="1:14" x14ac:dyDescent="0.25">
      <c r="A30" t="s">
        <v>57</v>
      </c>
      <c r="B30" t="s">
        <v>315</v>
      </c>
      <c r="C30" t="s">
        <v>323</v>
      </c>
      <c r="E30" s="1" t="str">
        <f t="shared" si="1"/>
        <v>Away</v>
      </c>
      <c r="F30" s="3">
        <f t="shared" si="2"/>
        <v>7</v>
      </c>
      <c r="G30" s="3">
        <f t="shared" si="3"/>
        <v>6</v>
      </c>
      <c r="H30" s="3">
        <f t="shared" si="0"/>
        <v>13</v>
      </c>
      <c r="I30" s="3" t="str">
        <f t="shared" si="4"/>
        <v>W</v>
      </c>
    </row>
    <row r="31" spans="1:14" x14ac:dyDescent="0.25">
      <c r="A31" t="s">
        <v>57</v>
      </c>
      <c r="B31" t="s">
        <v>315</v>
      </c>
      <c r="C31" t="s">
        <v>323</v>
      </c>
      <c r="E31" s="1" t="str">
        <f t="shared" si="1"/>
        <v>Away</v>
      </c>
      <c r="F31" s="3">
        <f t="shared" si="2"/>
        <v>7</v>
      </c>
      <c r="G31" s="3">
        <f t="shared" si="3"/>
        <v>6</v>
      </c>
      <c r="H31" s="3">
        <f t="shared" si="0"/>
        <v>13</v>
      </c>
      <c r="I31" s="3" t="str">
        <f t="shared" si="4"/>
        <v>W</v>
      </c>
    </row>
    <row r="32" spans="1:14" x14ac:dyDescent="0.25">
      <c r="A32" t="s">
        <v>60</v>
      </c>
      <c r="B32" t="s">
        <v>314</v>
      </c>
      <c r="C32" t="s">
        <v>28</v>
      </c>
      <c r="E32" s="1" t="str">
        <f t="shared" si="1"/>
        <v>Home</v>
      </c>
      <c r="F32" s="3">
        <f t="shared" si="2"/>
        <v>4</v>
      </c>
      <c r="G32" s="3">
        <f t="shared" si="3"/>
        <v>2</v>
      </c>
      <c r="H32" s="3">
        <f t="shared" si="0"/>
        <v>6</v>
      </c>
      <c r="I32" s="3" t="str">
        <f t="shared" si="4"/>
        <v>W</v>
      </c>
    </row>
    <row r="33" spans="1:9" x14ac:dyDescent="0.25">
      <c r="A33" t="s">
        <v>62</v>
      </c>
      <c r="B33" t="s">
        <v>120</v>
      </c>
      <c r="C33" t="s">
        <v>264</v>
      </c>
      <c r="E33" s="1" t="str">
        <f t="shared" si="1"/>
        <v>Away</v>
      </c>
      <c r="F33" s="3">
        <f t="shared" si="2"/>
        <v>6</v>
      </c>
      <c r="G33" s="3">
        <f t="shared" si="3"/>
        <v>2</v>
      </c>
      <c r="H33" s="3">
        <f t="shared" si="0"/>
        <v>8</v>
      </c>
      <c r="I33" s="3" t="str">
        <f t="shared" si="4"/>
        <v>W</v>
      </c>
    </row>
    <row r="34" spans="1:9" x14ac:dyDescent="0.25">
      <c r="A34" t="s">
        <v>64</v>
      </c>
      <c r="B34" t="s">
        <v>120</v>
      </c>
      <c r="C34" t="s">
        <v>324</v>
      </c>
      <c r="E34" s="1" t="str">
        <f t="shared" si="1"/>
        <v>Away</v>
      </c>
      <c r="F34" s="3">
        <f t="shared" si="2"/>
        <v>14</v>
      </c>
      <c r="G34" s="3">
        <f t="shared" si="3"/>
        <v>4</v>
      </c>
      <c r="H34" s="3">
        <f t="shared" si="0"/>
        <v>18</v>
      </c>
      <c r="I34" s="3" t="str">
        <f t="shared" si="4"/>
        <v>W</v>
      </c>
    </row>
    <row r="35" spans="1:9" x14ac:dyDescent="0.25">
      <c r="A35" t="s">
        <v>66</v>
      </c>
      <c r="B35" t="s">
        <v>103</v>
      </c>
      <c r="C35" t="s">
        <v>240</v>
      </c>
      <c r="E35" s="1" t="str">
        <f t="shared" si="1"/>
        <v>Home</v>
      </c>
      <c r="F35" s="3">
        <f t="shared" si="2"/>
        <v>1</v>
      </c>
      <c r="G35" s="3">
        <f t="shared" si="3"/>
        <v>3</v>
      </c>
      <c r="H35" s="3">
        <f t="shared" si="0"/>
        <v>4</v>
      </c>
      <c r="I35" s="3" t="str">
        <f t="shared" si="4"/>
        <v>L</v>
      </c>
    </row>
    <row r="36" spans="1:9" x14ac:dyDescent="0.25">
      <c r="A36" t="s">
        <v>67</v>
      </c>
      <c r="B36" t="s">
        <v>103</v>
      </c>
      <c r="C36" t="s">
        <v>254</v>
      </c>
      <c r="E36" s="1" t="str">
        <f t="shared" si="1"/>
        <v>Home</v>
      </c>
      <c r="F36" s="3">
        <f t="shared" si="2"/>
        <v>5</v>
      </c>
      <c r="G36" s="3">
        <f t="shared" si="3"/>
        <v>4</v>
      </c>
      <c r="H36" s="3">
        <f t="shared" si="0"/>
        <v>9</v>
      </c>
      <c r="I36" s="3" t="str">
        <f t="shared" si="4"/>
        <v>W</v>
      </c>
    </row>
    <row r="37" spans="1:9" x14ac:dyDescent="0.25">
      <c r="A37" t="s">
        <v>68</v>
      </c>
      <c r="B37" t="s">
        <v>20</v>
      </c>
      <c r="C37" t="s">
        <v>205</v>
      </c>
      <c r="E37" s="1" t="str">
        <f t="shared" si="1"/>
        <v>Home</v>
      </c>
      <c r="F37" s="3">
        <f t="shared" si="2"/>
        <v>5</v>
      </c>
      <c r="G37" s="3">
        <f t="shared" si="3"/>
        <v>6</v>
      </c>
      <c r="H37" s="3">
        <f t="shared" si="0"/>
        <v>11</v>
      </c>
      <c r="I37" s="3" t="str">
        <f t="shared" si="4"/>
        <v>L</v>
      </c>
    </row>
    <row r="38" spans="1:9" x14ac:dyDescent="0.25">
      <c r="A38" t="s">
        <v>71</v>
      </c>
      <c r="B38" t="s">
        <v>20</v>
      </c>
      <c r="C38" t="s">
        <v>325</v>
      </c>
      <c r="E38" s="1" t="str">
        <f t="shared" si="1"/>
        <v>Home</v>
      </c>
      <c r="F38" s="3">
        <f t="shared" si="2"/>
        <v>7</v>
      </c>
      <c r="G38" s="3">
        <f t="shared" si="3"/>
        <v>6</v>
      </c>
      <c r="H38" s="3">
        <f t="shared" si="0"/>
        <v>13</v>
      </c>
      <c r="I38" s="3" t="str">
        <f t="shared" si="4"/>
        <v>L</v>
      </c>
    </row>
    <row r="39" spans="1:9" x14ac:dyDescent="0.25">
      <c r="A39" t="s">
        <v>209</v>
      </c>
      <c r="B39" t="s">
        <v>319</v>
      </c>
      <c r="C39" t="s">
        <v>291</v>
      </c>
      <c r="E39" s="1" t="str">
        <f t="shared" si="1"/>
        <v>Away</v>
      </c>
      <c r="F39" s="3">
        <f t="shared" si="2"/>
        <v>14</v>
      </c>
      <c r="G39" s="3">
        <f t="shared" si="3"/>
        <v>8</v>
      </c>
      <c r="H39" s="3">
        <f t="shared" si="0"/>
        <v>22</v>
      </c>
      <c r="I39" s="3" t="str">
        <f t="shared" si="4"/>
        <v>W</v>
      </c>
    </row>
    <row r="40" spans="1:9" x14ac:dyDescent="0.25">
      <c r="A40" t="s">
        <v>76</v>
      </c>
      <c r="B40" t="s">
        <v>23</v>
      </c>
      <c r="C40" t="s">
        <v>254</v>
      </c>
      <c r="E40" s="1" t="str">
        <f t="shared" si="1"/>
        <v>Home</v>
      </c>
      <c r="F40" s="3">
        <f t="shared" si="2"/>
        <v>5</v>
      </c>
      <c r="G40" s="3">
        <f t="shared" si="3"/>
        <v>4</v>
      </c>
      <c r="H40" s="3">
        <f t="shared" si="0"/>
        <v>9</v>
      </c>
      <c r="I40" s="3" t="str">
        <f t="shared" si="4"/>
        <v>W</v>
      </c>
    </row>
    <row r="41" spans="1:9" x14ac:dyDescent="0.25">
      <c r="A41" t="s">
        <v>78</v>
      </c>
      <c r="B41" t="s">
        <v>23</v>
      </c>
      <c r="C41" t="s">
        <v>323</v>
      </c>
      <c r="E41" s="1" t="str">
        <f t="shared" si="1"/>
        <v>Home</v>
      </c>
      <c r="F41" s="3">
        <f t="shared" si="2"/>
        <v>7</v>
      </c>
      <c r="G41" s="3">
        <f t="shared" si="3"/>
        <v>6</v>
      </c>
      <c r="H41" s="3">
        <f t="shared" si="0"/>
        <v>13</v>
      </c>
      <c r="I41" s="3" t="str">
        <f t="shared" si="4"/>
        <v>W</v>
      </c>
    </row>
    <row r="42" spans="1:9" x14ac:dyDescent="0.25">
      <c r="A42" t="s">
        <v>80</v>
      </c>
      <c r="B42" t="s">
        <v>52</v>
      </c>
      <c r="C42" t="s">
        <v>326</v>
      </c>
      <c r="E42" s="1" t="str">
        <f t="shared" si="1"/>
        <v>Home</v>
      </c>
      <c r="F42" s="3">
        <f t="shared" si="2"/>
        <v>10</v>
      </c>
      <c r="G42" s="3">
        <f t="shared" si="3"/>
        <v>9</v>
      </c>
      <c r="H42" s="3">
        <f t="shared" si="0"/>
        <v>19</v>
      </c>
      <c r="I42" s="3" t="str">
        <f t="shared" si="4"/>
        <v>W</v>
      </c>
    </row>
    <row r="43" spans="1:9" x14ac:dyDescent="0.25">
      <c r="A43" t="s">
        <v>81</v>
      </c>
      <c r="B43" t="s">
        <v>30</v>
      </c>
      <c r="C43" t="s">
        <v>327</v>
      </c>
      <c r="E43" s="1" t="str">
        <f t="shared" si="1"/>
        <v>Away</v>
      </c>
      <c r="F43" s="3">
        <f t="shared" si="2"/>
        <v>9</v>
      </c>
      <c r="G43" s="3">
        <f t="shared" si="3"/>
        <v>7</v>
      </c>
      <c r="H43" s="3">
        <f t="shared" si="0"/>
        <v>16</v>
      </c>
      <c r="I43" s="3" t="str">
        <f t="shared" si="4"/>
        <v>W</v>
      </c>
    </row>
    <row r="44" spans="1:9" x14ac:dyDescent="0.25">
      <c r="A44" t="s">
        <v>82</v>
      </c>
      <c r="B44" t="s">
        <v>115</v>
      </c>
      <c r="C44" t="s">
        <v>276</v>
      </c>
      <c r="E44" s="1" t="str">
        <f t="shared" si="1"/>
        <v>Away</v>
      </c>
      <c r="F44" s="3">
        <f t="shared" si="2"/>
        <v>2</v>
      </c>
      <c r="G44" s="3">
        <f t="shared" si="3"/>
        <v>4</v>
      </c>
      <c r="H44" s="3">
        <f t="shared" si="0"/>
        <v>6</v>
      </c>
      <c r="I44" s="3" t="str">
        <f t="shared" si="4"/>
        <v>L</v>
      </c>
    </row>
    <row r="45" spans="1:9" x14ac:dyDescent="0.25">
      <c r="A45" t="s">
        <v>84</v>
      </c>
      <c r="B45" t="s">
        <v>98</v>
      </c>
      <c r="C45" t="s">
        <v>323</v>
      </c>
      <c r="E45" s="1" t="str">
        <f t="shared" si="1"/>
        <v>Home</v>
      </c>
      <c r="F45" s="3">
        <f t="shared" si="2"/>
        <v>7</v>
      </c>
      <c r="G45" s="3">
        <f t="shared" si="3"/>
        <v>6</v>
      </c>
      <c r="H45" s="3">
        <f t="shared" si="0"/>
        <v>13</v>
      </c>
      <c r="I45" s="3" t="str">
        <f t="shared" si="4"/>
        <v>W</v>
      </c>
    </row>
    <row r="46" spans="1:9" x14ac:dyDescent="0.25">
      <c r="A46" t="s">
        <v>86</v>
      </c>
      <c r="B46" t="s">
        <v>124</v>
      </c>
      <c r="C46" t="s">
        <v>320</v>
      </c>
      <c r="E46" s="1" t="str">
        <f t="shared" si="1"/>
        <v>Away</v>
      </c>
      <c r="F46" s="3">
        <f t="shared" si="2"/>
        <v>5</v>
      </c>
      <c r="G46" s="3">
        <f t="shared" si="3"/>
        <v>1</v>
      </c>
      <c r="H46" s="3">
        <f t="shared" si="0"/>
        <v>6</v>
      </c>
      <c r="I46" s="3" t="str">
        <f t="shared" si="4"/>
        <v>W</v>
      </c>
    </row>
    <row r="47" spans="1:9" x14ac:dyDescent="0.25">
      <c r="A47" t="s">
        <v>88</v>
      </c>
      <c r="B47" t="s">
        <v>74</v>
      </c>
      <c r="C47" t="s">
        <v>21</v>
      </c>
      <c r="E47" s="1" t="str">
        <f t="shared" si="1"/>
        <v>Home</v>
      </c>
      <c r="F47" s="3">
        <f t="shared" si="2"/>
        <v>6</v>
      </c>
      <c r="G47" s="3">
        <f t="shared" si="3"/>
        <v>1</v>
      </c>
      <c r="H47" s="3">
        <f t="shared" si="0"/>
        <v>7</v>
      </c>
      <c r="I47" s="3" t="str">
        <f t="shared" si="4"/>
        <v>W</v>
      </c>
    </row>
    <row r="48" spans="1:9" x14ac:dyDescent="0.25">
      <c r="A48" t="s">
        <v>91</v>
      </c>
      <c r="B48" t="s">
        <v>74</v>
      </c>
      <c r="C48" t="s">
        <v>207</v>
      </c>
      <c r="E48" s="1" t="str">
        <f t="shared" si="1"/>
        <v>Home</v>
      </c>
      <c r="F48" s="3">
        <f t="shared" si="2"/>
        <v>3</v>
      </c>
      <c r="G48" s="3">
        <f t="shared" si="3"/>
        <v>8</v>
      </c>
      <c r="H48" s="3">
        <f t="shared" si="0"/>
        <v>11</v>
      </c>
      <c r="I48" s="3" t="str">
        <f t="shared" si="4"/>
        <v>L</v>
      </c>
    </row>
    <row r="49" spans="1:9" x14ac:dyDescent="0.25">
      <c r="A49" t="s">
        <v>93</v>
      </c>
      <c r="B49" t="s">
        <v>115</v>
      </c>
      <c r="C49" t="s">
        <v>226</v>
      </c>
      <c r="E49" s="1" t="str">
        <f t="shared" si="1"/>
        <v>Away</v>
      </c>
      <c r="F49" s="3">
        <f t="shared" si="2"/>
        <v>3</v>
      </c>
      <c r="G49" s="3">
        <f t="shared" si="3"/>
        <v>2</v>
      </c>
      <c r="H49" s="3">
        <f t="shared" si="0"/>
        <v>5</v>
      </c>
      <c r="I49" s="3" t="str">
        <f t="shared" si="4"/>
        <v>W</v>
      </c>
    </row>
    <row r="50" spans="1:9" x14ac:dyDescent="0.25">
      <c r="A50" t="s">
        <v>96</v>
      </c>
      <c r="B50" t="s">
        <v>98</v>
      </c>
      <c r="C50" t="s">
        <v>65</v>
      </c>
      <c r="E50" s="1" t="str">
        <f t="shared" si="1"/>
        <v>Home</v>
      </c>
      <c r="F50" s="3">
        <f t="shared" si="2"/>
        <v>1</v>
      </c>
      <c r="G50" s="3">
        <f t="shared" si="3"/>
        <v>4</v>
      </c>
      <c r="H50" s="3">
        <f t="shared" si="0"/>
        <v>5</v>
      </c>
      <c r="I50" s="3" t="str">
        <f t="shared" si="4"/>
        <v>L</v>
      </c>
    </row>
    <row r="51" spans="1:9" x14ac:dyDescent="0.25">
      <c r="A51" t="s">
        <v>97</v>
      </c>
      <c r="B51" t="s">
        <v>124</v>
      </c>
      <c r="C51" t="s">
        <v>246</v>
      </c>
      <c r="E51" s="1" t="str">
        <f t="shared" si="1"/>
        <v>Away</v>
      </c>
      <c r="F51" s="3">
        <f t="shared" si="2"/>
        <v>4</v>
      </c>
      <c r="G51" s="3">
        <f t="shared" si="3"/>
        <v>6</v>
      </c>
      <c r="H51" s="3">
        <f t="shared" si="0"/>
        <v>10</v>
      </c>
      <c r="I51" s="3" t="str">
        <f t="shared" si="4"/>
        <v>L</v>
      </c>
    </row>
    <row r="52" spans="1:9" x14ac:dyDescent="0.25">
      <c r="A52" t="s">
        <v>97</v>
      </c>
      <c r="B52" t="s">
        <v>124</v>
      </c>
      <c r="C52" t="s">
        <v>251</v>
      </c>
      <c r="E52" s="1" t="str">
        <f t="shared" si="1"/>
        <v>Away</v>
      </c>
      <c r="F52" s="3">
        <f t="shared" si="2"/>
        <v>2</v>
      </c>
      <c r="G52" s="3">
        <f t="shared" si="3"/>
        <v>7</v>
      </c>
      <c r="H52" s="3">
        <f t="shared" si="0"/>
        <v>9</v>
      </c>
      <c r="I52" s="3" t="str">
        <f t="shared" si="4"/>
        <v>L</v>
      </c>
    </row>
    <row r="53" spans="1:9" x14ac:dyDescent="0.25">
      <c r="A53" t="s">
        <v>100</v>
      </c>
      <c r="B53" t="s">
        <v>124</v>
      </c>
      <c r="C53" t="s">
        <v>253</v>
      </c>
      <c r="E53" s="1" t="str">
        <f t="shared" si="1"/>
        <v>Away</v>
      </c>
      <c r="F53" s="3">
        <f t="shared" si="2"/>
        <v>4</v>
      </c>
      <c r="G53" s="3">
        <f t="shared" si="3"/>
        <v>0</v>
      </c>
      <c r="H53" s="3">
        <f t="shared" si="0"/>
        <v>4</v>
      </c>
      <c r="I53" s="3" t="str">
        <f t="shared" si="4"/>
        <v>W</v>
      </c>
    </row>
    <row r="54" spans="1:9" x14ac:dyDescent="0.25">
      <c r="A54" t="s">
        <v>215</v>
      </c>
      <c r="B54" t="s">
        <v>314</v>
      </c>
      <c r="C54" t="s">
        <v>277</v>
      </c>
      <c r="E54" s="1" t="str">
        <f t="shared" si="1"/>
        <v>Home</v>
      </c>
      <c r="F54" s="3">
        <f t="shared" si="2"/>
        <v>5</v>
      </c>
      <c r="G54" s="3">
        <f t="shared" si="3"/>
        <v>8</v>
      </c>
      <c r="H54" s="3">
        <f t="shared" si="0"/>
        <v>13</v>
      </c>
      <c r="I54" s="3" t="str">
        <f t="shared" si="4"/>
        <v>L</v>
      </c>
    </row>
    <row r="55" spans="1:9" x14ac:dyDescent="0.25">
      <c r="A55" t="s">
        <v>102</v>
      </c>
      <c r="B55" t="s">
        <v>315</v>
      </c>
      <c r="C55" t="s">
        <v>26</v>
      </c>
      <c r="E55" s="1" t="str">
        <f t="shared" si="1"/>
        <v>Away</v>
      </c>
      <c r="F55" s="3">
        <f t="shared" si="2"/>
        <v>10</v>
      </c>
      <c r="G55" s="3">
        <f t="shared" si="3"/>
        <v>6</v>
      </c>
      <c r="H55" s="3">
        <f t="shared" si="0"/>
        <v>16</v>
      </c>
      <c r="I55" s="3" t="str">
        <f t="shared" si="4"/>
        <v>W</v>
      </c>
    </row>
    <row r="56" spans="1:9" x14ac:dyDescent="0.25">
      <c r="A56" t="s">
        <v>105</v>
      </c>
      <c r="B56" t="s">
        <v>321</v>
      </c>
      <c r="C56" t="s">
        <v>276</v>
      </c>
      <c r="E56" s="1" t="str">
        <f t="shared" si="1"/>
        <v>Home</v>
      </c>
      <c r="F56" s="3">
        <f t="shared" si="2"/>
        <v>2</v>
      </c>
      <c r="G56" s="3">
        <f t="shared" si="3"/>
        <v>4</v>
      </c>
      <c r="H56" s="3">
        <f t="shared" si="0"/>
        <v>6</v>
      </c>
      <c r="I56" s="3" t="str">
        <f t="shared" si="4"/>
        <v>L</v>
      </c>
    </row>
    <row r="57" spans="1:9" x14ac:dyDescent="0.25">
      <c r="A57" t="s">
        <v>105</v>
      </c>
      <c r="B57" t="s">
        <v>321</v>
      </c>
      <c r="C57" t="s">
        <v>328</v>
      </c>
      <c r="E57" s="1" t="str">
        <f t="shared" si="1"/>
        <v>Home</v>
      </c>
      <c r="F57" s="3">
        <f t="shared" si="2"/>
        <v>14</v>
      </c>
      <c r="G57" s="3">
        <f t="shared" si="3"/>
        <v>5</v>
      </c>
      <c r="H57" s="3">
        <f t="shared" si="0"/>
        <v>19</v>
      </c>
      <c r="I57" s="3" t="str">
        <f t="shared" si="4"/>
        <v>W</v>
      </c>
    </row>
    <row r="58" spans="1:9" x14ac:dyDescent="0.25">
      <c r="A58" t="s">
        <v>107</v>
      </c>
      <c r="B58" t="s">
        <v>321</v>
      </c>
      <c r="C58" t="s">
        <v>320</v>
      </c>
      <c r="E58" s="1" t="str">
        <f t="shared" si="1"/>
        <v>Home</v>
      </c>
      <c r="F58" s="3">
        <f t="shared" si="2"/>
        <v>5</v>
      </c>
      <c r="G58" s="3">
        <f t="shared" si="3"/>
        <v>1</v>
      </c>
      <c r="H58" s="3">
        <f t="shared" si="0"/>
        <v>6</v>
      </c>
      <c r="I58" s="3" t="str">
        <f t="shared" si="4"/>
        <v>W</v>
      </c>
    </row>
    <row r="59" spans="1:9" x14ac:dyDescent="0.25">
      <c r="A59" t="s">
        <v>108</v>
      </c>
      <c r="B59" t="s">
        <v>314</v>
      </c>
      <c r="C59" t="s">
        <v>33</v>
      </c>
      <c r="E59" s="1" t="str">
        <f t="shared" si="1"/>
        <v>Home</v>
      </c>
      <c r="F59" s="3">
        <f t="shared" si="2"/>
        <v>7</v>
      </c>
      <c r="G59" s="3">
        <f t="shared" si="3"/>
        <v>4</v>
      </c>
      <c r="H59" s="3">
        <f t="shared" si="0"/>
        <v>11</v>
      </c>
      <c r="I59" s="3" t="str">
        <f t="shared" si="4"/>
        <v>W</v>
      </c>
    </row>
    <row r="60" spans="1:9" x14ac:dyDescent="0.25">
      <c r="A60" t="s">
        <v>110</v>
      </c>
      <c r="B60" t="s">
        <v>314</v>
      </c>
      <c r="C60" t="s">
        <v>244</v>
      </c>
      <c r="E60" s="1" t="str">
        <f t="shared" si="1"/>
        <v>Home</v>
      </c>
      <c r="F60" s="3">
        <f t="shared" si="2"/>
        <v>6</v>
      </c>
      <c r="G60" s="3">
        <f t="shared" si="3"/>
        <v>3</v>
      </c>
      <c r="H60" s="3">
        <f t="shared" si="0"/>
        <v>9</v>
      </c>
      <c r="I60" s="3" t="str">
        <f t="shared" si="4"/>
        <v>W</v>
      </c>
    </row>
    <row r="61" spans="1:9" x14ac:dyDescent="0.25">
      <c r="A61" t="s">
        <v>111</v>
      </c>
      <c r="B61" t="s">
        <v>124</v>
      </c>
      <c r="C61" t="s">
        <v>33</v>
      </c>
      <c r="E61" s="1" t="str">
        <f t="shared" si="1"/>
        <v>Away</v>
      </c>
      <c r="F61" s="3">
        <f t="shared" si="2"/>
        <v>7</v>
      </c>
      <c r="G61" s="3">
        <f t="shared" si="3"/>
        <v>4</v>
      </c>
      <c r="H61" s="3">
        <f t="shared" si="0"/>
        <v>11</v>
      </c>
      <c r="I61" s="3" t="str">
        <f t="shared" si="4"/>
        <v>W</v>
      </c>
    </row>
    <row r="62" spans="1:9" x14ac:dyDescent="0.25">
      <c r="A62" t="s">
        <v>112</v>
      </c>
      <c r="B62" t="s">
        <v>103</v>
      </c>
      <c r="C62" t="s">
        <v>83</v>
      </c>
      <c r="E62" s="1" t="str">
        <f t="shared" si="1"/>
        <v>Home</v>
      </c>
      <c r="F62" s="3">
        <f t="shared" si="2"/>
        <v>4</v>
      </c>
      <c r="G62" s="3">
        <f t="shared" si="3"/>
        <v>7</v>
      </c>
      <c r="H62" s="3">
        <f t="shared" si="0"/>
        <v>11</v>
      </c>
      <c r="I62" s="3" t="str">
        <f t="shared" si="4"/>
        <v>L</v>
      </c>
    </row>
    <row r="63" spans="1:9" x14ac:dyDescent="0.25">
      <c r="A63" t="s">
        <v>114</v>
      </c>
      <c r="B63" t="s">
        <v>120</v>
      </c>
      <c r="C63" t="s">
        <v>329</v>
      </c>
      <c r="E63" s="1" t="str">
        <f t="shared" si="1"/>
        <v>Away</v>
      </c>
      <c r="F63" s="3">
        <f t="shared" si="2"/>
        <v>5</v>
      </c>
      <c r="G63" s="3">
        <f t="shared" si="3"/>
        <v>2</v>
      </c>
      <c r="H63" s="3">
        <f t="shared" si="0"/>
        <v>7</v>
      </c>
      <c r="I63" s="3" t="str">
        <f t="shared" si="4"/>
        <v>W</v>
      </c>
    </row>
    <row r="64" spans="1:9" x14ac:dyDescent="0.25">
      <c r="A64" t="s">
        <v>117</v>
      </c>
      <c r="B64" t="s">
        <v>120</v>
      </c>
      <c r="C64" t="s">
        <v>50</v>
      </c>
      <c r="E64" s="1" t="str">
        <f t="shared" si="1"/>
        <v>Away</v>
      </c>
      <c r="F64" s="3">
        <f t="shared" si="2"/>
        <v>3</v>
      </c>
      <c r="G64" s="3">
        <f t="shared" si="3"/>
        <v>4</v>
      </c>
      <c r="H64" s="3">
        <f t="shared" si="0"/>
        <v>7</v>
      </c>
      <c r="I64" s="3" t="str">
        <f t="shared" si="4"/>
        <v>L</v>
      </c>
    </row>
    <row r="65" spans="1:10" x14ac:dyDescent="0.25">
      <c r="A65" t="s">
        <v>119</v>
      </c>
      <c r="B65" t="s">
        <v>319</v>
      </c>
      <c r="C65" t="s">
        <v>323</v>
      </c>
      <c r="E65" s="1" t="str">
        <f t="shared" si="1"/>
        <v>Away</v>
      </c>
      <c r="F65" s="3">
        <f t="shared" si="2"/>
        <v>7</v>
      </c>
      <c r="G65" s="3">
        <f t="shared" si="3"/>
        <v>6</v>
      </c>
      <c r="H65" s="3">
        <f t="shared" si="0"/>
        <v>13</v>
      </c>
      <c r="I65" s="3" t="str">
        <f t="shared" si="4"/>
        <v>W</v>
      </c>
    </row>
    <row r="66" spans="1:10" x14ac:dyDescent="0.25">
      <c r="A66" t="s">
        <v>122</v>
      </c>
      <c r="B66" t="s">
        <v>321</v>
      </c>
      <c r="C66" t="s">
        <v>249</v>
      </c>
      <c r="E66" s="1" t="str">
        <f t="shared" si="1"/>
        <v>Home</v>
      </c>
      <c r="F66" s="3">
        <f t="shared" si="2"/>
        <v>9</v>
      </c>
      <c r="G66" s="3">
        <f t="shared" si="3"/>
        <v>11</v>
      </c>
      <c r="H66" s="3">
        <f t="shared" si="0"/>
        <v>20</v>
      </c>
      <c r="I66" s="3" t="str">
        <f t="shared" si="4"/>
        <v>L</v>
      </c>
    </row>
    <row r="67" spans="1:10" x14ac:dyDescent="0.25">
      <c r="A67" t="s">
        <v>123</v>
      </c>
      <c r="B67" t="s">
        <v>115</v>
      </c>
      <c r="C67" t="s">
        <v>279</v>
      </c>
      <c r="E67" s="1" t="str">
        <f t="shared" si="1"/>
        <v>Away</v>
      </c>
      <c r="F67" s="3">
        <f t="shared" si="2"/>
        <v>7</v>
      </c>
      <c r="G67" s="3">
        <f t="shared" si="3"/>
        <v>2</v>
      </c>
      <c r="H67" s="3">
        <f t="shared" ref="H67:H73" si="6">F67+G67</f>
        <v>9</v>
      </c>
      <c r="I67" s="3" t="str">
        <f t="shared" si="4"/>
        <v>W</v>
      </c>
    </row>
    <row r="68" spans="1:10" x14ac:dyDescent="0.25">
      <c r="A68" t="s">
        <v>123</v>
      </c>
      <c r="B68" t="s">
        <v>98</v>
      </c>
      <c r="C68" t="s">
        <v>269</v>
      </c>
      <c r="E68" s="1" t="str">
        <f t="shared" ref="E68:E73" si="7">IF(LEFT(B68,1)="@","Away","Home")</f>
        <v>Home</v>
      </c>
      <c r="F68" s="3">
        <f t="shared" ref="F68:F73" si="8">_xlfn.NUMBERVALUE(MID(LEFT(C68,FIND("-",C68)-1),FIND(" ",C68)+1,LEN(C68)))</f>
        <v>2</v>
      </c>
      <c r="G68" s="3">
        <f t="shared" ref="G68:G73" si="9">_xlfn.NUMBERVALUE(RIGHT(C68,LEN(C68)-FIND("-",C68)))</f>
        <v>3</v>
      </c>
      <c r="H68" s="3">
        <f t="shared" si="6"/>
        <v>5</v>
      </c>
      <c r="I68" s="3" t="str">
        <f t="shared" ref="I68:I74" si="10">LEFT(C68,1)</f>
        <v>L</v>
      </c>
    </row>
    <row r="69" spans="1:10" x14ac:dyDescent="0.25">
      <c r="A69" t="s">
        <v>126</v>
      </c>
      <c r="B69" t="s">
        <v>315</v>
      </c>
      <c r="C69" t="s">
        <v>38</v>
      </c>
      <c r="E69" s="1" t="str">
        <f t="shared" si="7"/>
        <v>Away</v>
      </c>
      <c r="F69" s="3">
        <f t="shared" si="8"/>
        <v>3</v>
      </c>
      <c r="G69" s="3">
        <f t="shared" si="9"/>
        <v>5</v>
      </c>
      <c r="H69" s="3">
        <f t="shared" si="6"/>
        <v>8</v>
      </c>
      <c r="I69" s="3" t="str">
        <f t="shared" si="10"/>
        <v>L</v>
      </c>
    </row>
    <row r="70" spans="1:10" x14ac:dyDescent="0.25">
      <c r="A70" t="s">
        <v>129</v>
      </c>
      <c r="B70" t="s">
        <v>74</v>
      </c>
      <c r="C70" t="s">
        <v>320</v>
      </c>
      <c r="E70" s="1" t="str">
        <f t="shared" si="7"/>
        <v>Home</v>
      </c>
      <c r="F70" s="3">
        <f t="shared" si="8"/>
        <v>5</v>
      </c>
      <c r="G70" s="3">
        <f t="shared" si="9"/>
        <v>1</v>
      </c>
      <c r="H70" s="3">
        <f t="shared" si="6"/>
        <v>6</v>
      </c>
      <c r="I70" s="3" t="str">
        <f t="shared" si="10"/>
        <v>W</v>
      </c>
    </row>
    <row r="71" spans="1:10" x14ac:dyDescent="0.25">
      <c r="A71" t="s">
        <v>131</v>
      </c>
      <c r="B71" t="s">
        <v>74</v>
      </c>
      <c r="C71" t="s">
        <v>267</v>
      </c>
      <c r="E71" s="1" t="str">
        <f t="shared" si="7"/>
        <v>Home</v>
      </c>
      <c r="F71" s="3">
        <f t="shared" si="8"/>
        <v>8</v>
      </c>
      <c r="G71" s="3">
        <f t="shared" si="9"/>
        <v>7</v>
      </c>
      <c r="H71" s="3">
        <f t="shared" si="6"/>
        <v>15</v>
      </c>
      <c r="I71" s="3" t="str">
        <f t="shared" si="10"/>
        <v>W</v>
      </c>
    </row>
    <row r="72" spans="1:10" x14ac:dyDescent="0.25">
      <c r="A72" t="s">
        <v>133</v>
      </c>
      <c r="B72" t="s">
        <v>319</v>
      </c>
      <c r="C72" t="s">
        <v>330</v>
      </c>
      <c r="E72" s="1" t="str">
        <f t="shared" si="7"/>
        <v>Away</v>
      </c>
      <c r="F72" s="3">
        <f t="shared" si="8"/>
        <v>1</v>
      </c>
      <c r="G72" s="3">
        <f t="shared" si="9"/>
        <v>11</v>
      </c>
      <c r="H72" s="3">
        <f t="shared" si="6"/>
        <v>12</v>
      </c>
      <c r="I72" s="3" t="str">
        <f t="shared" si="10"/>
        <v>L</v>
      </c>
    </row>
    <row r="73" spans="1:10" x14ac:dyDescent="0.25">
      <c r="A73" t="s">
        <v>134</v>
      </c>
      <c r="B73" t="s">
        <v>319</v>
      </c>
      <c r="C73" t="s">
        <v>271</v>
      </c>
      <c r="E73" s="1" t="str">
        <f t="shared" si="7"/>
        <v>Away</v>
      </c>
      <c r="F73" s="3">
        <f t="shared" si="8"/>
        <v>5</v>
      </c>
      <c r="G73" s="3">
        <f t="shared" si="9"/>
        <v>11</v>
      </c>
      <c r="H73" s="3">
        <f t="shared" si="6"/>
        <v>16</v>
      </c>
      <c r="I73" s="3" t="str">
        <f t="shared" si="10"/>
        <v>L</v>
      </c>
    </row>
    <row r="74" spans="1:10" x14ac:dyDescent="0.25">
      <c r="E74" s="1"/>
      <c r="F74" s="3"/>
      <c r="G74" s="3"/>
      <c r="H74" s="3"/>
      <c r="I74" s="3" t="str">
        <f t="shared" si="10"/>
        <v/>
      </c>
    </row>
    <row r="75" spans="1:10" x14ac:dyDescent="0.25">
      <c r="A75" t="s">
        <v>1</v>
      </c>
      <c r="B75" t="s">
        <v>2</v>
      </c>
      <c r="C75" t="s">
        <v>469</v>
      </c>
      <c r="D75" t="s">
        <v>135</v>
      </c>
      <c r="E75" t="s">
        <v>136</v>
      </c>
      <c r="F75" t="s">
        <v>137</v>
      </c>
      <c r="G75" t="s">
        <v>138</v>
      </c>
      <c r="H75" t="s">
        <v>3</v>
      </c>
      <c r="I75" t="s">
        <v>494</v>
      </c>
      <c r="J75" t="s">
        <v>495</v>
      </c>
    </row>
    <row r="76" spans="1:10" x14ac:dyDescent="0.25">
      <c r="A76" t="s">
        <v>448</v>
      </c>
      <c r="B76" t="s">
        <v>74</v>
      </c>
      <c r="C76" t="s">
        <v>287</v>
      </c>
      <c r="D76" t="str">
        <f>IF(LEFT(Table6[[#This Row],[Opponent]],1)="@","Away","Home")</f>
        <v>Home</v>
      </c>
      <c r="E76">
        <f>_xlfn.NUMBERVALUE(MID(LEFT(Table6[[#This Row],[Score]],FIND("-",Table6[[#This Row],[Score]])-1),FIND(" ",Table6[[#This Row],[Score]])+1,LEN(Table6[[#This Row],[Score]])))</f>
        <v>11</v>
      </c>
      <c r="F76">
        <f>_xlfn.NUMBERVALUE(RIGHT(Table6[[#This Row],[Score]],LEN(Table6[[#This Row],[Score]])-FIND("-",Table6[[#This Row],[Score]])))</f>
        <v>2</v>
      </c>
      <c r="G76">
        <f t="shared" ref="G76" si="11">E76+F76</f>
        <v>13</v>
      </c>
      <c r="H76" t="str">
        <f>LEFT(Table6[[#This Row],[Score]],1)</f>
        <v>W</v>
      </c>
      <c r="I76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76" s="33">
        <f>VLOOKUP(Table6[[#This Row],[OPP]],Raw!$L$2:$S$23,7,FALSE)-Raw!$U$2</f>
        <v>0.17977853842844585</v>
      </c>
    </row>
    <row r="77" spans="1:10" x14ac:dyDescent="0.25">
      <c r="A77" t="s">
        <v>449</v>
      </c>
      <c r="B77" t="s">
        <v>120</v>
      </c>
      <c r="C77" t="s">
        <v>238</v>
      </c>
      <c r="D77" t="str">
        <f>IF(LEFT(Table6[[#This Row],[Opponent]],1)="@","Away","Home")</f>
        <v>Away</v>
      </c>
      <c r="E77">
        <f>_xlfn.NUMBERVALUE(MID(LEFT(Table6[[#This Row],[Score]],FIND("-",Table6[[#This Row],[Score]])-1),FIND(" ",Table6[[#This Row],[Score]])+1,LEN(Table6[[#This Row],[Score]])))</f>
        <v>10</v>
      </c>
      <c r="F77">
        <f>_xlfn.NUMBERVALUE(RIGHT(Table6[[#This Row],[Score]],LEN(Table6[[#This Row],[Score]])-FIND("-",Table6[[#This Row],[Score]])))</f>
        <v>2</v>
      </c>
      <c r="G77">
        <f t="shared" ref="G77:G97" si="12">E77+F77</f>
        <v>12</v>
      </c>
      <c r="H77" t="str">
        <f>LEFT(Table6[[#This Row],[Score]],1)</f>
        <v>W</v>
      </c>
      <c r="I77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77" s="33">
        <f>VLOOKUP(Table6[[#This Row],[OPP]],Raw!$L$2:$S$23,7,FALSE)-Raw!$U$2</f>
        <v>0.17977853842844585</v>
      </c>
    </row>
    <row r="78" spans="1:10" x14ac:dyDescent="0.25">
      <c r="A78" t="s">
        <v>450</v>
      </c>
      <c r="B78" t="s">
        <v>115</v>
      </c>
      <c r="C78" t="s">
        <v>444</v>
      </c>
      <c r="D78" t="str">
        <f>IF(LEFT(Table6[[#This Row],[Opponent]],1)="@","Away","Home")</f>
        <v>Away</v>
      </c>
      <c r="E78">
        <f>_xlfn.NUMBERVALUE(MID(LEFT(Table6[[#This Row],[Score]],FIND("-",Table6[[#This Row],[Score]])-1),FIND(" ",Table6[[#This Row],[Score]])+1,LEN(Table6[[#This Row],[Score]])))</f>
        <v>15</v>
      </c>
      <c r="F78">
        <f>_xlfn.NUMBERVALUE(RIGHT(Table6[[#This Row],[Score]],LEN(Table6[[#This Row],[Score]])-FIND("-",Table6[[#This Row],[Score]])))</f>
        <v>9</v>
      </c>
      <c r="G78">
        <f t="shared" si="12"/>
        <v>24</v>
      </c>
      <c r="H78" t="str">
        <f>LEFT(Table6[[#This Row],[Score]],1)</f>
        <v>W</v>
      </c>
      <c r="I78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78" s="33">
        <f>VLOOKUP(Table6[[#This Row],[OPP]],Raw!$L$2:$S$23,7,FALSE)-Raw!$U$2</f>
        <v>-1.4060978308986276</v>
      </c>
    </row>
    <row r="79" spans="1:10" x14ac:dyDescent="0.25">
      <c r="A79" t="s">
        <v>451</v>
      </c>
      <c r="B79" t="s">
        <v>98</v>
      </c>
      <c r="C79" t="s">
        <v>335</v>
      </c>
      <c r="D79" t="str">
        <f>IF(LEFT(Table6[[#This Row],[Opponent]],1)="@","Away","Home")</f>
        <v>Home</v>
      </c>
      <c r="E79">
        <f>_xlfn.NUMBERVALUE(MID(LEFT(Table6[[#This Row],[Score]],FIND("-",Table6[[#This Row],[Score]])-1),FIND(" ",Table6[[#This Row],[Score]])+1,LEN(Table6[[#This Row],[Score]])))</f>
        <v>6</v>
      </c>
      <c r="F79">
        <f>_xlfn.NUMBERVALUE(RIGHT(Table6[[#This Row],[Score]],LEN(Table6[[#This Row],[Score]])-FIND("-",Table6[[#This Row],[Score]])))</f>
        <v>4</v>
      </c>
      <c r="G79">
        <f t="shared" si="12"/>
        <v>10</v>
      </c>
      <c r="H79" t="str">
        <f>LEFT(Table6[[#This Row],[Score]],1)</f>
        <v>W</v>
      </c>
      <c r="I79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79" s="33">
        <f>VLOOKUP(Table6[[#This Row],[OPP]],Raw!$L$2:$S$23,7,FALSE)-Raw!$U$2</f>
        <v>-1.4060978308986276</v>
      </c>
    </row>
    <row r="80" spans="1:10" x14ac:dyDescent="0.25">
      <c r="A80" t="s">
        <v>453</v>
      </c>
      <c r="B80" t="s">
        <v>319</v>
      </c>
      <c r="C80" t="s">
        <v>327</v>
      </c>
      <c r="D80" t="str">
        <f>IF(LEFT(Table6[[#This Row],[Opponent]],1)="@","Away","Home")</f>
        <v>Away</v>
      </c>
      <c r="E80">
        <f>_xlfn.NUMBERVALUE(MID(LEFT(Table6[[#This Row],[Score]],FIND("-",Table6[[#This Row],[Score]])-1),FIND(" ",Table6[[#This Row],[Score]])+1,LEN(Table6[[#This Row],[Score]])))</f>
        <v>9</v>
      </c>
      <c r="F80">
        <f>_xlfn.NUMBERVALUE(RIGHT(Table6[[#This Row],[Score]],LEN(Table6[[#This Row],[Score]])-FIND("-",Table6[[#This Row],[Score]])))</f>
        <v>7</v>
      </c>
      <c r="G80">
        <f t="shared" si="12"/>
        <v>16</v>
      </c>
      <c r="H80" t="str">
        <f>LEFT(Table6[[#This Row],[Score]],1)</f>
        <v>W</v>
      </c>
      <c r="I80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80" s="33">
        <f>VLOOKUP(Table6[[#This Row],[OPP]],Raw!$L$2:$S$23,7,FALSE)-Raw!$U$2</f>
        <v>-1.5172089420097388</v>
      </c>
    </row>
    <row r="81" spans="1:10" x14ac:dyDescent="0.25">
      <c r="A81" t="s">
        <v>454</v>
      </c>
      <c r="B81" t="s">
        <v>321</v>
      </c>
      <c r="C81" t="s">
        <v>83</v>
      </c>
      <c r="D81" t="str">
        <f>IF(LEFT(Table6[[#This Row],[Opponent]],1)="@","Away","Home")</f>
        <v>Home</v>
      </c>
      <c r="E81">
        <f>_xlfn.NUMBERVALUE(MID(LEFT(Table6[[#This Row],[Score]],FIND("-",Table6[[#This Row],[Score]])-1),FIND(" ",Table6[[#This Row],[Score]])+1,LEN(Table6[[#This Row],[Score]])))</f>
        <v>4</v>
      </c>
      <c r="F81">
        <f>_xlfn.NUMBERVALUE(RIGHT(Table6[[#This Row],[Score]],LEN(Table6[[#This Row],[Score]])-FIND("-",Table6[[#This Row],[Score]])))</f>
        <v>7</v>
      </c>
      <c r="G81">
        <f t="shared" si="12"/>
        <v>11</v>
      </c>
      <c r="H81" t="str">
        <f>LEFT(Table6[[#This Row],[Score]],1)</f>
        <v>L</v>
      </c>
      <c r="I81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81" s="33">
        <f>VLOOKUP(Table6[[#This Row],[OPP]],Raw!$L$2:$S$23,7,FALSE)-Raw!$U$2</f>
        <v>-1.5172089420097388</v>
      </c>
    </row>
    <row r="82" spans="1:10" x14ac:dyDescent="0.25">
      <c r="A82" t="s">
        <v>455</v>
      </c>
      <c r="B82" t="s">
        <v>314</v>
      </c>
      <c r="C82" t="s">
        <v>280</v>
      </c>
      <c r="D82" t="str">
        <f>IF(LEFT(Table6[[#This Row],[Opponent]],1)="@","Away","Home")</f>
        <v>Home</v>
      </c>
      <c r="E82">
        <f>_xlfn.NUMBERVALUE(MID(LEFT(Table6[[#This Row],[Score]],FIND("-",Table6[[#This Row],[Score]])-1),FIND(" ",Table6[[#This Row],[Score]])+1,LEN(Table6[[#This Row],[Score]])))</f>
        <v>8</v>
      </c>
      <c r="F82">
        <f>_xlfn.NUMBERVALUE(RIGHT(Table6[[#This Row],[Score]],LEN(Table6[[#This Row],[Score]])-FIND("-",Table6[[#This Row],[Score]])))</f>
        <v>3</v>
      </c>
      <c r="G82">
        <f t="shared" si="12"/>
        <v>11</v>
      </c>
      <c r="H82" t="str">
        <f>LEFT(Table6[[#This Row],[Score]],1)</f>
        <v>W</v>
      </c>
      <c r="I82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82" s="33">
        <f>VLOOKUP(Table6[[#This Row],[OPP]],Raw!$L$2:$S$23,7,FALSE)-Raw!$U$2</f>
        <v>0.13556883576803896</v>
      </c>
    </row>
    <row r="83" spans="1:10" x14ac:dyDescent="0.25">
      <c r="A83" t="s">
        <v>456</v>
      </c>
      <c r="B83" t="s">
        <v>315</v>
      </c>
      <c r="C83" t="s">
        <v>254</v>
      </c>
      <c r="D83" t="str">
        <f>IF(LEFT(Table6[[#This Row],[Opponent]],1)="@","Away","Home")</f>
        <v>Away</v>
      </c>
      <c r="E83">
        <f>_xlfn.NUMBERVALUE(MID(LEFT(Table6[[#This Row],[Score]],FIND("-",Table6[[#This Row],[Score]])-1),FIND(" ",Table6[[#This Row],[Score]])+1,LEN(Table6[[#This Row],[Score]])))</f>
        <v>5</v>
      </c>
      <c r="F83">
        <f>_xlfn.NUMBERVALUE(RIGHT(Table6[[#This Row],[Score]],LEN(Table6[[#This Row],[Score]])-FIND("-",Table6[[#This Row],[Score]])))</f>
        <v>4</v>
      </c>
      <c r="G83">
        <f t="shared" si="12"/>
        <v>9</v>
      </c>
      <c r="H83" t="str">
        <f>LEFT(Table6[[#This Row],[Score]],1)</f>
        <v>W</v>
      </c>
      <c r="I83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83" s="33">
        <f>VLOOKUP(Table6[[#This Row],[OPP]],Raw!$L$2:$S$23,7,FALSE)-Raw!$U$2</f>
        <v>0.13556883576803896</v>
      </c>
    </row>
    <row r="84" spans="1:10" x14ac:dyDescent="0.25">
      <c r="A84" t="s">
        <v>470</v>
      </c>
      <c r="B84" t="s">
        <v>98</v>
      </c>
      <c r="C84" t="s">
        <v>132</v>
      </c>
      <c r="D84" t="str">
        <f>IF(LEFT(Table6[[#This Row],[Opponent]],1)="@","Away","Home")</f>
        <v>Home</v>
      </c>
      <c r="E84">
        <f>_xlfn.NUMBERVALUE(MID(LEFT(Table6[[#This Row],[Score]],FIND("-",Table6[[#This Row],[Score]])-1),FIND(" ",Table6[[#This Row],[Score]])+1,LEN(Table6[[#This Row],[Score]])))</f>
        <v>3</v>
      </c>
      <c r="F84">
        <f>_xlfn.NUMBERVALUE(RIGHT(Table6[[#This Row],[Score]],LEN(Table6[[#This Row],[Score]])-FIND("-",Table6[[#This Row],[Score]])))</f>
        <v>6</v>
      </c>
      <c r="G84">
        <f t="shared" si="12"/>
        <v>9</v>
      </c>
      <c r="H84" t="str">
        <f>LEFT(Table6[[#This Row],[Score]],1)</f>
        <v>L</v>
      </c>
      <c r="I84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84" s="33">
        <f>VLOOKUP(Table6[[#This Row],[OPP]],Raw!$L$2:$S$23,7,FALSE)-Raw!$U$2</f>
        <v>-1.4060978308986276</v>
      </c>
    </row>
    <row r="85" spans="1:10" x14ac:dyDescent="0.25">
      <c r="A85" t="s">
        <v>457</v>
      </c>
      <c r="B85" t="s">
        <v>98</v>
      </c>
      <c r="C85" t="s">
        <v>229</v>
      </c>
      <c r="D85" t="str">
        <f>IF(LEFT(Table6[[#This Row],[Opponent]],1)="@","Away","Home")</f>
        <v>Home</v>
      </c>
      <c r="E85">
        <f>_xlfn.NUMBERVALUE(MID(LEFT(Table6[[#This Row],[Score]],FIND("-",Table6[[#This Row],[Score]])-1),FIND(" ",Table6[[#This Row],[Score]])+1,LEN(Table6[[#This Row],[Score]])))</f>
        <v>7</v>
      </c>
      <c r="F85">
        <f>_xlfn.NUMBERVALUE(RIGHT(Table6[[#This Row],[Score]],LEN(Table6[[#This Row],[Score]])-FIND("-",Table6[[#This Row],[Score]])))</f>
        <v>1</v>
      </c>
      <c r="G85">
        <f t="shared" si="12"/>
        <v>8</v>
      </c>
      <c r="H85" t="str">
        <f>LEFT(Table6[[#This Row],[Score]],1)</f>
        <v>W</v>
      </c>
      <c r="I85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85" s="33">
        <f>VLOOKUP(Table6[[#This Row],[OPP]],Raw!$L$2:$S$23,7,FALSE)-Raw!$U$2</f>
        <v>-1.4060978308986276</v>
      </c>
    </row>
    <row r="86" spans="1:10" x14ac:dyDescent="0.25">
      <c r="A86" t="s">
        <v>458</v>
      </c>
      <c r="B86" t="s">
        <v>315</v>
      </c>
      <c r="C86" t="s">
        <v>18</v>
      </c>
      <c r="D86" t="str">
        <f>IF(LEFT(Table6[[#This Row],[Opponent]],1)="@","Away","Home")</f>
        <v>Away</v>
      </c>
      <c r="E86">
        <f>_xlfn.NUMBERVALUE(MID(LEFT(Table6[[#This Row],[Score]],FIND("-",Table6[[#This Row],[Score]])-1),FIND(" ",Table6[[#This Row],[Score]])+1,LEN(Table6[[#This Row],[Score]])))</f>
        <v>8</v>
      </c>
      <c r="F86">
        <f>_xlfn.NUMBERVALUE(RIGHT(Table6[[#This Row],[Score]],LEN(Table6[[#This Row],[Score]])-FIND("-",Table6[[#This Row],[Score]])))</f>
        <v>9</v>
      </c>
      <c r="G86">
        <f t="shared" si="12"/>
        <v>17</v>
      </c>
      <c r="H86" t="str">
        <f>LEFT(Table6[[#This Row],[Score]],1)</f>
        <v>L</v>
      </c>
      <c r="I86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86" s="33">
        <f>VLOOKUP(Table6[[#This Row],[OPP]],Raw!$L$2:$S$23,7,FALSE)-Raw!$U$2</f>
        <v>0.13556883576803896</v>
      </c>
    </row>
    <row r="87" spans="1:10" x14ac:dyDescent="0.25">
      <c r="A87" t="s">
        <v>459</v>
      </c>
      <c r="B87" t="s">
        <v>315</v>
      </c>
      <c r="C87" t="s">
        <v>48</v>
      </c>
      <c r="D87" t="str">
        <f>IF(LEFT(Table6[[#This Row],[Opponent]],1)="@","Away","Home")</f>
        <v>Away</v>
      </c>
      <c r="E87">
        <f>_xlfn.NUMBERVALUE(MID(LEFT(Table6[[#This Row],[Score]],FIND("-",Table6[[#This Row],[Score]])-1),FIND(" ",Table6[[#This Row],[Score]])+1,LEN(Table6[[#This Row],[Score]])))</f>
        <v>4</v>
      </c>
      <c r="F87">
        <f>_xlfn.NUMBERVALUE(RIGHT(Table6[[#This Row],[Score]],LEN(Table6[[#This Row],[Score]])-FIND("-",Table6[[#This Row],[Score]])))</f>
        <v>5</v>
      </c>
      <c r="G87">
        <f t="shared" si="12"/>
        <v>9</v>
      </c>
      <c r="H87" t="str">
        <f>LEFT(Table6[[#This Row],[Score]],1)</f>
        <v>L</v>
      </c>
      <c r="I87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87" s="33">
        <f>VLOOKUP(Table6[[#This Row],[OPP]],Raw!$L$2:$S$23,7,FALSE)-Raw!$U$2</f>
        <v>0.13556883576803896</v>
      </c>
    </row>
    <row r="88" spans="1:10" x14ac:dyDescent="0.25">
      <c r="A88" t="s">
        <v>460</v>
      </c>
      <c r="B88" t="s">
        <v>120</v>
      </c>
      <c r="C88" t="s">
        <v>199</v>
      </c>
      <c r="D88" t="str">
        <f>IF(LEFT(Table6[[#This Row],[Opponent]],1)="@","Away","Home")</f>
        <v>Away</v>
      </c>
      <c r="E88">
        <f>_xlfn.NUMBERVALUE(MID(LEFT(Table6[[#This Row],[Score]],FIND("-",Table6[[#This Row],[Score]])-1),FIND(" ",Table6[[#This Row],[Score]])+1,LEN(Table6[[#This Row],[Score]])))</f>
        <v>3</v>
      </c>
      <c r="F88">
        <f>_xlfn.NUMBERVALUE(RIGHT(Table6[[#This Row],[Score]],LEN(Table6[[#This Row],[Score]])-FIND("-",Table6[[#This Row],[Score]])))</f>
        <v>7</v>
      </c>
      <c r="G88">
        <f t="shared" si="12"/>
        <v>10</v>
      </c>
      <c r="H88" t="str">
        <f>LEFT(Table6[[#This Row],[Score]],1)</f>
        <v>L</v>
      </c>
      <c r="I88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88" s="33">
        <f>VLOOKUP(Table6[[#This Row],[OPP]],Raw!$L$2:$S$23,7,FALSE)-Raw!$U$2</f>
        <v>0.17977853842844585</v>
      </c>
    </row>
    <row r="89" spans="1:10" x14ac:dyDescent="0.25">
      <c r="A89" t="s">
        <v>471</v>
      </c>
      <c r="B89" t="s">
        <v>74</v>
      </c>
      <c r="C89" t="s">
        <v>374</v>
      </c>
      <c r="D89" t="str">
        <f>IF(LEFT(Table6[[#This Row],[Opponent]],1)="@","Away","Home")</f>
        <v>Home</v>
      </c>
      <c r="E89">
        <f>_xlfn.NUMBERVALUE(MID(LEFT(Table6[[#This Row],[Score]],FIND("-",Table6[[#This Row],[Score]])-1),FIND(" ",Table6[[#This Row],[Score]])+1,LEN(Table6[[#This Row],[Score]])))</f>
        <v>6</v>
      </c>
      <c r="F89">
        <f>_xlfn.NUMBERVALUE(RIGHT(Table6[[#This Row],[Score]],LEN(Table6[[#This Row],[Score]])-FIND("-",Table6[[#This Row],[Score]])))</f>
        <v>9</v>
      </c>
      <c r="G89">
        <f t="shared" si="12"/>
        <v>15</v>
      </c>
      <c r="H89" t="str">
        <f>LEFT(Table6[[#This Row],[Score]],1)</f>
        <v>L</v>
      </c>
      <c r="I89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89" s="33">
        <f>VLOOKUP(Table6[[#This Row],[OPP]],Raw!$L$2:$S$23,7,FALSE)-Raw!$U$2</f>
        <v>0.17977853842844585</v>
      </c>
    </row>
    <row r="90" spans="1:10" x14ac:dyDescent="0.25">
      <c r="A90" t="s">
        <v>461</v>
      </c>
      <c r="B90" t="s">
        <v>103</v>
      </c>
      <c r="C90" t="s">
        <v>310</v>
      </c>
      <c r="D90" t="str">
        <f>IF(LEFT(Table6[[#This Row],[Opponent]],1)="@","Away","Home")</f>
        <v>Home</v>
      </c>
      <c r="E90">
        <f>_xlfn.NUMBERVALUE(MID(LEFT(Table6[[#This Row],[Score]],FIND("-",Table6[[#This Row],[Score]])-1),FIND(" ",Table6[[#This Row],[Score]])+1,LEN(Table6[[#This Row],[Score]])))</f>
        <v>2</v>
      </c>
      <c r="F90">
        <f>_xlfn.NUMBERVALUE(RIGHT(Table6[[#This Row],[Score]],LEN(Table6[[#This Row],[Score]])-FIND("-",Table6[[#This Row],[Score]])))</f>
        <v>17</v>
      </c>
      <c r="G90">
        <f t="shared" si="12"/>
        <v>19</v>
      </c>
      <c r="H90" t="str">
        <f>LEFT(Table6[[#This Row],[Score]],1)</f>
        <v>L</v>
      </c>
      <c r="I90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90" s="33">
        <f>VLOOKUP(Table6[[#This Row],[OPP]],Raw!$L$2:$S$23,7,FALSE)-Raw!$U$2</f>
        <v>2.7744577246569277</v>
      </c>
    </row>
    <row r="91" spans="1:10" x14ac:dyDescent="0.25">
      <c r="A91" t="s">
        <v>463</v>
      </c>
      <c r="B91" t="s">
        <v>319</v>
      </c>
      <c r="C91" t="s">
        <v>417</v>
      </c>
      <c r="D91" t="str">
        <f>IF(LEFT(Table6[[#This Row],[Opponent]],1)="@","Away","Home")</f>
        <v>Away</v>
      </c>
      <c r="E91">
        <f>_xlfn.NUMBERVALUE(MID(LEFT(Table6[[#This Row],[Score]],FIND("-",Table6[[#This Row],[Score]])-1),FIND(" ",Table6[[#This Row],[Score]])+1,LEN(Table6[[#This Row],[Score]])))</f>
        <v>15</v>
      </c>
      <c r="F91">
        <f>_xlfn.NUMBERVALUE(RIGHT(Table6[[#This Row],[Score]],LEN(Table6[[#This Row],[Score]])-FIND("-",Table6[[#This Row],[Score]])))</f>
        <v>2</v>
      </c>
      <c r="G91">
        <f t="shared" si="12"/>
        <v>17</v>
      </c>
      <c r="H91" t="str">
        <f>LEFT(Table6[[#This Row],[Score]],1)</f>
        <v>W</v>
      </c>
      <c r="I91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91" s="33">
        <f>VLOOKUP(Table6[[#This Row],[OPP]],Raw!$L$2:$S$23,7,FALSE)-Raw!$U$2</f>
        <v>-1.5172089420097388</v>
      </c>
    </row>
    <row r="92" spans="1:10" x14ac:dyDescent="0.25">
      <c r="A92" t="s">
        <v>463</v>
      </c>
      <c r="B92" t="s">
        <v>319</v>
      </c>
      <c r="C92" t="s">
        <v>44</v>
      </c>
      <c r="D92" t="str">
        <f>IF(LEFT(Table6[[#This Row],[Opponent]],1)="@","Away","Home")</f>
        <v>Away</v>
      </c>
      <c r="E92">
        <f>_xlfn.NUMBERVALUE(MID(LEFT(Table6[[#This Row],[Score]],FIND("-",Table6[[#This Row],[Score]])-1),FIND(" ",Table6[[#This Row],[Score]])+1,LEN(Table6[[#This Row],[Score]])))</f>
        <v>2</v>
      </c>
      <c r="F92">
        <f>_xlfn.NUMBERVALUE(RIGHT(Table6[[#This Row],[Score]],LEN(Table6[[#This Row],[Score]])-FIND("-",Table6[[#This Row],[Score]])))</f>
        <v>12</v>
      </c>
      <c r="G92">
        <f t="shared" si="12"/>
        <v>14</v>
      </c>
      <c r="H92" t="str">
        <f>LEFT(Table6[[#This Row],[Score]],1)</f>
        <v>L</v>
      </c>
      <c r="I92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92" s="33">
        <f>VLOOKUP(Table6[[#This Row],[OPP]],Raw!$L$2:$S$23,7,FALSE)-Raw!$U$2</f>
        <v>-1.5172089420097388</v>
      </c>
    </row>
    <row r="93" spans="1:10" x14ac:dyDescent="0.25">
      <c r="A93" t="s">
        <v>464</v>
      </c>
      <c r="B93" t="s">
        <v>314</v>
      </c>
      <c r="C93" t="s">
        <v>46</v>
      </c>
      <c r="D93" t="str">
        <f>IF(LEFT(Table6[[#This Row],[Opponent]],1)="@","Away","Home")</f>
        <v>Home</v>
      </c>
      <c r="E93">
        <f>_xlfn.NUMBERVALUE(MID(LEFT(Table6[[#This Row],[Score]],FIND("-",Table6[[#This Row],[Score]])-1),FIND(" ",Table6[[#This Row],[Score]])+1,LEN(Table6[[#This Row],[Score]])))</f>
        <v>6</v>
      </c>
      <c r="F93">
        <f>_xlfn.NUMBERVALUE(RIGHT(Table6[[#This Row],[Score]],LEN(Table6[[#This Row],[Score]])-FIND("-",Table6[[#This Row],[Score]])))</f>
        <v>8</v>
      </c>
      <c r="G93">
        <f t="shared" si="12"/>
        <v>14</v>
      </c>
      <c r="H93" t="str">
        <f>LEFT(Table6[[#This Row],[Score]],1)</f>
        <v>L</v>
      </c>
      <c r="I93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93" s="33">
        <f>VLOOKUP(Table6[[#This Row],[OPP]],Raw!$L$2:$S$23,7,FALSE)-Raw!$U$2</f>
        <v>0.13556883576803896</v>
      </c>
    </row>
    <row r="94" spans="1:10" x14ac:dyDescent="0.25">
      <c r="A94" t="s">
        <v>465</v>
      </c>
      <c r="B94" t="s">
        <v>315</v>
      </c>
      <c r="C94" t="s">
        <v>320</v>
      </c>
      <c r="D94" t="str">
        <f>IF(LEFT(Table6[[#This Row],[Opponent]],1)="@","Away","Home")</f>
        <v>Away</v>
      </c>
      <c r="E94">
        <f>_xlfn.NUMBERVALUE(MID(LEFT(Table6[[#This Row],[Score]],FIND("-",Table6[[#This Row],[Score]])-1),FIND(" ",Table6[[#This Row],[Score]])+1,LEN(Table6[[#This Row],[Score]])))</f>
        <v>5</v>
      </c>
      <c r="F94">
        <f>_xlfn.NUMBERVALUE(RIGHT(Table6[[#This Row],[Score]],LEN(Table6[[#This Row],[Score]])-FIND("-",Table6[[#This Row],[Score]])))</f>
        <v>1</v>
      </c>
      <c r="G94">
        <f t="shared" si="12"/>
        <v>6</v>
      </c>
      <c r="H94" t="str">
        <f>LEFT(Table6[[#This Row],[Score]],1)</f>
        <v>W</v>
      </c>
      <c r="I94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94" s="33">
        <f>VLOOKUP(Table6[[#This Row],[OPP]],Raw!$L$2:$S$23,7,FALSE)-Raw!$U$2</f>
        <v>0.13556883576803896</v>
      </c>
    </row>
    <row r="95" spans="1:10" x14ac:dyDescent="0.25">
      <c r="A95" t="s">
        <v>466</v>
      </c>
      <c r="B95" t="s">
        <v>319</v>
      </c>
      <c r="C95" t="s">
        <v>270</v>
      </c>
      <c r="D95" t="str">
        <f>IF(LEFT(Table6[[#This Row],[Opponent]],1)="@","Away","Home")</f>
        <v>Away</v>
      </c>
      <c r="E95">
        <f>_xlfn.NUMBERVALUE(MID(LEFT(Table6[[#This Row],[Score]],FIND("-",Table6[[#This Row],[Score]])-1),FIND(" ",Table6[[#This Row],[Score]])+1,LEN(Table6[[#This Row],[Score]])))</f>
        <v>4</v>
      </c>
      <c r="F95">
        <f>_xlfn.NUMBERVALUE(RIGHT(Table6[[#This Row],[Score]],LEN(Table6[[#This Row],[Score]])-FIND("-",Table6[[#This Row],[Score]])))</f>
        <v>3</v>
      </c>
      <c r="G95">
        <f t="shared" si="12"/>
        <v>7</v>
      </c>
      <c r="H95" t="str">
        <f>LEFT(Table6[[#This Row],[Score]],1)</f>
        <v>W</v>
      </c>
      <c r="I95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95" s="33">
        <f>VLOOKUP(Table6[[#This Row],[OPP]],Raw!$L$2:$S$23,7,FALSE)-Raw!$U$2</f>
        <v>-1.5172089420097388</v>
      </c>
    </row>
    <row r="96" spans="1:10" x14ac:dyDescent="0.25">
      <c r="A96" t="s">
        <v>467</v>
      </c>
      <c r="B96" t="s">
        <v>321</v>
      </c>
      <c r="C96" t="s">
        <v>234</v>
      </c>
      <c r="D96" t="str">
        <f>IF(LEFT(Table6[[#This Row],[Opponent]],1)="@","Away","Home")</f>
        <v>Home</v>
      </c>
      <c r="E96">
        <f>_xlfn.NUMBERVALUE(MID(LEFT(Table6[[#This Row],[Score]],FIND("-",Table6[[#This Row],[Score]])-1),FIND(" ",Table6[[#This Row],[Score]])+1,LEN(Table6[[#This Row],[Score]])))</f>
        <v>2</v>
      </c>
      <c r="F96">
        <f>_xlfn.NUMBERVALUE(RIGHT(Table6[[#This Row],[Score]],LEN(Table6[[#This Row],[Score]])-FIND("-",Table6[[#This Row],[Score]])))</f>
        <v>5</v>
      </c>
      <c r="G96">
        <f t="shared" si="12"/>
        <v>7</v>
      </c>
      <c r="H96" t="str">
        <f>LEFT(Table6[[#This Row],[Score]],1)</f>
        <v>L</v>
      </c>
      <c r="I96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96" s="33">
        <f>VLOOKUP(Table6[[#This Row],[OPP]],Raw!$L$2:$S$23,7,FALSE)-Raw!$U$2</f>
        <v>-1.5172089420097388</v>
      </c>
    </row>
    <row r="97" spans="1:10" x14ac:dyDescent="0.25">
      <c r="A97" t="s">
        <v>468</v>
      </c>
      <c r="B97" t="s">
        <v>124</v>
      </c>
      <c r="C97" t="s">
        <v>48</v>
      </c>
      <c r="D97" t="str">
        <f>IF(LEFT(Table6[[#This Row],[Opponent]],1)="@","Away","Home")</f>
        <v>Away</v>
      </c>
      <c r="E97">
        <f>_xlfn.NUMBERVALUE(MID(LEFT(Table6[[#This Row],[Score]],FIND("-",Table6[[#This Row],[Score]])-1),FIND(" ",Table6[[#This Row],[Score]])+1,LEN(Table6[[#This Row],[Score]])))</f>
        <v>4</v>
      </c>
      <c r="F97">
        <f>_xlfn.NUMBERVALUE(RIGHT(Table6[[#This Row],[Score]],LEN(Table6[[#This Row],[Score]])-FIND("-",Table6[[#This Row],[Score]])))</f>
        <v>5</v>
      </c>
      <c r="G97">
        <f t="shared" si="12"/>
        <v>9</v>
      </c>
      <c r="H97" t="str">
        <f>LEFT(Table6[[#This Row],[Score]],1)</f>
        <v>L</v>
      </c>
      <c r="I97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97" s="33">
        <f>VLOOKUP(Table6[[#This Row],[OPP]],Raw!$L$2:$S$23,7,FALSE)-Raw!$U$2</f>
        <v>2.7744577246569277</v>
      </c>
    </row>
    <row r="98" spans="1:10" x14ac:dyDescent="0.25">
      <c r="A98" t="s">
        <v>498</v>
      </c>
      <c r="B98" t="s">
        <v>124</v>
      </c>
      <c r="C98" t="s">
        <v>251</v>
      </c>
      <c r="D98" t="str">
        <f>IF(LEFT(Table6[[#This Row],[Opponent]],1)="@","Away","Home")</f>
        <v>Away</v>
      </c>
      <c r="E98">
        <f>_xlfn.NUMBERVALUE(MID(LEFT(Table6[[#This Row],[Score]],FIND("-",Table6[[#This Row],[Score]])-1),FIND(" ",Table6[[#This Row],[Score]])+1,LEN(Table6[[#This Row],[Score]])))</f>
        <v>2</v>
      </c>
      <c r="F98">
        <f>_xlfn.NUMBERVALUE(RIGHT(Table6[[#This Row],[Score]],LEN(Table6[[#This Row],[Score]])-FIND("-",Table6[[#This Row],[Score]])))</f>
        <v>7</v>
      </c>
      <c r="G98">
        <f t="shared" ref="G98:G100" si="13">E98+F98</f>
        <v>9</v>
      </c>
      <c r="H98" t="str">
        <f>LEFT(Table6[[#This Row],[Score]],1)</f>
        <v>L</v>
      </c>
      <c r="I98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98" s="33">
        <f>VLOOKUP(Table6[[#This Row],[OPP]],Raw!$L$2:$S$23,7,FALSE)-Raw!$U$2</f>
        <v>2.7744577246569277</v>
      </c>
    </row>
    <row r="99" spans="1:10" x14ac:dyDescent="0.25">
      <c r="A99" t="s">
        <v>499</v>
      </c>
      <c r="B99" t="s">
        <v>17</v>
      </c>
      <c r="C99" t="s">
        <v>55</v>
      </c>
      <c r="D99" t="str">
        <f>IF(LEFT(Table6[[#This Row],[Opponent]],1)="@","Away","Home")</f>
        <v>Away</v>
      </c>
      <c r="E99">
        <f>_xlfn.NUMBERVALUE(MID(LEFT(Table6[[#This Row],[Score]],FIND("-",Table6[[#This Row],[Score]])-1),FIND(" ",Table6[[#This Row],[Score]])+1,LEN(Table6[[#This Row],[Score]])))</f>
        <v>5</v>
      </c>
      <c r="F99">
        <f>_xlfn.NUMBERVALUE(RIGHT(Table6[[#This Row],[Score]],LEN(Table6[[#This Row],[Score]])-FIND("-",Table6[[#This Row],[Score]])))</f>
        <v>7</v>
      </c>
      <c r="G99">
        <f t="shared" si="13"/>
        <v>12</v>
      </c>
      <c r="H99" t="str">
        <f>LEFT(Table6[[#This Row],[Score]],1)</f>
        <v>L</v>
      </c>
      <c r="I99" s="17" t="str">
        <f>VLOOKUP(IF(Table6[[#This Row],[At]]="Home",Table6[[#This Row],[Opponent]],RIGHT(Table6[[#This Row],[Opponent]],LEN(Table6[[#This Row],[Opponent]])-1)),CHOOSE({1,2},[1]StandingsRAW!$J$1:$J$22,[1]StandingsRAW!$L$1:$L$22),2,FALSE)</f>
        <v>KZO</v>
      </c>
      <c r="J99" s="33">
        <f>VLOOKUP(Table6[[#This Row],[OPP]],Raw!$L$2:$S$23,7,FALSE)-Raw!$U$2</f>
        <v>0.53189121448478383</v>
      </c>
    </row>
    <row r="100" spans="1:10" x14ac:dyDescent="0.25">
      <c r="A100" t="s">
        <v>500</v>
      </c>
      <c r="B100" t="s">
        <v>17</v>
      </c>
      <c r="C100" t="s">
        <v>401</v>
      </c>
      <c r="D100" t="str">
        <f>IF(LEFT(Table6[[#This Row],[Opponent]],1)="@","Away","Home")</f>
        <v>Away</v>
      </c>
      <c r="E100">
        <f>_xlfn.NUMBERVALUE(MID(LEFT(Table6[[#This Row],[Score]],FIND("-",Table6[[#This Row],[Score]])-1),FIND(" ",Table6[[#This Row],[Score]])+1,LEN(Table6[[#This Row],[Score]])))</f>
        <v>11</v>
      </c>
      <c r="F100">
        <f>_xlfn.NUMBERVALUE(RIGHT(Table6[[#This Row],[Score]],LEN(Table6[[#This Row],[Score]])-FIND("-",Table6[[#This Row],[Score]])))</f>
        <v>8</v>
      </c>
      <c r="G100">
        <f t="shared" si="13"/>
        <v>19</v>
      </c>
      <c r="H100" t="str">
        <f>LEFT(Table6[[#This Row],[Score]],1)</f>
        <v>W</v>
      </c>
      <c r="I100" s="17" t="str">
        <f>VLOOKUP(IF(Table6[[#This Row],[At]]="Home",Table6[[#This Row],[Opponent]],RIGHT(Table6[[#This Row],[Opponent]],LEN(Table6[[#This Row],[Opponent]])-1)),CHOOSE({1,2},[1]StandingsRAW!$J$1:$J$22,[1]StandingsRAW!$L$1:$L$22),2,FALSE)</f>
        <v>KZO</v>
      </c>
      <c r="J100" s="33">
        <f>VLOOKUP(Table6[[#This Row],[OPP]],Raw!$L$2:$S$23,7,FALSE)-Raw!$U$2</f>
        <v>0.53189121448478383</v>
      </c>
    </row>
    <row r="101" spans="1:10" x14ac:dyDescent="0.25">
      <c r="A101" t="s">
        <v>501</v>
      </c>
      <c r="B101" t="s">
        <v>120</v>
      </c>
      <c r="C101" t="s">
        <v>226</v>
      </c>
      <c r="D101" t="str">
        <f>IF(LEFT(Table6[[#This Row],[Opponent]],1)="@","Away","Home")</f>
        <v>Away</v>
      </c>
      <c r="E101">
        <f>_xlfn.NUMBERVALUE(MID(LEFT(Table6[[#This Row],[Score]],FIND("-",Table6[[#This Row],[Score]])-1),FIND(" ",Table6[[#This Row],[Score]])+1,LEN(Table6[[#This Row],[Score]])))</f>
        <v>3</v>
      </c>
      <c r="F101">
        <f>_xlfn.NUMBERVALUE(RIGHT(Table6[[#This Row],[Score]],LEN(Table6[[#This Row],[Score]])-FIND("-",Table6[[#This Row],[Score]])))</f>
        <v>2</v>
      </c>
      <c r="G101">
        <f t="shared" ref="G101:G102" si="14">E101+F101</f>
        <v>5</v>
      </c>
      <c r="H101" t="str">
        <f>LEFT(Table6[[#This Row],[Score]],1)</f>
        <v>W</v>
      </c>
      <c r="I101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101" s="33">
        <f>VLOOKUP(Table6[[#This Row],[OPP]],Raw!$L$2:$S$23,7,FALSE)-Raw!$U$2</f>
        <v>0.17977853842844585</v>
      </c>
    </row>
    <row r="102" spans="1:10" x14ac:dyDescent="0.25">
      <c r="A102" t="s">
        <v>502</v>
      </c>
      <c r="B102" t="s">
        <v>74</v>
      </c>
      <c r="C102" t="s">
        <v>324</v>
      </c>
      <c r="D102" t="str">
        <f>IF(LEFT(Table6[[#This Row],[Opponent]],1)="@","Away","Home")</f>
        <v>Home</v>
      </c>
      <c r="E102">
        <f>_xlfn.NUMBERVALUE(MID(LEFT(Table6[[#This Row],[Score]],FIND("-",Table6[[#This Row],[Score]])-1),FIND(" ",Table6[[#This Row],[Score]])+1,LEN(Table6[[#This Row],[Score]])))</f>
        <v>14</v>
      </c>
      <c r="F102">
        <f>_xlfn.NUMBERVALUE(RIGHT(Table6[[#This Row],[Score]],LEN(Table6[[#This Row],[Score]])-FIND("-",Table6[[#This Row],[Score]])))</f>
        <v>4</v>
      </c>
      <c r="G102">
        <f t="shared" si="14"/>
        <v>18</v>
      </c>
      <c r="H102" t="str">
        <f>LEFT(Table6[[#This Row],[Score]],1)</f>
        <v>W</v>
      </c>
      <c r="I102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102" s="33">
        <f>VLOOKUP(Table6[[#This Row],[OPP]],Raw!$L$2:$S$23,7,FALSE)-Raw!$U$2</f>
        <v>0.17977853842844585</v>
      </c>
    </row>
    <row r="103" spans="1:10" x14ac:dyDescent="0.25">
      <c r="A103" t="s">
        <v>505</v>
      </c>
      <c r="B103" t="s">
        <v>115</v>
      </c>
      <c r="C103" t="s">
        <v>28</v>
      </c>
      <c r="D103" t="str">
        <f>IF(LEFT(Table6[[#This Row],[Opponent]],1)="@","Away","Home")</f>
        <v>Away</v>
      </c>
      <c r="E103">
        <f>_xlfn.NUMBERVALUE(MID(LEFT(Table6[[#This Row],[Score]],FIND("-",Table6[[#This Row],[Score]])-1),FIND(" ",Table6[[#This Row],[Score]])+1,LEN(Table6[[#This Row],[Score]])))</f>
        <v>4</v>
      </c>
      <c r="F103">
        <f>_xlfn.NUMBERVALUE(RIGHT(Table6[[#This Row],[Score]],LEN(Table6[[#This Row],[Score]])-FIND("-",Table6[[#This Row],[Score]])))</f>
        <v>2</v>
      </c>
      <c r="G103">
        <f>E103+F103</f>
        <v>6</v>
      </c>
      <c r="H103" t="str">
        <f>LEFT(Table6[[#This Row],[Score]],1)</f>
        <v>W</v>
      </c>
      <c r="I103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103" s="33">
        <f>VLOOKUP(Table6[[#This Row],[OPP]],Raw!$L$2:$S$23,7,FALSE)-Raw!$U$2</f>
        <v>-1.4060978308986276</v>
      </c>
    </row>
    <row r="104" spans="1:10" x14ac:dyDescent="0.25">
      <c r="A104" t="s">
        <v>508</v>
      </c>
      <c r="B104" t="s">
        <v>98</v>
      </c>
      <c r="C104" t="s">
        <v>269</v>
      </c>
      <c r="D104" t="str">
        <f>IF(LEFT(Table6[[#This Row],[Opponent]],1)="@","Away","Home")</f>
        <v>Home</v>
      </c>
      <c r="E104">
        <f>_xlfn.NUMBERVALUE(MID(LEFT(Table6[[#This Row],[Score]],FIND("-",Table6[[#This Row],[Score]])-1),FIND(" ",Table6[[#This Row],[Score]])+1,LEN(Table6[[#This Row],[Score]])))</f>
        <v>2</v>
      </c>
      <c r="F104">
        <f>_xlfn.NUMBERVALUE(RIGHT(Table6[[#This Row],[Score]],LEN(Table6[[#This Row],[Score]])-FIND("-",Table6[[#This Row],[Score]])))</f>
        <v>3</v>
      </c>
      <c r="G104">
        <f t="shared" ref="G104:G106" si="15">E104+F104</f>
        <v>5</v>
      </c>
      <c r="H104" t="str">
        <f>LEFT(Table6[[#This Row],[Score]],1)</f>
        <v>L</v>
      </c>
      <c r="I104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104" s="33">
        <f>VLOOKUP(Table6[[#This Row],[OPP]],Raw!$L$2:$S$23,7,FALSE)-Raw!$U$2</f>
        <v>-1.4060978308986276</v>
      </c>
    </row>
    <row r="105" spans="1:10" x14ac:dyDescent="0.25">
      <c r="A105" t="s">
        <v>509</v>
      </c>
      <c r="B105" t="s">
        <v>5</v>
      </c>
      <c r="C105" t="s">
        <v>18</v>
      </c>
      <c r="D105" t="str">
        <f>IF(LEFT(Table6[[#This Row],[Opponent]],1)="@","Away","Home")</f>
        <v>Home</v>
      </c>
      <c r="E105">
        <f>_xlfn.NUMBERVALUE(MID(LEFT(Table6[[#This Row],[Score]],FIND("-",Table6[[#This Row],[Score]])-1),FIND(" ",Table6[[#This Row],[Score]])+1,LEN(Table6[[#This Row],[Score]])))</f>
        <v>8</v>
      </c>
      <c r="F105">
        <f>_xlfn.NUMBERVALUE(RIGHT(Table6[[#This Row],[Score]],LEN(Table6[[#This Row],[Score]])-FIND("-",Table6[[#This Row],[Score]])))</f>
        <v>9</v>
      </c>
      <c r="G105">
        <f t="shared" si="15"/>
        <v>17</v>
      </c>
      <c r="H105" t="str">
        <f>LEFT(Table6[[#This Row],[Score]],1)</f>
        <v>L</v>
      </c>
      <c r="I105" s="17" t="str">
        <f>VLOOKUP(IF(Table6[[#This Row],[At]]="Home",Table6[[#This Row],[Opponent]],RIGHT(Table6[[#This Row],[Opponent]],LEN(Table6[[#This Row],[Opponent]])-1)),CHOOSE({1,2},[1]StandingsRAW!$J$1:$J$22,[1]StandingsRAW!$L$1:$L$22),2,FALSE)</f>
        <v>KZO</v>
      </c>
      <c r="J105" s="33">
        <f>VLOOKUP(Table6[[#This Row],[OPP]],Raw!$L$2:$S$23,7,FALSE)-Raw!$U$2</f>
        <v>0.53189121448478383</v>
      </c>
    </row>
    <row r="106" spans="1:10" x14ac:dyDescent="0.25">
      <c r="A106" t="s">
        <v>510</v>
      </c>
      <c r="B106" t="s">
        <v>5</v>
      </c>
      <c r="C106" t="s">
        <v>511</v>
      </c>
      <c r="D106" t="str">
        <f>IF(LEFT(Table6[[#This Row],[Opponent]],1)="@","Away","Home")</f>
        <v>Home</v>
      </c>
      <c r="E106">
        <f>_xlfn.NUMBERVALUE(MID(LEFT(Table6[[#This Row],[Score]],FIND("-",Table6[[#This Row],[Score]])-1),FIND(" ",Table6[[#This Row],[Score]])+1,LEN(Table6[[#This Row],[Score]])))</f>
        <v>7</v>
      </c>
      <c r="F106">
        <f>_xlfn.NUMBERVALUE(RIGHT(Table6[[#This Row],[Score]],LEN(Table6[[#This Row],[Score]])-FIND("-",Table6[[#This Row],[Score]])))</f>
        <v>24</v>
      </c>
      <c r="G106">
        <f t="shared" si="15"/>
        <v>31</v>
      </c>
      <c r="H106" t="str">
        <f>LEFT(Table6[[#This Row],[Score]],1)</f>
        <v>L</v>
      </c>
      <c r="I106" s="17" t="str">
        <f>VLOOKUP(IF(Table6[[#This Row],[At]]="Home",Table6[[#This Row],[Opponent]],RIGHT(Table6[[#This Row],[Opponent]],LEN(Table6[[#This Row],[Opponent]])-1)),CHOOSE({1,2},[1]StandingsRAW!$J$1:$J$22,[1]StandingsRAW!$L$1:$L$22),2,FALSE)</f>
        <v>KZO</v>
      </c>
      <c r="J106" s="33">
        <f>VLOOKUP(Table6[[#This Row],[OPP]],Raw!$L$2:$S$23,7,FALSE)-Raw!$U$2</f>
        <v>0.53189121448478383</v>
      </c>
    </row>
    <row r="107" spans="1:10" x14ac:dyDescent="0.25">
      <c r="A107" t="s">
        <v>515</v>
      </c>
      <c r="B107" t="s">
        <v>69</v>
      </c>
      <c r="C107" t="s">
        <v>280</v>
      </c>
      <c r="D107" t="str">
        <f>IF(LEFT(Table6[[#This Row],[Opponent]],1)="@","Away","Home")</f>
        <v>Home</v>
      </c>
      <c r="E107">
        <f>_xlfn.NUMBERVALUE(MID(LEFT(Table6[[#This Row],[Score]],FIND("-",Table6[[#This Row],[Score]])-1),FIND(" ",Table6[[#This Row],[Score]])+1,LEN(Table6[[#This Row],[Score]])))</f>
        <v>8</v>
      </c>
      <c r="F107">
        <f>_xlfn.NUMBERVALUE(RIGHT(Table6[[#This Row],[Score]],LEN(Table6[[#This Row],[Score]])-FIND("-",Table6[[#This Row],[Score]])))</f>
        <v>3</v>
      </c>
      <c r="G107">
        <f>E107+F107</f>
        <v>11</v>
      </c>
      <c r="H107" t="str">
        <f>LEFT(Table6[[#This Row],[Score]],1)</f>
        <v>W</v>
      </c>
      <c r="I107" s="17" t="str">
        <f>VLOOKUP(IF(Table6[[#This Row],[At]]="Home",Table6[[#This Row],[Opponent]],RIGHT(Table6[[#This Row],[Opponent]],LEN(Table6[[#This Row],[Opponent]])-1)),CHOOSE({1,2},[1]StandingsRAW!$J$1:$J$22,[1]StandingsRAW!$L$1:$L$22),2,FALSE)</f>
        <v>KMO</v>
      </c>
      <c r="J107" s="33">
        <f>VLOOKUP(Table6[[#This Row],[OPP]],Raw!$L$2:$S$23,7,FALSE)-Raw!$U$2</f>
        <v>-3.1019116024166244</v>
      </c>
    </row>
    <row r="108" spans="1:10" x14ac:dyDescent="0.25">
      <c r="A108" t="s">
        <v>518</v>
      </c>
      <c r="B108" t="s">
        <v>69</v>
      </c>
      <c r="C108" t="s">
        <v>373</v>
      </c>
      <c r="D108" t="str">
        <f>IF(LEFT(Table6[[#This Row],[Opponent]],1)="@","Away","Home")</f>
        <v>Home</v>
      </c>
      <c r="E108">
        <f>_xlfn.NUMBERVALUE(MID(LEFT(Table6[[#This Row],[Score]],FIND("-",Table6[[#This Row],[Score]])-1),FIND(" ",Table6[[#This Row],[Score]])+1,LEN(Table6[[#This Row],[Score]])))</f>
        <v>11</v>
      </c>
      <c r="F108">
        <f>_xlfn.NUMBERVALUE(RIGHT(Table6[[#This Row],[Score]],LEN(Table6[[#This Row],[Score]])-FIND("-",Table6[[#This Row],[Score]])))</f>
        <v>1</v>
      </c>
      <c r="G108">
        <f t="shared" ref="G108:G111" si="16">E108+F108</f>
        <v>12</v>
      </c>
      <c r="H108" t="str">
        <f>LEFT(Table6[[#This Row],[Score]],1)</f>
        <v>W</v>
      </c>
      <c r="I108" s="17" t="str">
        <f>VLOOKUP(IF(Table6[[#This Row],[At]]="Home",Table6[[#This Row],[Opponent]],RIGHT(Table6[[#This Row],[Opponent]],LEN(Table6[[#This Row],[Opponent]])-1)),CHOOSE({1,2},[1]StandingsRAW!$J$1:$J$22,[1]StandingsRAW!$L$1:$L$22),2,FALSE)</f>
        <v>KMO</v>
      </c>
      <c r="J108" s="33">
        <f>VLOOKUP(Table6[[#This Row],[OPP]],Raw!$L$2:$S$23,7,FALSE)-Raw!$U$2</f>
        <v>-3.1019116024166244</v>
      </c>
    </row>
    <row r="109" spans="1:10" x14ac:dyDescent="0.25">
      <c r="A109" t="s">
        <v>519</v>
      </c>
      <c r="B109" t="s">
        <v>319</v>
      </c>
      <c r="C109" t="s">
        <v>349</v>
      </c>
      <c r="D109" t="str">
        <f>IF(LEFT(Table6[[#This Row],[Opponent]],1)="@","Away","Home")</f>
        <v>Away</v>
      </c>
      <c r="E109">
        <f>_xlfn.NUMBERVALUE(MID(LEFT(Table6[[#This Row],[Score]],FIND("-",Table6[[#This Row],[Score]])-1),FIND(" ",Table6[[#This Row],[Score]])+1,LEN(Table6[[#This Row],[Score]])))</f>
        <v>12</v>
      </c>
      <c r="F109">
        <f>_xlfn.NUMBERVALUE(RIGHT(Table6[[#This Row],[Score]],LEN(Table6[[#This Row],[Score]])-FIND("-",Table6[[#This Row],[Score]])))</f>
        <v>2</v>
      </c>
      <c r="G109">
        <f t="shared" si="16"/>
        <v>14</v>
      </c>
      <c r="H109" t="str">
        <f>LEFT(Table6[[#This Row],[Score]],1)</f>
        <v>W</v>
      </c>
      <c r="I109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109" s="33">
        <f>VLOOKUP(Table6[[#This Row],[OPP]],Raw!$L$2:$S$23,7,FALSE)-Raw!$U$2</f>
        <v>-1.5172089420097388</v>
      </c>
    </row>
    <row r="110" spans="1:10" x14ac:dyDescent="0.25">
      <c r="A110" t="s">
        <v>520</v>
      </c>
      <c r="B110" t="s">
        <v>321</v>
      </c>
      <c r="C110" t="s">
        <v>223</v>
      </c>
      <c r="D110" t="str">
        <f>IF(LEFT(Table6[[#This Row],[Opponent]],1)="@","Away","Home")</f>
        <v>Home</v>
      </c>
      <c r="E110">
        <f>_xlfn.NUMBERVALUE(MID(LEFT(Table6[[#This Row],[Score]],FIND("-",Table6[[#This Row],[Score]])-1),FIND(" ",Table6[[#This Row],[Score]])+1,LEN(Table6[[#This Row],[Score]])))</f>
        <v>10</v>
      </c>
      <c r="F110">
        <f>_xlfn.NUMBERVALUE(RIGHT(Table6[[#This Row],[Score]],LEN(Table6[[#This Row],[Score]])-FIND("-",Table6[[#This Row],[Score]])))</f>
        <v>4</v>
      </c>
      <c r="G110">
        <f t="shared" si="16"/>
        <v>14</v>
      </c>
      <c r="H110" t="str">
        <f>LEFT(Table6[[#This Row],[Score]],1)</f>
        <v>W</v>
      </c>
      <c r="I110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110" s="33">
        <f>VLOOKUP(Table6[[#This Row],[OPP]],Raw!$L$2:$S$23,7,FALSE)-Raw!$U$2</f>
        <v>-1.5172089420097388</v>
      </c>
    </row>
    <row r="111" spans="1:10" x14ac:dyDescent="0.25">
      <c r="A111" t="s">
        <v>521</v>
      </c>
      <c r="B111" t="s">
        <v>10</v>
      </c>
      <c r="C111" t="s">
        <v>26</v>
      </c>
      <c r="D111" t="str">
        <f>IF(LEFT(Table6[[#This Row],[Opponent]],1)="@","Away","Home")</f>
        <v>Away</v>
      </c>
      <c r="E111">
        <f>_xlfn.NUMBERVALUE(MID(LEFT(Table6[[#This Row],[Score]],FIND("-",Table6[[#This Row],[Score]])-1),FIND(" ",Table6[[#This Row],[Score]])+1,LEN(Table6[[#This Row],[Score]])))</f>
        <v>10</v>
      </c>
      <c r="F111">
        <f>_xlfn.NUMBERVALUE(RIGHT(Table6[[#This Row],[Score]],LEN(Table6[[#This Row],[Score]])-FIND("-",Table6[[#This Row],[Score]])))</f>
        <v>6</v>
      </c>
      <c r="G111">
        <f t="shared" si="16"/>
        <v>16</v>
      </c>
      <c r="H111" t="str">
        <f>LEFT(Table6[[#This Row],[Score]],1)</f>
        <v>W</v>
      </c>
      <c r="I111" s="17" t="str">
        <f>VLOOKUP(IF(Table6[[#This Row],[At]]="Home",Table6[[#This Row],[Opponent]],RIGHT(Table6[[#This Row],[Opponent]],LEN(Table6[[#This Row],[Opponent]])-1)),CHOOSE({1,2},[1]StandingsRAW!$J$1:$J$22,[1]StandingsRAW!$L$1:$L$22),2,FALSE)</f>
        <v>KMO</v>
      </c>
      <c r="J111" s="33">
        <f>VLOOKUP(Table6[[#This Row],[OPP]],Raw!$L$2:$S$23,7,FALSE)-Raw!$U$2</f>
        <v>-3.1019116024166244</v>
      </c>
    </row>
    <row r="112" spans="1:10" x14ac:dyDescent="0.25">
      <c r="A112" t="s">
        <v>524</v>
      </c>
      <c r="B112" t="s">
        <v>10</v>
      </c>
      <c r="C112" t="s">
        <v>354</v>
      </c>
      <c r="D112" t="str">
        <f>IF(LEFT(Table6[[#This Row],[Opponent]],1)="@","Away","Home")</f>
        <v>Away</v>
      </c>
      <c r="E112">
        <f>_xlfn.NUMBERVALUE(MID(LEFT(Table6[[#This Row],[Score]],FIND("-",Table6[[#This Row],[Score]])-1),FIND(" ",Table6[[#This Row],[Score]])+1,LEN(Table6[[#This Row],[Score]])))</f>
        <v>13</v>
      </c>
      <c r="F112">
        <f>_xlfn.NUMBERVALUE(RIGHT(Table6[[#This Row],[Score]],LEN(Table6[[#This Row],[Score]])-FIND("-",Table6[[#This Row],[Score]])))</f>
        <v>6</v>
      </c>
      <c r="G112">
        <f t="shared" ref="G112:G119" si="17">E112+F112</f>
        <v>19</v>
      </c>
      <c r="H112" t="str">
        <f>LEFT(Table6[[#This Row],[Score]],1)</f>
        <v>W</v>
      </c>
      <c r="I112" s="17" t="str">
        <f>VLOOKUP(IF(Table6[[#This Row],[At]]="Home",Table6[[#This Row],[Opponent]],RIGHT(Table6[[#This Row],[Opponent]],LEN(Table6[[#This Row],[Opponent]])-1)),CHOOSE({1,2},[1]StandingsRAW!$J$1:$J$22,[1]StandingsRAW!$L$1:$L$22),2,FALSE)</f>
        <v>KMO</v>
      </c>
      <c r="J112" s="33">
        <f>VLOOKUP(Table6[[#This Row],[OPP]],Raw!$L$2:$S$23,7,FALSE)-Raw!$U$2</f>
        <v>-3.1019116024166244</v>
      </c>
    </row>
    <row r="113" spans="1:10" x14ac:dyDescent="0.25">
      <c r="A113" t="s">
        <v>525</v>
      </c>
      <c r="B113" t="s">
        <v>315</v>
      </c>
      <c r="C113" t="s">
        <v>329</v>
      </c>
      <c r="D113" t="str">
        <f>IF(LEFT(Table6[[#This Row],[Opponent]],1)="@","Away","Home")</f>
        <v>Away</v>
      </c>
      <c r="E113">
        <f>_xlfn.NUMBERVALUE(MID(LEFT(Table6[[#This Row],[Score]],FIND("-",Table6[[#This Row],[Score]])-1),FIND(" ",Table6[[#This Row],[Score]])+1,LEN(Table6[[#This Row],[Score]])))</f>
        <v>5</v>
      </c>
      <c r="F113">
        <f>_xlfn.NUMBERVALUE(RIGHT(Table6[[#This Row],[Score]],LEN(Table6[[#This Row],[Score]])-FIND("-",Table6[[#This Row],[Score]])))</f>
        <v>2</v>
      </c>
      <c r="G113">
        <f t="shared" si="17"/>
        <v>7</v>
      </c>
      <c r="H113" t="str">
        <f>LEFT(Table6[[#This Row],[Score]],1)</f>
        <v>W</v>
      </c>
      <c r="I113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113" s="33">
        <f>VLOOKUP(Table6[[#This Row],[OPP]],Raw!$L$2:$S$23,7,FALSE)-Raw!$U$2</f>
        <v>0.13556883576803896</v>
      </c>
    </row>
    <row r="114" spans="1:10" x14ac:dyDescent="0.25">
      <c r="A114" t="s">
        <v>526</v>
      </c>
      <c r="B114" t="s">
        <v>314</v>
      </c>
      <c r="C114" t="s">
        <v>393</v>
      </c>
      <c r="D114" t="str">
        <f>IF(LEFT(Table6[[#This Row],[Opponent]],1)="@","Away","Home")</f>
        <v>Home</v>
      </c>
      <c r="E114">
        <f>_xlfn.NUMBERVALUE(MID(LEFT(Table6[[#This Row],[Score]],FIND("-",Table6[[#This Row],[Score]])-1),FIND(" ",Table6[[#This Row],[Score]])+1,LEN(Table6[[#This Row],[Score]])))</f>
        <v>3</v>
      </c>
      <c r="F114">
        <f>_xlfn.NUMBERVALUE(RIGHT(Table6[[#This Row],[Score]],LEN(Table6[[#This Row],[Score]])-FIND("-",Table6[[#This Row],[Score]])))</f>
        <v>11</v>
      </c>
      <c r="G114">
        <f t="shared" si="17"/>
        <v>14</v>
      </c>
      <c r="H114" t="str">
        <f>LEFT(Table6[[#This Row],[Score]],1)</f>
        <v>L</v>
      </c>
      <c r="I114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114" s="33">
        <f>VLOOKUP(Table6[[#This Row],[OPP]],Raw!$L$2:$S$23,7,FALSE)-Raw!$U$2</f>
        <v>0.13556883576803896</v>
      </c>
    </row>
    <row r="115" spans="1:10" x14ac:dyDescent="0.25">
      <c r="A115" t="s">
        <v>527</v>
      </c>
      <c r="B115" t="s">
        <v>103</v>
      </c>
      <c r="C115" t="s">
        <v>212</v>
      </c>
      <c r="D115" t="str">
        <f>IF(LEFT(Table6[[#This Row],[Opponent]],1)="@","Away","Home")</f>
        <v>Home</v>
      </c>
      <c r="E115">
        <f>_xlfn.NUMBERVALUE(MID(LEFT(Table6[[#This Row],[Score]],FIND("-",Table6[[#This Row],[Score]])-1),FIND(" ",Table6[[#This Row],[Score]])+1,LEN(Table6[[#This Row],[Score]])))</f>
        <v>6</v>
      </c>
      <c r="F115">
        <f>_xlfn.NUMBERVALUE(RIGHT(Table6[[#This Row],[Score]],LEN(Table6[[#This Row],[Score]])-FIND("-",Table6[[#This Row],[Score]])))</f>
        <v>10</v>
      </c>
      <c r="G115">
        <f t="shared" si="17"/>
        <v>16</v>
      </c>
      <c r="H115" t="str">
        <f>LEFT(Table6[[#This Row],[Score]],1)</f>
        <v>L</v>
      </c>
      <c r="I115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115" s="33">
        <f>VLOOKUP(Table6[[#This Row],[OPP]],Raw!$L$2:$S$23,7,FALSE)-Raw!$U$2</f>
        <v>2.7744577246569277</v>
      </c>
    </row>
    <row r="116" spans="1:10" x14ac:dyDescent="0.25">
      <c r="A116" t="s">
        <v>527</v>
      </c>
      <c r="B116" t="s">
        <v>103</v>
      </c>
      <c r="C116" t="s">
        <v>301</v>
      </c>
      <c r="D116" t="str">
        <f>IF(LEFT(Table6[[#This Row],[Opponent]],1)="@","Away","Home")</f>
        <v>Home</v>
      </c>
      <c r="E116">
        <f>_xlfn.NUMBERVALUE(MID(LEFT(Table6[[#This Row],[Score]],FIND("-",Table6[[#This Row],[Score]])-1),FIND(" ",Table6[[#This Row],[Score]])+1,LEN(Table6[[#This Row],[Score]])))</f>
        <v>3</v>
      </c>
      <c r="F116">
        <f>_xlfn.NUMBERVALUE(RIGHT(Table6[[#This Row],[Score]],LEN(Table6[[#This Row],[Score]])-FIND("-",Table6[[#This Row],[Score]])))</f>
        <v>9</v>
      </c>
      <c r="G116">
        <f t="shared" si="17"/>
        <v>12</v>
      </c>
      <c r="H116" t="str">
        <f>LEFT(Table6[[#This Row],[Score]],1)</f>
        <v>L</v>
      </c>
      <c r="I116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116" s="33">
        <f>VLOOKUP(Table6[[#This Row],[OPP]],Raw!$L$2:$S$23,7,FALSE)-Raw!$U$2</f>
        <v>2.7744577246569277</v>
      </c>
    </row>
    <row r="117" spans="1:10" x14ac:dyDescent="0.25">
      <c r="A117" t="s">
        <v>528</v>
      </c>
      <c r="B117" t="s">
        <v>124</v>
      </c>
      <c r="C117" t="s">
        <v>95</v>
      </c>
      <c r="D117" t="str">
        <f>IF(LEFT(Table6[[#This Row],[Opponent]],1)="@","Away","Home")</f>
        <v>Away</v>
      </c>
      <c r="E117">
        <f>_xlfn.NUMBERVALUE(MID(LEFT(Table6[[#This Row],[Score]],FIND("-",Table6[[#This Row],[Score]])-1),FIND(" ",Table6[[#This Row],[Score]])+1,LEN(Table6[[#This Row],[Score]])))</f>
        <v>5</v>
      </c>
      <c r="F117">
        <f>_xlfn.NUMBERVALUE(RIGHT(Table6[[#This Row],[Score]],LEN(Table6[[#This Row],[Score]])-FIND("-",Table6[[#This Row],[Score]])))</f>
        <v>17</v>
      </c>
      <c r="G117">
        <f t="shared" si="17"/>
        <v>22</v>
      </c>
      <c r="H117" t="str">
        <f>LEFT(Table6[[#This Row],[Score]],1)</f>
        <v>L</v>
      </c>
      <c r="I117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117" s="33">
        <f>VLOOKUP(Table6[[#This Row],[OPP]],Raw!$L$2:$S$23,7,FALSE)-Raw!$U$2</f>
        <v>2.7744577246569277</v>
      </c>
    </row>
    <row r="118" spans="1:10" x14ac:dyDescent="0.25">
      <c r="A118" t="s">
        <v>529</v>
      </c>
      <c r="B118" t="s">
        <v>321</v>
      </c>
      <c r="C118" t="s">
        <v>533</v>
      </c>
      <c r="D118" t="str">
        <f>IF(LEFT(Table6[[#This Row],[Opponent]],1)="@","Away","Home")</f>
        <v>Home</v>
      </c>
      <c r="E118">
        <f>_xlfn.NUMBERVALUE(MID(LEFT(Table6[[#This Row],[Score]],FIND("-",Table6[[#This Row],[Score]])-1),FIND(" ",Table6[[#This Row],[Score]])+1,LEN(Table6[[#This Row],[Score]])))</f>
        <v>19</v>
      </c>
      <c r="F118">
        <f>_xlfn.NUMBERVALUE(RIGHT(Table6[[#This Row],[Score]],LEN(Table6[[#This Row],[Score]])-FIND("-",Table6[[#This Row],[Score]])))</f>
        <v>7</v>
      </c>
      <c r="G118">
        <f t="shared" si="17"/>
        <v>26</v>
      </c>
      <c r="H118" t="str">
        <f>LEFT(Table6[[#This Row],[Score]],1)</f>
        <v>W</v>
      </c>
      <c r="I118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118" s="33">
        <f>VLOOKUP(Table6[[#This Row],[OPP]],Raw!$L$2:$S$23,7,FALSE)-Raw!$U$2</f>
        <v>-1.5172089420097388</v>
      </c>
    </row>
    <row r="119" spans="1:10" x14ac:dyDescent="0.25">
      <c r="A119" t="s">
        <v>530</v>
      </c>
      <c r="B119" t="s">
        <v>319</v>
      </c>
      <c r="C119" t="s">
        <v>125</v>
      </c>
      <c r="D119" t="str">
        <f>IF(LEFT(Table6[[#This Row],[Opponent]],1)="@","Away","Home")</f>
        <v>Away</v>
      </c>
      <c r="E119">
        <f>_xlfn.NUMBERVALUE(MID(LEFT(Table6[[#This Row],[Score]],FIND("-",Table6[[#This Row],[Score]])-1),FIND(" ",Table6[[#This Row],[Score]])+1,LEN(Table6[[#This Row],[Score]])))</f>
        <v>0</v>
      </c>
      <c r="F119">
        <f>_xlfn.NUMBERVALUE(RIGHT(Table6[[#This Row],[Score]],LEN(Table6[[#This Row],[Score]])-FIND("-",Table6[[#This Row],[Score]])))</f>
        <v>4</v>
      </c>
      <c r="G119">
        <f t="shared" si="17"/>
        <v>4</v>
      </c>
      <c r="H119" t="str">
        <f>LEFT(Table6[[#This Row],[Score]],1)</f>
        <v>L</v>
      </c>
      <c r="I119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119" s="33">
        <f>VLOOKUP(Table6[[#This Row],[OPP]],Raw!$L$2:$S$23,7,FALSE)-Raw!$U$2</f>
        <v>-1.5172089420097388</v>
      </c>
    </row>
    <row r="120" spans="1:10" x14ac:dyDescent="0.25">
      <c r="A120" t="s">
        <v>541</v>
      </c>
      <c r="B120" t="s">
        <v>315</v>
      </c>
      <c r="C120" t="s">
        <v>277</v>
      </c>
      <c r="D120" t="str">
        <f>IF(LEFT(Table6[[#This Row],[Opponent]],1)="@","Away","Home")</f>
        <v>Away</v>
      </c>
      <c r="E120">
        <f>_xlfn.NUMBERVALUE(MID(LEFT(Table6[[#This Row],[Score]],FIND("-",Table6[[#This Row],[Score]])-1),FIND(" ",Table6[[#This Row],[Score]])+1,LEN(Table6[[#This Row],[Score]])))</f>
        <v>5</v>
      </c>
      <c r="F120">
        <f>_xlfn.NUMBERVALUE(RIGHT(Table6[[#This Row],[Score]],LEN(Table6[[#This Row],[Score]])-FIND("-",Table6[[#This Row],[Score]])))</f>
        <v>8</v>
      </c>
      <c r="G120">
        <f>E120+F120</f>
        <v>13</v>
      </c>
      <c r="H120" t="str">
        <f>LEFT(Table6[[#This Row],[Score]],1)</f>
        <v>L</v>
      </c>
      <c r="I120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120" s="33">
        <f>VLOOKUP(Table6[[#This Row],[OPP]],Raw!$L$2:$S$23,7,FALSE)-Raw!$U$2</f>
        <v>0.13556883576803896</v>
      </c>
    </row>
    <row r="121" spans="1:10" x14ac:dyDescent="0.25">
      <c r="A121" t="s">
        <v>542</v>
      </c>
      <c r="B121" t="s">
        <v>314</v>
      </c>
      <c r="C121" t="s">
        <v>234</v>
      </c>
      <c r="D121" t="str">
        <f>IF(LEFT(Table6[[#This Row],[Opponent]],1)="@","Away","Home")</f>
        <v>Home</v>
      </c>
      <c r="E121">
        <f>_xlfn.NUMBERVALUE(MID(LEFT(Table6[[#This Row],[Score]],FIND("-",Table6[[#This Row],[Score]])-1),FIND(" ",Table6[[#This Row],[Score]])+1,LEN(Table6[[#This Row],[Score]])))</f>
        <v>2</v>
      </c>
      <c r="F121">
        <f>_xlfn.NUMBERVALUE(RIGHT(Table6[[#This Row],[Score]],LEN(Table6[[#This Row],[Score]])-FIND("-",Table6[[#This Row],[Score]])))</f>
        <v>5</v>
      </c>
      <c r="G121">
        <f>E121+F121</f>
        <v>7</v>
      </c>
      <c r="H121" t="str">
        <f>LEFT(Table6[[#This Row],[Score]],1)</f>
        <v>L</v>
      </c>
      <c r="I121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121" s="33">
        <f>VLOOKUP(Table6[[#This Row],[OPP]],Raw!$L$2:$S$23,7,FALSE)-Raw!$U$2</f>
        <v>0.13556883576803896</v>
      </c>
    </row>
    <row r="122" spans="1:10" x14ac:dyDescent="0.25">
      <c r="A122" t="s">
        <v>543</v>
      </c>
      <c r="B122" t="s">
        <v>341</v>
      </c>
      <c r="C122" t="s">
        <v>438</v>
      </c>
      <c r="D122" t="str">
        <f>IF(LEFT(Table6[[#This Row],[Opponent]],1)="@","Away","Home")</f>
        <v>Away</v>
      </c>
      <c r="E122">
        <f>_xlfn.NUMBERVALUE(MID(LEFT(Table6[[#This Row],[Score]],FIND("-",Table6[[#This Row],[Score]])-1),FIND(" ",Table6[[#This Row],[Score]])+1,LEN(Table6[[#This Row],[Score]])))</f>
        <v>16</v>
      </c>
      <c r="F122">
        <f>_xlfn.NUMBERVALUE(RIGHT(Table6[[#This Row],[Score]],LEN(Table6[[#This Row],[Score]])-FIND("-",Table6[[#This Row],[Score]])))</f>
        <v>5</v>
      </c>
      <c r="G122">
        <f>E122+F122</f>
        <v>21</v>
      </c>
      <c r="H122" t="str">
        <f>LEFT(Table6[[#This Row],[Score]],1)</f>
        <v>W</v>
      </c>
      <c r="I122" s="17" t="str">
        <f>VLOOKUP(IF(Table6[[#This Row],[At]]="Home",Table6[[#This Row],[Opponent]],RIGHT(Table6[[#This Row],[Opponent]],LEN(Table6[[#This Row],[Opponent]])-1)),CHOOSE({1,2},[1]StandingsRAW!$J$1:$J$22,[1]StandingsRAW!$L$1:$L$22),2,FALSE)</f>
        <v>BC</v>
      </c>
      <c r="J122" s="33">
        <f>VLOOKUP(Table6[[#This Row],[OPP]],Raw!$L$2:$S$23,7,FALSE)-Raw!$U$2</f>
        <v>-0.61443116423196109</v>
      </c>
    </row>
    <row r="123" spans="1:10" x14ac:dyDescent="0.25">
      <c r="A123" t="s">
        <v>546</v>
      </c>
      <c r="B123" t="s">
        <v>341</v>
      </c>
      <c r="C123" t="s">
        <v>270</v>
      </c>
      <c r="D123" t="str">
        <f>IF(LEFT(Table6[[#This Row],[Opponent]],1)="@","Away","Home")</f>
        <v>Away</v>
      </c>
      <c r="E123">
        <f>_xlfn.NUMBERVALUE(MID(LEFT(Table6[[#This Row],[Score]],FIND("-",Table6[[#This Row],[Score]])-1),FIND(" ",Table6[[#This Row],[Score]])+1,LEN(Table6[[#This Row],[Score]])))</f>
        <v>4</v>
      </c>
      <c r="F123">
        <f>_xlfn.NUMBERVALUE(RIGHT(Table6[[#This Row],[Score]],LEN(Table6[[#This Row],[Score]])-FIND("-",Table6[[#This Row],[Score]])))</f>
        <v>3</v>
      </c>
      <c r="G123">
        <f>E123+F123</f>
        <v>7</v>
      </c>
      <c r="H123" t="str">
        <f>LEFT(Table6[[#This Row],[Score]],1)</f>
        <v>W</v>
      </c>
      <c r="I123" s="17" t="str">
        <f>VLOOKUP(IF(Table6[[#This Row],[At]]="Home",Table6[[#This Row],[Opponent]],RIGHT(Table6[[#This Row],[Opponent]],LEN(Table6[[#This Row],[Opponent]])-1)),CHOOSE({1,2},[1]StandingsRAW!$J$1:$J$22,[1]StandingsRAW!$L$1:$L$22),2,FALSE)</f>
        <v>BC</v>
      </c>
      <c r="J123" s="33">
        <f>VLOOKUP(Table6[[#This Row],[OPP]],Raw!$L$2:$S$23,7,FALSE)-Raw!$U$2</f>
        <v>-0.61443116423196109</v>
      </c>
    </row>
    <row r="124" spans="1:10" x14ac:dyDescent="0.25">
      <c r="A124" t="s">
        <v>549</v>
      </c>
      <c r="B124" t="s">
        <v>103</v>
      </c>
      <c r="C124" t="s">
        <v>205</v>
      </c>
      <c r="D124" t="str">
        <f>IF(LEFT(Table6[[#This Row],[Opponent]],1)="@","Away","Home")</f>
        <v>Home</v>
      </c>
      <c r="E124">
        <f>_xlfn.NUMBERVALUE(MID(LEFT(Table6[[#This Row],[Score]],FIND("-",Table6[[#This Row],[Score]])-1),FIND(" ",Table6[[#This Row],[Score]])+1,LEN(Table6[[#This Row],[Score]])))</f>
        <v>5</v>
      </c>
      <c r="F124">
        <f>_xlfn.NUMBERVALUE(RIGHT(Table6[[#This Row],[Score]],LEN(Table6[[#This Row],[Score]])-FIND("-",Table6[[#This Row],[Score]])))</f>
        <v>6</v>
      </c>
      <c r="G124">
        <f t="shared" ref="G124:G127" si="18">E124+F124</f>
        <v>11</v>
      </c>
      <c r="H124" t="str">
        <f>LEFT(Table6[[#This Row],[Score]],1)</f>
        <v>L</v>
      </c>
      <c r="I124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124" s="33">
        <f>VLOOKUP(Table6[[#This Row],[OPP]],Raw!$L$2:$S$23,7,FALSE)-Raw!$U$2</f>
        <v>2.7744577246569277</v>
      </c>
    </row>
    <row r="125" spans="1:10" x14ac:dyDescent="0.25">
      <c r="A125" t="s">
        <v>550</v>
      </c>
      <c r="B125" t="s">
        <v>103</v>
      </c>
      <c r="C125" t="s">
        <v>351</v>
      </c>
      <c r="D125" t="str">
        <f>IF(LEFT(Table6[[#This Row],[Opponent]],1)="@","Away","Home")</f>
        <v>Home</v>
      </c>
      <c r="E125">
        <f>_xlfn.NUMBERVALUE(MID(LEFT(Table6[[#This Row],[Score]],FIND("-",Table6[[#This Row],[Score]])-1),FIND(" ",Table6[[#This Row],[Score]])+1,LEN(Table6[[#This Row],[Score]])))</f>
        <v>2</v>
      </c>
      <c r="F125">
        <f>_xlfn.NUMBERVALUE(RIGHT(Table6[[#This Row],[Score]],LEN(Table6[[#This Row],[Score]])-FIND("-",Table6[[#This Row],[Score]])))</f>
        <v>1</v>
      </c>
      <c r="G125">
        <f t="shared" si="18"/>
        <v>3</v>
      </c>
      <c r="H125" t="str">
        <f>LEFT(Table6[[#This Row],[Score]],1)</f>
        <v>W</v>
      </c>
      <c r="I125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125" s="33">
        <f>VLOOKUP(Table6[[#This Row],[OPP]],Raw!$L$2:$S$23,7,FALSE)-Raw!$U$2</f>
        <v>2.7744577246569277</v>
      </c>
    </row>
    <row r="126" spans="1:10" x14ac:dyDescent="0.25">
      <c r="A126" t="s">
        <v>552</v>
      </c>
      <c r="B126" t="s">
        <v>74</v>
      </c>
      <c r="C126" t="s">
        <v>556</v>
      </c>
      <c r="D126" t="str">
        <f>IF(LEFT(Table6[[#This Row],[Opponent]],1)="@","Away","Home")</f>
        <v>Home</v>
      </c>
      <c r="E126">
        <f>_xlfn.NUMBERVALUE(MID(LEFT(Table6[[#This Row],[Score]],FIND("-",Table6[[#This Row],[Score]])-1),FIND(" ",Table6[[#This Row],[Score]])+1,LEN(Table6[[#This Row],[Score]])))</f>
        <v>12</v>
      </c>
      <c r="F126">
        <f>_xlfn.NUMBERVALUE(RIGHT(Table6[[#This Row],[Score]],LEN(Table6[[#This Row],[Score]])-FIND("-",Table6[[#This Row],[Score]])))</f>
        <v>4</v>
      </c>
      <c r="G126">
        <f t="shared" si="18"/>
        <v>16</v>
      </c>
      <c r="H126" t="str">
        <f>LEFT(Table6[[#This Row],[Score]],1)</f>
        <v>L</v>
      </c>
      <c r="I126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126" s="33">
        <f>VLOOKUP(Table6[[#This Row],[OPP]],Raw!$L$2:$S$23,7,FALSE)-Raw!$U$2</f>
        <v>0.17977853842844585</v>
      </c>
    </row>
    <row r="127" spans="1:10" x14ac:dyDescent="0.25">
      <c r="A127" t="s">
        <v>552</v>
      </c>
      <c r="B127" t="s">
        <v>74</v>
      </c>
      <c r="C127" t="s">
        <v>553</v>
      </c>
      <c r="D127" t="str">
        <f>IF(LEFT(Table6[[#This Row],[Opponent]],1)="@","Away","Home")</f>
        <v>Home</v>
      </c>
      <c r="E127">
        <f>_xlfn.NUMBERVALUE(MID(LEFT(Table6[[#This Row],[Score]],FIND("-",Table6[[#This Row],[Score]])-1),FIND(" ",Table6[[#This Row],[Score]])+1,LEN(Table6[[#This Row],[Score]])))</f>
        <v>6</v>
      </c>
      <c r="F127">
        <f>_xlfn.NUMBERVALUE(RIGHT(Table6[[#This Row],[Score]],LEN(Table6[[#This Row],[Score]])-FIND("-",Table6[[#This Row],[Score]])))</f>
        <v>19</v>
      </c>
      <c r="G127">
        <f t="shared" si="18"/>
        <v>25</v>
      </c>
      <c r="H127" t="str">
        <f>LEFT(Table6[[#This Row],[Score]],1)</f>
        <v>L</v>
      </c>
      <c r="I127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127" s="33">
        <f>VLOOKUP(Table6[[#This Row],[OPP]],Raw!$L$2:$S$23,7,FALSE)-Raw!$U$2</f>
        <v>0.17977853842844585</v>
      </c>
    </row>
    <row r="128" spans="1:10" x14ac:dyDescent="0.25">
      <c r="A128" t="s">
        <v>555</v>
      </c>
      <c r="B128" t="s">
        <v>98</v>
      </c>
      <c r="C128" t="s">
        <v>335</v>
      </c>
      <c r="D128" t="str">
        <f>IF(LEFT(Table6[[#This Row],[Opponent]],1)="@","Away","Home")</f>
        <v>Home</v>
      </c>
      <c r="E128">
        <f>_xlfn.NUMBERVALUE(MID(LEFT(Table6[[#This Row],[Score]],FIND("-",Table6[[#This Row],[Score]])-1),FIND(" ",Table6[[#This Row],[Score]])+1,LEN(Table6[[#This Row],[Score]])))</f>
        <v>6</v>
      </c>
      <c r="F128">
        <f>_xlfn.NUMBERVALUE(RIGHT(Table6[[#This Row],[Score]],LEN(Table6[[#This Row],[Score]])-FIND("-",Table6[[#This Row],[Score]])))</f>
        <v>4</v>
      </c>
      <c r="G128">
        <f>E128+F128</f>
        <v>10</v>
      </c>
      <c r="H128" t="str">
        <f>LEFT(Table6[[#This Row],[Score]],1)</f>
        <v>W</v>
      </c>
      <c r="I128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128" s="33">
        <f>VLOOKUP(Table6[[#This Row],[OPP]],Raw!$L$2:$S$23,7,FALSE)-Raw!$U$2</f>
        <v>-1.4060978308986276</v>
      </c>
    </row>
    <row r="129" spans="1:10" x14ac:dyDescent="0.25">
      <c r="A129" t="s">
        <v>557</v>
      </c>
      <c r="B129" t="s">
        <v>115</v>
      </c>
      <c r="C129" t="s">
        <v>46</v>
      </c>
      <c r="D129" t="str">
        <f>IF(LEFT(Table6[[#This Row],[Opponent]],1)="@","Away","Home")</f>
        <v>Away</v>
      </c>
      <c r="E129">
        <f>_xlfn.NUMBERVALUE(MID(LEFT(Table6[[#This Row],[Score]],FIND("-",Table6[[#This Row],[Score]])-1),FIND(" ",Table6[[#This Row],[Score]])+1,LEN(Table6[[#This Row],[Score]])))</f>
        <v>6</v>
      </c>
      <c r="F129">
        <f>_xlfn.NUMBERVALUE(RIGHT(Table6[[#This Row],[Score]],LEN(Table6[[#This Row],[Score]])-FIND("-",Table6[[#This Row],[Score]])))</f>
        <v>8</v>
      </c>
      <c r="G129">
        <f>E129+F129</f>
        <v>14</v>
      </c>
      <c r="H129" t="str">
        <f>LEFT(Table6[[#This Row],[Score]],1)</f>
        <v>L</v>
      </c>
      <c r="I129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129" s="33">
        <f>VLOOKUP(Table6[[#This Row],[OPP]],Raw!$L$2:$S$23,7,FALSE)-Raw!$U$2</f>
        <v>-1.4060978308986276</v>
      </c>
    </row>
    <row r="130" spans="1:10" x14ac:dyDescent="0.25">
      <c r="A130" t="s">
        <v>558</v>
      </c>
      <c r="B130" t="s">
        <v>321</v>
      </c>
      <c r="C130" t="s">
        <v>560</v>
      </c>
      <c r="D130" t="str">
        <f>IF(LEFT(Table6[[#This Row],[Opponent]],1)="@","Away","Home")</f>
        <v>Home</v>
      </c>
      <c r="E130">
        <f>_xlfn.NUMBERVALUE(MID(LEFT(Table6[[#This Row],[Score]],FIND("-",Table6[[#This Row],[Score]])-1),FIND(" ",Table6[[#This Row],[Score]])+1,LEN(Table6[[#This Row],[Score]])))</f>
        <v>14</v>
      </c>
      <c r="F130">
        <f>_xlfn.NUMBERVALUE(RIGHT(Table6[[#This Row],[Score]],LEN(Table6[[#This Row],[Score]])-FIND("-",Table6[[#This Row],[Score]])))</f>
        <v>6</v>
      </c>
      <c r="G130">
        <f t="shared" ref="G130:G131" si="19">E130+F130</f>
        <v>20</v>
      </c>
      <c r="H130" t="str">
        <f>LEFT(Table6[[#This Row],[Score]],1)</f>
        <v>W</v>
      </c>
      <c r="I130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130" s="33">
        <f>VLOOKUP(Table6[[#This Row],[OPP]],Raw!$L$2:$S$23,7,FALSE)-Raw!$U$2</f>
        <v>-1.5172089420097388</v>
      </c>
    </row>
    <row r="131" spans="1:10" x14ac:dyDescent="0.25">
      <c r="A131" t="s">
        <v>558</v>
      </c>
      <c r="B131" t="s">
        <v>321</v>
      </c>
      <c r="C131" t="s">
        <v>389</v>
      </c>
      <c r="D131" t="str">
        <f>IF(LEFT(Table6[[#This Row],[Opponent]],1)="@","Away","Home")</f>
        <v>Home</v>
      </c>
      <c r="E131">
        <f>_xlfn.NUMBERVALUE(MID(LEFT(Table6[[#This Row],[Score]],FIND("-",Table6[[#This Row],[Score]])-1),FIND(" ",Table6[[#This Row],[Score]])+1,LEN(Table6[[#This Row],[Score]])))</f>
        <v>11</v>
      </c>
      <c r="F131">
        <f>_xlfn.NUMBERVALUE(RIGHT(Table6[[#This Row],[Score]],LEN(Table6[[#This Row],[Score]])-FIND("-",Table6[[#This Row],[Score]])))</f>
        <v>0</v>
      </c>
      <c r="G131">
        <f t="shared" si="19"/>
        <v>11</v>
      </c>
      <c r="H131" t="str">
        <f>LEFT(Table6[[#This Row],[Score]],1)</f>
        <v>W</v>
      </c>
      <c r="I131" s="17" t="str">
        <f>VLOOKUP(IF(Table6[[#This Row],[At]]="Home",Table6[[#This Row],[Opponent]],RIGHT(Table6[[#This Row],[Opponent]],LEN(Table6[[#This Row],[Opponent]])-1)),CHOOSE({1,2},[1]StandingsRAW!$J$1:$J$22,[1]StandingsRAW!$L$1:$L$22),2,FALSE)</f>
        <v>MAD</v>
      </c>
      <c r="J131" s="33">
        <f>VLOOKUP(Table6[[#This Row],[OPP]],Raw!$L$2:$S$23,7,FALSE)-Raw!$U$2</f>
        <v>-1.5172089420097388</v>
      </c>
    </row>
    <row r="132" spans="1:10" x14ac:dyDescent="0.25">
      <c r="A132" t="s">
        <v>563</v>
      </c>
      <c r="B132" t="s">
        <v>115</v>
      </c>
      <c r="C132" t="s">
        <v>246</v>
      </c>
      <c r="D132" t="str">
        <f>IF(LEFT(Table6[[#This Row],[Opponent]],1)="@","Away","Home")</f>
        <v>Away</v>
      </c>
      <c r="E132">
        <f>_xlfn.NUMBERVALUE(MID(LEFT(Table6[[#This Row],[Score]],FIND("-",Table6[[#This Row],[Score]])-1),FIND(" ",Table6[[#This Row],[Score]])+1,LEN(Table6[[#This Row],[Score]])))</f>
        <v>4</v>
      </c>
      <c r="F132">
        <f>_xlfn.NUMBERVALUE(RIGHT(Table6[[#This Row],[Score]],LEN(Table6[[#This Row],[Score]])-FIND("-",Table6[[#This Row],[Score]])))</f>
        <v>6</v>
      </c>
      <c r="G132">
        <f>E132+F132</f>
        <v>10</v>
      </c>
      <c r="H132" t="str">
        <f>LEFT(Table6[[#This Row],[Score]],1)</f>
        <v>L</v>
      </c>
      <c r="I132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132" s="33">
        <f>VLOOKUP(Table6[[#This Row],[OPP]],Raw!$L$2:$S$23,7,FALSE)-Raw!$U$2</f>
        <v>-1.4060978308986276</v>
      </c>
    </row>
    <row r="133" spans="1:10" x14ac:dyDescent="0.25">
      <c r="A133" t="s">
        <v>564</v>
      </c>
      <c r="B133" t="s">
        <v>115</v>
      </c>
      <c r="C133" t="s">
        <v>223</v>
      </c>
      <c r="D133" t="str">
        <f>IF(LEFT(Table6[[#This Row],[Opponent]],1)="@","Away","Home")</f>
        <v>Away</v>
      </c>
      <c r="E133">
        <f>_xlfn.NUMBERVALUE(MID(LEFT(Table6[[#This Row],[Score]],FIND("-",Table6[[#This Row],[Score]])-1),FIND(" ",Table6[[#This Row],[Score]])+1,LEN(Table6[[#This Row],[Score]])))</f>
        <v>10</v>
      </c>
      <c r="F133">
        <f>_xlfn.NUMBERVALUE(RIGHT(Table6[[#This Row],[Score]],LEN(Table6[[#This Row],[Score]])-FIND("-",Table6[[#This Row],[Score]])))</f>
        <v>4</v>
      </c>
      <c r="G133">
        <f t="shared" ref="G133:G136" si="20">E133+F133</f>
        <v>14</v>
      </c>
      <c r="H133" t="str">
        <f>LEFT(Table6[[#This Row],[Score]],1)</f>
        <v>W</v>
      </c>
      <c r="I133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133" s="33">
        <f>VLOOKUP(Table6[[#This Row],[OPP]],Raw!$L$2:$S$23,7,FALSE)-Raw!$U$2</f>
        <v>-1.4060978308986276</v>
      </c>
    </row>
    <row r="134" spans="1:10" x14ac:dyDescent="0.25">
      <c r="A134" t="s">
        <v>565</v>
      </c>
      <c r="B134" t="s">
        <v>74</v>
      </c>
      <c r="C134" t="s">
        <v>299</v>
      </c>
      <c r="D134" t="str">
        <f>IF(LEFT(Table6[[#This Row],[Opponent]],1)="@","Away","Home")</f>
        <v>Home</v>
      </c>
      <c r="E134">
        <f>_xlfn.NUMBERVALUE(MID(LEFT(Table6[[#This Row],[Score]],FIND("-",Table6[[#This Row],[Score]])-1),FIND(" ",Table6[[#This Row],[Score]])+1,LEN(Table6[[#This Row],[Score]])))</f>
        <v>11</v>
      </c>
      <c r="F134">
        <f>_xlfn.NUMBERVALUE(RIGHT(Table6[[#This Row],[Score]],LEN(Table6[[#This Row],[Score]])-FIND("-",Table6[[#This Row],[Score]])))</f>
        <v>3</v>
      </c>
      <c r="G134">
        <f t="shared" si="20"/>
        <v>14</v>
      </c>
      <c r="H134" t="str">
        <f>LEFT(Table6[[#This Row],[Score]],1)</f>
        <v>W</v>
      </c>
      <c r="I134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134" s="33">
        <f>VLOOKUP(Table6[[#This Row],[OPP]],Raw!$L$2:$S$23,7,FALSE)-Raw!$U$2</f>
        <v>0.17977853842844585</v>
      </c>
    </row>
    <row r="135" spans="1:10" x14ac:dyDescent="0.25">
      <c r="A135" t="s">
        <v>566</v>
      </c>
      <c r="B135" t="s">
        <v>120</v>
      </c>
      <c r="C135" t="s">
        <v>570</v>
      </c>
      <c r="D135" t="str">
        <f>IF(LEFT(Table6[[#This Row],[Opponent]],1)="@","Away","Home")</f>
        <v>Away</v>
      </c>
      <c r="E135">
        <f>_xlfn.NUMBERVALUE(MID(LEFT(Table6[[#This Row],[Score]],FIND("-",Table6[[#This Row],[Score]])-1),FIND(" ",Table6[[#This Row],[Score]])+1,LEN(Table6[[#This Row],[Score]])))</f>
        <v>21</v>
      </c>
      <c r="F135">
        <f>_xlfn.NUMBERVALUE(RIGHT(Table6[[#This Row],[Score]],LEN(Table6[[#This Row],[Score]])-FIND("-",Table6[[#This Row],[Score]])))</f>
        <v>2</v>
      </c>
      <c r="G135">
        <f t="shared" si="20"/>
        <v>23</v>
      </c>
      <c r="H135" t="str">
        <f>LEFT(Table6[[#This Row],[Score]],1)</f>
        <v>W</v>
      </c>
      <c r="I135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135" s="33">
        <f>VLOOKUP(Table6[[#This Row],[OPP]],Raw!$L$2:$S$23,7,FALSE)-Raw!$U$2</f>
        <v>0.17977853842844585</v>
      </c>
    </row>
    <row r="136" spans="1:10" x14ac:dyDescent="0.25">
      <c r="A136" t="s">
        <v>568</v>
      </c>
      <c r="B136" t="s">
        <v>343</v>
      </c>
      <c r="C136" t="s">
        <v>532</v>
      </c>
      <c r="D136" t="str">
        <f>IF(LEFT(Table6[[#This Row],[Opponent]],1)="@","Away","Home")</f>
        <v>Home</v>
      </c>
      <c r="E136">
        <f>_xlfn.NUMBERVALUE(MID(LEFT(Table6[[#This Row],[Score]],FIND("-",Table6[[#This Row],[Score]])-1),FIND(" ",Table6[[#This Row],[Score]])+1,LEN(Table6[[#This Row],[Score]])))</f>
        <v>12</v>
      </c>
      <c r="F136">
        <f>_xlfn.NUMBERVALUE(RIGHT(Table6[[#This Row],[Score]],LEN(Table6[[#This Row],[Score]])-FIND("-",Table6[[#This Row],[Score]])))</f>
        <v>11</v>
      </c>
      <c r="G136">
        <f t="shared" si="20"/>
        <v>23</v>
      </c>
      <c r="H136" t="str">
        <f>LEFT(Table6[[#This Row],[Score]],1)</f>
        <v>W</v>
      </c>
      <c r="I136" s="17" t="str">
        <f>VLOOKUP(IF(Table6[[#This Row],[At]]="Home",Table6[[#This Row],[Opponent]],RIGHT(Table6[[#This Row],[Opponent]],LEN(Table6[[#This Row],[Opponent]])-1)),CHOOSE({1,2},[1]StandingsRAW!$J$1:$J$22,[1]StandingsRAW!$L$1:$L$22),2,FALSE)</f>
        <v>BC</v>
      </c>
      <c r="J136" s="33">
        <f>VLOOKUP(Table6[[#This Row],[OPP]],Raw!$L$2:$S$23,7,FALSE)-Raw!$U$2</f>
        <v>-0.61443116423196109</v>
      </c>
    </row>
    <row r="137" spans="1:10" x14ac:dyDescent="0.25">
      <c r="A137" t="s">
        <v>589</v>
      </c>
      <c r="B137" t="s">
        <v>343</v>
      </c>
      <c r="C137" t="s">
        <v>370</v>
      </c>
      <c r="D137" t="str">
        <f>IF(LEFT(Table6[[#This Row],[Opponent]],1)="@","Away","Home")</f>
        <v>Home</v>
      </c>
      <c r="E137">
        <f>_xlfn.NUMBERVALUE(MID(LEFT(Table6[[#This Row],[Score]],FIND("-",Table6[[#This Row],[Score]])-1),FIND(" ",Table6[[#This Row],[Score]])+1,LEN(Table6[[#This Row],[Score]])))</f>
        <v>7</v>
      </c>
      <c r="F137">
        <f>_xlfn.NUMBERVALUE(RIGHT(Table6[[#This Row],[Score]],LEN(Table6[[#This Row],[Score]])-FIND("-",Table6[[#This Row],[Score]])))</f>
        <v>17</v>
      </c>
      <c r="G137">
        <f>E137+F137</f>
        <v>24</v>
      </c>
      <c r="H137" t="str">
        <f>LEFT(Table6[[#This Row],[Score]],1)</f>
        <v>L</v>
      </c>
      <c r="I137" s="17" t="str">
        <f>VLOOKUP(IF(Table6[[#This Row],[At]]="Home",Table6[[#This Row],[Opponent]],RIGHT(Table6[[#This Row],[Opponent]],LEN(Table6[[#This Row],[Opponent]])-1)),CHOOSE({1,2},[1]StandingsRAW!$J$1:$J$22,[1]StandingsRAW!$L$1:$L$22),2,FALSE)</f>
        <v>BC</v>
      </c>
      <c r="J137" s="33">
        <f>VLOOKUP(Table6[[#This Row],[OPP]],Raw!$L$2:$S$23,7,FALSE)-Raw!$U$2</f>
        <v>-0.61443116423196109</v>
      </c>
    </row>
    <row r="138" spans="1:10" x14ac:dyDescent="0.25">
      <c r="A138" t="s">
        <v>592</v>
      </c>
      <c r="B138" t="s">
        <v>115</v>
      </c>
      <c r="C138" t="s">
        <v>199</v>
      </c>
      <c r="D138" t="str">
        <f>IF(LEFT(Table6[[#This Row],[Opponent]],1)="@","Away","Home")</f>
        <v>Away</v>
      </c>
      <c r="E138">
        <f>_xlfn.NUMBERVALUE(MID(LEFT(Table6[[#This Row],[Score]],FIND("-",Table6[[#This Row],[Score]])-1),FIND(" ",Table6[[#This Row],[Score]])+1,LEN(Table6[[#This Row],[Score]])))</f>
        <v>3</v>
      </c>
      <c r="F138">
        <f>_xlfn.NUMBERVALUE(RIGHT(Table6[[#This Row],[Score]],LEN(Table6[[#This Row],[Score]])-FIND("-",Table6[[#This Row],[Score]])))</f>
        <v>7</v>
      </c>
      <c r="G138">
        <f>E138+F138</f>
        <v>10</v>
      </c>
      <c r="H138" t="str">
        <f>LEFT(Table6[[#This Row],[Score]],1)</f>
        <v>L</v>
      </c>
      <c r="I138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138" s="33">
        <f>VLOOKUP(Table6[[#This Row],[OPP]],Raw!$L$2:$S$23,7,FALSE)-Raw!$U$2</f>
        <v>-1.4060978308986276</v>
      </c>
    </row>
    <row r="139" spans="1:10" x14ac:dyDescent="0.25">
      <c r="A139" t="s">
        <v>595</v>
      </c>
      <c r="B139" t="s">
        <v>98</v>
      </c>
      <c r="C139" t="s">
        <v>596</v>
      </c>
      <c r="D139" t="str">
        <f>IF(LEFT(Table6[[#This Row],[Opponent]],1)="@","Away","Home")</f>
        <v>Home</v>
      </c>
      <c r="E139">
        <f>_xlfn.NUMBERVALUE(MID(LEFT(Table6[[#This Row],[Score]],FIND("-",Table6[[#This Row],[Score]])-1),FIND(" ",Table6[[#This Row],[Score]])+1,LEN(Table6[[#This Row],[Score]])))</f>
        <v>19</v>
      </c>
      <c r="F139">
        <f>_xlfn.NUMBERVALUE(RIGHT(Table6[[#This Row],[Score]],LEN(Table6[[#This Row],[Score]])-FIND("-",Table6[[#This Row],[Score]])))</f>
        <v>4</v>
      </c>
      <c r="G139">
        <f>E139+F139</f>
        <v>23</v>
      </c>
      <c r="H139" t="str">
        <f>LEFT(Table6[[#This Row],[Score]],1)</f>
        <v>W</v>
      </c>
      <c r="I139" s="17" t="str">
        <f>VLOOKUP(IF(Table6[[#This Row],[At]]="Home",Table6[[#This Row],[Opponent]],RIGHT(Table6[[#This Row],[Opponent]],LEN(Table6[[#This Row],[Opponent]])-1)),CHOOSE({1,2},[1]StandingsRAW!$J$1:$J$22,[1]StandingsRAW!$L$1:$L$22),2,FALSE)</f>
        <v>GB</v>
      </c>
      <c r="J139" s="33">
        <f>VLOOKUP(Table6[[#This Row],[OPP]],Raw!$L$2:$S$23,7,FALSE)-Raw!$U$2</f>
        <v>-1.4060978308986276</v>
      </c>
    </row>
    <row r="140" spans="1:10" x14ac:dyDescent="0.25">
      <c r="A140" t="s">
        <v>598</v>
      </c>
      <c r="B140" t="s">
        <v>120</v>
      </c>
      <c r="C140" t="s">
        <v>237</v>
      </c>
      <c r="D140" t="str">
        <f>IF(LEFT(Table6[[#This Row],[Opponent]],1)="@","Away","Home")</f>
        <v>Away</v>
      </c>
      <c r="E140">
        <f>_xlfn.NUMBERVALUE(MID(LEFT(Table6[[#This Row],[Score]],FIND("-",Table6[[#This Row],[Score]])-1),FIND(" ",Table6[[#This Row],[Score]])+1,LEN(Table6[[#This Row],[Score]])))</f>
        <v>6</v>
      </c>
      <c r="F140">
        <f>_xlfn.NUMBERVALUE(RIGHT(Table6[[#This Row],[Score]],LEN(Table6[[#This Row],[Score]])-FIND("-",Table6[[#This Row],[Score]])))</f>
        <v>11</v>
      </c>
      <c r="G140">
        <f>E140+F140</f>
        <v>17</v>
      </c>
      <c r="H140" t="str">
        <f>LEFT(Table6[[#This Row],[Score]],1)</f>
        <v>L</v>
      </c>
      <c r="I140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140" s="33">
        <f>VLOOKUP(Table6[[#This Row],[OPP]],Raw!$L$2:$S$23,7,FALSE)-Raw!$U$2</f>
        <v>0.17977853842844585</v>
      </c>
    </row>
    <row r="141" spans="1:10" x14ac:dyDescent="0.25">
      <c r="A141" t="s">
        <v>599</v>
      </c>
      <c r="B141" t="s">
        <v>120</v>
      </c>
      <c r="C141" t="s">
        <v>260</v>
      </c>
      <c r="D141" t="str">
        <f>IF(LEFT(Table6[[#This Row],[Opponent]],1)="@","Away","Home")</f>
        <v>Away</v>
      </c>
      <c r="E141">
        <f>_xlfn.NUMBERVALUE(MID(LEFT(Table6[[#This Row],[Score]],FIND("-",Table6[[#This Row],[Score]])-1),FIND(" ",Table6[[#This Row],[Score]])+1,LEN(Table6[[#This Row],[Score]])))</f>
        <v>5</v>
      </c>
      <c r="F141">
        <f>_xlfn.NUMBERVALUE(RIGHT(Table6[[#This Row],[Score]],LEN(Table6[[#This Row],[Score]])-FIND("-",Table6[[#This Row],[Score]])))</f>
        <v>12</v>
      </c>
      <c r="G141">
        <f>E141+F141</f>
        <v>17</v>
      </c>
      <c r="H141" t="str">
        <f>LEFT(Table6[[#This Row],[Score]],1)</f>
        <v>L</v>
      </c>
      <c r="I141" s="17" t="str">
        <f>VLOOKUP(IF(Table6[[#This Row],[At]]="Home",Table6[[#This Row],[Opponent]],RIGHT(Table6[[#This Row],[Opponent]],LEN(Table6[[#This Row],[Opponent]])-1)),CHOOSE({1,2},[1]StandingsRAW!$J$1:$J$22,[1]StandingsRAW!$L$1:$L$22),2,FALSE)</f>
        <v>WAU</v>
      </c>
      <c r="J141" s="33">
        <f>VLOOKUP(Table6[[#This Row],[OPP]],Raw!$L$2:$S$23,7,FALSE)-Raw!$U$2</f>
        <v>0.17977853842844585</v>
      </c>
    </row>
    <row r="142" spans="1:10" x14ac:dyDescent="0.25">
      <c r="A142" t="s">
        <v>600</v>
      </c>
      <c r="B142" t="s">
        <v>124</v>
      </c>
      <c r="C142" t="s">
        <v>322</v>
      </c>
      <c r="D142" t="str">
        <f>IF(LEFT(Table6[[#This Row],[Opponent]],1)="@","Away","Home")</f>
        <v>Away</v>
      </c>
      <c r="E142">
        <f>_xlfn.NUMBERVALUE(MID(LEFT(Table6[[#This Row],[Score]],FIND("-",Table6[[#This Row],[Score]])-1),FIND(" ",Table6[[#This Row],[Score]])+1,LEN(Table6[[#This Row],[Score]])))</f>
        <v>6</v>
      </c>
      <c r="F142">
        <f>_xlfn.NUMBERVALUE(RIGHT(Table6[[#This Row],[Score]],LEN(Table6[[#This Row],[Score]])-FIND("-",Table6[[#This Row],[Score]])))</f>
        <v>7</v>
      </c>
      <c r="G142">
        <f t="shared" ref="G142:G145" si="21">E142+F142</f>
        <v>13</v>
      </c>
      <c r="H142" t="str">
        <f>LEFT(Table6[[#This Row],[Score]],1)</f>
        <v>L</v>
      </c>
      <c r="I142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142" s="33">
        <f>VLOOKUP(Table6[[#This Row],[OPP]],Raw!$L$2:$S$23,7,FALSE)-Raw!$U$2</f>
        <v>2.7744577246569277</v>
      </c>
    </row>
    <row r="143" spans="1:10" x14ac:dyDescent="0.25">
      <c r="A143" t="s">
        <v>601</v>
      </c>
      <c r="B143" t="s">
        <v>124</v>
      </c>
      <c r="C143" t="s">
        <v>337</v>
      </c>
      <c r="D143" t="str">
        <f>IF(LEFT(Table6[[#This Row],[Opponent]],1)="@","Away","Home")</f>
        <v>Away</v>
      </c>
      <c r="E143">
        <f>_xlfn.NUMBERVALUE(MID(LEFT(Table6[[#This Row],[Score]],FIND("-",Table6[[#This Row],[Score]])-1),FIND(" ",Table6[[#This Row],[Score]])+1,LEN(Table6[[#This Row],[Score]])))</f>
        <v>6</v>
      </c>
      <c r="F143">
        <f>_xlfn.NUMBERVALUE(RIGHT(Table6[[#This Row],[Score]],LEN(Table6[[#This Row],[Score]])-FIND("-",Table6[[#This Row],[Score]])))</f>
        <v>12</v>
      </c>
      <c r="G143">
        <f t="shared" si="21"/>
        <v>18</v>
      </c>
      <c r="H143" t="str">
        <f>LEFT(Table6[[#This Row],[Score]],1)</f>
        <v>L</v>
      </c>
      <c r="I143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143" s="33">
        <f>VLOOKUP(Table6[[#This Row],[OPP]],Raw!$L$2:$S$23,7,FALSE)-Raw!$U$2</f>
        <v>2.7744577246569277</v>
      </c>
    </row>
    <row r="144" spans="1:10" x14ac:dyDescent="0.25">
      <c r="A144" t="s">
        <v>602</v>
      </c>
      <c r="B144" t="s">
        <v>314</v>
      </c>
      <c r="C144" t="s">
        <v>323</v>
      </c>
      <c r="D144" t="str">
        <f>IF(LEFT(Table6[[#This Row],[Opponent]],1)="@","Away","Home")</f>
        <v>Home</v>
      </c>
      <c r="E144">
        <f>_xlfn.NUMBERVALUE(MID(LEFT(Table6[[#This Row],[Score]],FIND("-",Table6[[#This Row],[Score]])-1),FIND(" ",Table6[[#This Row],[Score]])+1,LEN(Table6[[#This Row],[Score]])))</f>
        <v>7</v>
      </c>
      <c r="F144">
        <f>_xlfn.NUMBERVALUE(RIGHT(Table6[[#This Row],[Score]],LEN(Table6[[#This Row],[Score]])-FIND("-",Table6[[#This Row],[Score]])))</f>
        <v>6</v>
      </c>
      <c r="G144">
        <f t="shared" si="21"/>
        <v>13</v>
      </c>
      <c r="H144" t="str">
        <f>LEFT(Table6[[#This Row],[Score]],1)</f>
        <v>W</v>
      </c>
      <c r="I144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144" s="33">
        <f>VLOOKUP(Table6[[#This Row],[OPP]],Raw!$L$2:$S$23,7,FALSE)-Raw!$U$2</f>
        <v>0.13556883576803896</v>
      </c>
    </row>
    <row r="145" spans="1:10" x14ac:dyDescent="0.25">
      <c r="A145" t="s">
        <v>603</v>
      </c>
      <c r="B145" t="s">
        <v>314</v>
      </c>
      <c r="C145" t="s">
        <v>89</v>
      </c>
      <c r="D145" t="str">
        <f>IF(LEFT(Table6[[#This Row],[Opponent]],1)="@","Away","Home")</f>
        <v>Home</v>
      </c>
      <c r="E145">
        <f>_xlfn.NUMBERVALUE(MID(LEFT(Table6[[#This Row],[Score]],FIND("-",Table6[[#This Row],[Score]])-1),FIND(" ",Table6[[#This Row],[Score]])+1,LEN(Table6[[#This Row],[Score]])))</f>
        <v>1</v>
      </c>
      <c r="F145">
        <f>_xlfn.NUMBERVALUE(RIGHT(Table6[[#This Row],[Score]],LEN(Table6[[#This Row],[Score]])-FIND("-",Table6[[#This Row],[Score]])))</f>
        <v>6</v>
      </c>
      <c r="G145">
        <f t="shared" si="21"/>
        <v>7</v>
      </c>
      <c r="H145" t="str">
        <f>LEFT(Table6[[#This Row],[Score]],1)</f>
        <v>L</v>
      </c>
      <c r="I145" s="17" t="str">
        <f>VLOOKUP(IF(Table6[[#This Row],[At]]="Home",Table6[[#This Row],[Opponent]],RIGHT(Table6[[#This Row],[Opponent]],LEN(Table6[[#This Row],[Opponent]])-1)),CHOOSE({1,2},[1]StandingsRAW!$J$1:$J$22,[1]StandingsRAW!$L$1:$L$22),2,FALSE)</f>
        <v>LAK</v>
      </c>
      <c r="J145" s="33">
        <f>VLOOKUP(Table6[[#This Row],[OPP]],Raw!$L$2:$S$23,7,FALSE)-Raw!$U$2</f>
        <v>0.13556883576803896</v>
      </c>
    </row>
    <row r="146" spans="1:10" x14ac:dyDescent="0.25">
      <c r="A146" t="s">
        <v>608</v>
      </c>
      <c r="B146" t="s">
        <v>124</v>
      </c>
      <c r="C146" t="s">
        <v>252</v>
      </c>
      <c r="D146" t="str">
        <f>IF(LEFT(Table6[[#This Row],[Opponent]],1)="@","Away","Home")</f>
        <v>Away</v>
      </c>
      <c r="E146">
        <f>_xlfn.NUMBERVALUE(MID(LEFT(Table6[[#This Row],[Score]],FIND("-",Table6[[#This Row],[Score]])-1),FIND(" ",Table6[[#This Row],[Score]])+1,LEN(Table6[[#This Row],[Score]])))</f>
        <v>2</v>
      </c>
      <c r="F146">
        <f>_xlfn.NUMBERVALUE(RIGHT(Table6[[#This Row],[Score]],LEN(Table6[[#This Row],[Score]])-FIND("-",Table6[[#This Row],[Score]])))</f>
        <v>8</v>
      </c>
      <c r="G146">
        <f t="shared" ref="G146:G147" si="22">E146+F146</f>
        <v>10</v>
      </c>
      <c r="H146" t="str">
        <f>LEFT(Table6[[#This Row],[Score]],1)</f>
        <v>L</v>
      </c>
      <c r="I146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146" s="33">
        <f>VLOOKUP(Table6[[#This Row],[OPP]],Raw!$L$2:$S$23,7,FALSE)-Raw!$U$2</f>
        <v>2.7744577246569277</v>
      </c>
    </row>
    <row r="147" spans="1:10" x14ac:dyDescent="0.25">
      <c r="A147" t="s">
        <v>609</v>
      </c>
      <c r="B147" t="s">
        <v>103</v>
      </c>
      <c r="C147" t="s">
        <v>223</v>
      </c>
      <c r="D147" t="str">
        <f>IF(LEFT(Table6[[#This Row],[Opponent]],1)="@","Away","Home")</f>
        <v>Home</v>
      </c>
      <c r="E147">
        <f>_xlfn.NUMBERVALUE(MID(LEFT(Table6[[#This Row],[Score]],FIND("-",Table6[[#This Row],[Score]])-1),FIND(" ",Table6[[#This Row],[Score]])+1,LEN(Table6[[#This Row],[Score]])))</f>
        <v>10</v>
      </c>
      <c r="F147">
        <f>_xlfn.NUMBERVALUE(RIGHT(Table6[[#This Row],[Score]],LEN(Table6[[#This Row],[Score]])-FIND("-",Table6[[#This Row],[Score]])))</f>
        <v>4</v>
      </c>
      <c r="G147">
        <f t="shared" si="22"/>
        <v>14</v>
      </c>
      <c r="H147" t="str">
        <f>LEFT(Table6[[#This Row],[Score]],1)</f>
        <v>W</v>
      </c>
      <c r="I147" s="17" t="str">
        <f>VLOOKUP(IF(Table6[[#This Row],[At]]="Home",Table6[[#This Row],[Opponent]],RIGHT(Table6[[#This Row],[Opponent]],LEN(Table6[[#This Row],[Opponent]])-1)),CHOOSE({1,2},[1]StandingsRAW!$J$1:$J$22,[1]StandingsRAW!$L$1:$L$22),2,FALSE)</f>
        <v>WIR</v>
      </c>
      <c r="J147" s="33">
        <f>VLOOKUP(Table6[[#This Row],[OPP]],Raw!$L$2:$S$23,7,FALSE)-Raw!$U$2</f>
        <v>2.7744577246569277</v>
      </c>
    </row>
  </sheetData>
  <conditionalFormatting sqref="L17">
    <cfRule type="cellIs" dxfId="89" priority="4" operator="greaterThan">
      <formula>100</formula>
    </cfRule>
    <cfRule type="cellIs" dxfId="88" priority="5" operator="lessThan">
      <formula>100</formula>
    </cfRule>
  </conditionalFormatting>
  <conditionalFormatting sqref="L18">
    <cfRule type="cellIs" dxfId="87" priority="2" operator="greaterThan">
      <formula>100</formula>
    </cfRule>
    <cfRule type="cellIs" dxfId="86" priority="3" operator="lessThan">
      <formula>100</formula>
    </cfRule>
  </conditionalFormatting>
  <conditionalFormatting sqref="L17:L18">
    <cfRule type="cellIs" dxfId="85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DFDB-B92E-4EB5-9FFD-4DEC6D68441F}">
  <sheetPr codeName="Sheet8"/>
  <dimension ref="A1:P148"/>
  <sheetViews>
    <sheetView topLeftCell="A74" workbookViewId="0">
      <selection activeCell="A77" sqref="A77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331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332</v>
      </c>
      <c r="C3" t="s">
        <v>109</v>
      </c>
      <c r="E3" s="1" t="str">
        <f>IF(LEFT(B3,1)="@","Away","Home")</f>
        <v>Away</v>
      </c>
      <c r="F3" s="3">
        <f>_xlfn.NUMBERVALUE(MID(LEFT(C3,FIND("-",C3)-1),FIND(" ",C3)+1,LEN(C3)))</f>
        <v>3</v>
      </c>
      <c r="G3" s="3">
        <f>_xlfn.NUMBERVALUE(RIGHT(C3,LEN(C3)-FIND("-",C3)))</f>
        <v>13</v>
      </c>
      <c r="H3" s="3">
        <f t="shared" ref="H3:H66" si="0">F3+G3</f>
        <v>16</v>
      </c>
      <c r="I3" s="3" t="str">
        <f>LEFT(C3,1)</f>
        <v>L</v>
      </c>
      <c r="K3" s="4" t="s">
        <v>139</v>
      </c>
      <c r="L3" s="5">
        <f>(SUMIF($E$3:$E$74,$K3,F$3:F$74) + SUMIF(Table7[At],$K3,Table7[Scored]))/(COUNTIF($E$3:$E$74,$K3) + COUNTIF(Table7[At],$K3))</f>
        <v>5.083333333333333</v>
      </c>
      <c r="M3" s="5">
        <f>(SUMIF($E$3:$E$74,$K3,G$3:G$74) + SUMIF(Table7[At],$K3,Table7[Allowed]))/(COUNTIF($E$3:$E$74,$K3) + COUNTIF(Table7[At],$K3))</f>
        <v>6.5555555555555554</v>
      </c>
      <c r="N3" s="5">
        <f>L3+M3</f>
        <v>11.638888888888889</v>
      </c>
      <c r="O3" s="5">
        <f>(COUNTIFS($E$3:$E$74,$K3,$I$3:$I$74,O$2) + COUNTIFS(Table7[At],$K3,Table7[Result],O$2))/(COUNTIF($E$3:$E$74,$K3) + COUNTIF(Table7[At],$K3))</f>
        <v>0.3888888888888889</v>
      </c>
      <c r="P3" s="5">
        <f>(COUNTIFS($E$3:$E$74,$K3,$I$3:$I$74,P$2) + COUNTIFS(Table7[At],$K3,Table7[Result],P$2))/(COUNTIF($E$3:$E$74,$K3) + COUNTIF(Table7[At],$K3))</f>
        <v>0.61111111111111116</v>
      </c>
    </row>
    <row r="4" spans="1:16" x14ac:dyDescent="0.25">
      <c r="A4" t="s">
        <v>7</v>
      </c>
      <c r="B4" t="s">
        <v>333</v>
      </c>
      <c r="C4" t="s">
        <v>296</v>
      </c>
      <c r="E4" s="1" t="str">
        <f t="shared" ref="E4:E67" si="1">IF(LEFT(B4,1)="@","Away","Home")</f>
        <v>Home</v>
      </c>
      <c r="F4" s="3">
        <f t="shared" ref="F4:F67" si="2">_xlfn.NUMBERVALUE(MID(LEFT(C4,FIND("-",C4)-1),FIND(" ",C4)+1,LEN(C4)))</f>
        <v>3</v>
      </c>
      <c r="G4" s="3">
        <f t="shared" ref="G4:G67" si="3">_xlfn.NUMBERVALUE(RIGHT(C4,LEN(C4)-FIND("-",C4)))</f>
        <v>10</v>
      </c>
      <c r="H4" s="3">
        <f t="shared" si="0"/>
        <v>13</v>
      </c>
      <c r="I4" s="3" t="str">
        <f t="shared" ref="I4:I67" si="4">LEFT(C4,1)</f>
        <v>L</v>
      </c>
      <c r="K4" s="4" t="s">
        <v>140</v>
      </c>
      <c r="L4" s="5">
        <f>(SUMIF($E$3:$E$74,$K4,F$3:F$74) + SUMIF(Table7[At],$K4,Table7[Scored]))/(COUNTIF($E$3:$E$74,$K4) + COUNTIF(Table7[At],$K4))</f>
        <v>4.5138888888888893</v>
      </c>
      <c r="M4" s="5">
        <f>(SUMIF($E$3:$E$74,$K4,G$3:G$74) + SUMIF(Table7[At],$K4,Table7[Allowed]))/(COUNTIF($E$3:$E$74,$K4) + COUNTIF(Table7[At],$K4))</f>
        <v>5.8055555555555554</v>
      </c>
      <c r="N4" s="5">
        <f>L4+M4</f>
        <v>10.319444444444445</v>
      </c>
      <c r="O4" s="5">
        <f>(COUNTIFS($E$3:$E$74,$K4,$I$3:$I$74,O$2) + COUNTIFS(Table7[At],$K4,Table7[Result],O$2))/(COUNTIF($E$3:$E$74,$K4) + COUNTIF(Table7[At],$K4))</f>
        <v>0.375</v>
      </c>
      <c r="P4" s="5">
        <f>(COUNTIFS($E$3:$E$74,$K4,$I$3:$I$74,P$2) + COUNTIFS(Table7[At],$K4,Table7[Result],P$2))/(COUNTIF($E$3:$E$74,$K4) + COUNTIF(Table7[At],$K4))</f>
        <v>0.625</v>
      </c>
    </row>
    <row r="5" spans="1:16" x14ac:dyDescent="0.25">
      <c r="A5" t="s">
        <v>9</v>
      </c>
      <c r="B5" t="s">
        <v>103</v>
      </c>
      <c r="C5" t="s">
        <v>251</v>
      </c>
      <c r="E5" s="1" t="str">
        <f t="shared" si="1"/>
        <v>Home</v>
      </c>
      <c r="F5" s="3">
        <f t="shared" si="2"/>
        <v>2</v>
      </c>
      <c r="G5" s="3">
        <f t="shared" si="3"/>
        <v>7</v>
      </c>
      <c r="H5" s="3">
        <f t="shared" si="0"/>
        <v>9</v>
      </c>
      <c r="I5" s="3" t="str">
        <f t="shared" si="4"/>
        <v>L</v>
      </c>
    </row>
    <row r="6" spans="1:16" x14ac:dyDescent="0.25">
      <c r="A6" t="s">
        <v>12</v>
      </c>
      <c r="B6" t="s">
        <v>124</v>
      </c>
      <c r="C6" t="s">
        <v>199</v>
      </c>
      <c r="E6" s="1" t="str">
        <f t="shared" si="1"/>
        <v>Away</v>
      </c>
      <c r="F6" s="3">
        <f t="shared" si="2"/>
        <v>3</v>
      </c>
      <c r="G6" s="3">
        <f t="shared" si="3"/>
        <v>7</v>
      </c>
      <c r="H6" s="3">
        <f t="shared" si="0"/>
        <v>10</v>
      </c>
      <c r="I6" s="3" t="str">
        <f t="shared" si="4"/>
        <v>L</v>
      </c>
      <c r="K6" s="4" t="s">
        <v>144</v>
      </c>
      <c r="L6" s="5">
        <f>N3/N4</f>
        <v>1.1278600269179004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332</v>
      </c>
      <c r="C7" t="s">
        <v>334</v>
      </c>
      <c r="E7" s="1" t="str">
        <f t="shared" si="1"/>
        <v>Away</v>
      </c>
      <c r="F7" s="3">
        <f t="shared" si="2"/>
        <v>7</v>
      </c>
      <c r="G7" s="3">
        <f t="shared" si="3"/>
        <v>15</v>
      </c>
      <c r="H7" s="3">
        <f t="shared" si="0"/>
        <v>22</v>
      </c>
      <c r="I7" s="3" t="str">
        <f t="shared" si="4"/>
        <v>L</v>
      </c>
      <c r="K7" s="7" t="s">
        <v>143</v>
      </c>
      <c r="L7" s="5">
        <f>(18.5 - O3)/(18.5-P4)</f>
        <v>1.0132090132090132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333</v>
      </c>
      <c r="C8" t="s">
        <v>254</v>
      </c>
      <c r="E8" s="1" t="str">
        <f t="shared" si="1"/>
        <v>Home</v>
      </c>
      <c r="F8" s="3">
        <f t="shared" si="2"/>
        <v>5</v>
      </c>
      <c r="G8" s="3">
        <f t="shared" si="3"/>
        <v>4</v>
      </c>
      <c r="H8" s="3">
        <f t="shared" si="0"/>
        <v>9</v>
      </c>
      <c r="I8" s="3" t="str">
        <f t="shared" si="4"/>
        <v>W</v>
      </c>
      <c r="K8" s="7" t="s">
        <v>146</v>
      </c>
      <c r="L8" s="5">
        <f>L6/L7</f>
        <v>1.1131563302479583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314</v>
      </c>
      <c r="C9" t="s">
        <v>85</v>
      </c>
      <c r="E9" s="1" t="str">
        <f t="shared" si="1"/>
        <v>Home</v>
      </c>
      <c r="F9" s="3">
        <f t="shared" si="2"/>
        <v>5</v>
      </c>
      <c r="G9" s="3">
        <f t="shared" si="3"/>
        <v>3</v>
      </c>
      <c r="H9" s="3">
        <f t="shared" si="0"/>
        <v>8</v>
      </c>
      <c r="I9" s="3" t="str">
        <f t="shared" si="4"/>
        <v>W</v>
      </c>
      <c r="K9" s="7" t="s">
        <v>145</v>
      </c>
      <c r="L9" s="5">
        <f>(P7)/(P7-1+L8)</f>
        <v>0.99065839429766178</v>
      </c>
      <c r="O9" s="4"/>
      <c r="P9" s="1"/>
    </row>
    <row r="10" spans="1:16" x14ac:dyDescent="0.25">
      <c r="A10" t="s">
        <v>193</v>
      </c>
      <c r="B10" t="s">
        <v>315</v>
      </c>
      <c r="C10" t="s">
        <v>290</v>
      </c>
      <c r="E10" s="1" t="str">
        <f t="shared" si="1"/>
        <v>Away</v>
      </c>
      <c r="F10" s="3">
        <f t="shared" si="2"/>
        <v>5</v>
      </c>
      <c r="G10" s="3">
        <f t="shared" si="3"/>
        <v>0</v>
      </c>
      <c r="H10" s="3">
        <f t="shared" si="0"/>
        <v>5</v>
      </c>
      <c r="I10" s="3" t="str">
        <f t="shared" si="4"/>
        <v>W</v>
      </c>
      <c r="K10" s="4" t="s">
        <v>149</v>
      </c>
      <c r="L10" s="5">
        <f>L8*L9</f>
        <v>1.1027576627257201</v>
      </c>
      <c r="O10" s="4"/>
      <c r="P10" s="1"/>
    </row>
    <row r="11" spans="1:16" x14ac:dyDescent="0.25">
      <c r="A11" t="s">
        <v>196</v>
      </c>
      <c r="B11" t="s">
        <v>74</v>
      </c>
      <c r="C11" t="s">
        <v>230</v>
      </c>
      <c r="E11" s="1" t="str">
        <f t="shared" si="1"/>
        <v>Home</v>
      </c>
      <c r="F11" s="3">
        <f t="shared" si="2"/>
        <v>4</v>
      </c>
      <c r="G11" s="3">
        <f t="shared" si="3"/>
        <v>9</v>
      </c>
      <c r="H11" s="3">
        <f t="shared" si="0"/>
        <v>13</v>
      </c>
      <c r="I11" s="3" t="str">
        <f t="shared" si="4"/>
        <v>L</v>
      </c>
      <c r="K11" s="4" t="s">
        <v>148</v>
      </c>
      <c r="L11" s="5">
        <f>1 - ((L10-1)/(P7-1))</f>
        <v>0.99065839429766178</v>
      </c>
      <c r="O11" s="4"/>
      <c r="P11" s="1"/>
    </row>
    <row r="12" spans="1:16" x14ac:dyDescent="0.25">
      <c r="A12" t="s">
        <v>25</v>
      </c>
      <c r="B12" t="s">
        <v>314</v>
      </c>
      <c r="C12" t="s">
        <v>277</v>
      </c>
      <c r="E12" s="1" t="str">
        <f t="shared" si="1"/>
        <v>Home</v>
      </c>
      <c r="F12" s="3">
        <f t="shared" si="2"/>
        <v>5</v>
      </c>
      <c r="G12" s="3">
        <f t="shared" si="3"/>
        <v>8</v>
      </c>
      <c r="H12" s="3">
        <f t="shared" si="0"/>
        <v>13</v>
      </c>
      <c r="I12" s="3" t="str">
        <f t="shared" si="4"/>
        <v>L</v>
      </c>
      <c r="K12" s="4" t="s">
        <v>150</v>
      </c>
      <c r="L12" s="5">
        <f>(($L4/$L11)+($L3/$L10)) * (1 + (L13-1)/($P7-1)) / $P8</f>
        <v>0.80153331845140463</v>
      </c>
      <c r="M12" s="5">
        <f t="shared" ref="M12:O12" si="5">(($L4/$L11)+($L3/$L10)) * (1 + (M13-1)/($P7-1)) / $P8</f>
        <v>0.80252913538034298</v>
      </c>
      <c r="N12" s="5">
        <f t="shared" si="5"/>
        <v>0.80253594492377167</v>
      </c>
      <c r="O12" s="8">
        <f t="shared" si="5"/>
        <v>0.8025359914884368</v>
      </c>
      <c r="P12" s="5"/>
    </row>
    <row r="13" spans="1:16" x14ac:dyDescent="0.25">
      <c r="A13" t="s">
        <v>27</v>
      </c>
      <c r="B13" t="s">
        <v>315</v>
      </c>
      <c r="C13" t="s">
        <v>270</v>
      </c>
      <c r="E13" s="1" t="str">
        <f t="shared" si="1"/>
        <v>Away</v>
      </c>
      <c r="F13" s="3">
        <f t="shared" si="2"/>
        <v>4</v>
      </c>
      <c r="G13" s="3">
        <f t="shared" si="3"/>
        <v>3</v>
      </c>
      <c r="H13" s="3">
        <f t="shared" si="0"/>
        <v>7</v>
      </c>
      <c r="I13" s="3" t="str">
        <f t="shared" si="4"/>
        <v>W</v>
      </c>
      <c r="K13" s="4" t="s">
        <v>182</v>
      </c>
      <c r="L13" s="5">
        <v>1</v>
      </c>
      <c r="M13" s="5">
        <f>(($M4/$L11)+($M3/$L10)) * (1 + (L12-1)/($P7-1)) / $P8</f>
        <v>1.0136662893059563</v>
      </c>
      <c r="N13" s="5">
        <f>(($M4/$L11)+($M3/$L10)) * (1 + (M12-1)/($P7-1)) / $P8</f>
        <v>1.0137597414133031</v>
      </c>
      <c r="O13" s="5">
        <f>(($M4/$L11)+($M3/$L10)) * (1 + (N12-1)/($P7-1)) / $P8</f>
        <v>1.0137603804526334</v>
      </c>
      <c r="P13" s="8">
        <f>(($M4/$L11)+($M3/$L10)) * (1 + (O12-1)/($P7-1)) / $P8</f>
        <v>1.013760384822479</v>
      </c>
    </row>
    <row r="14" spans="1:16" x14ac:dyDescent="0.25">
      <c r="A14" t="s">
        <v>29</v>
      </c>
      <c r="B14" t="s">
        <v>319</v>
      </c>
      <c r="C14" t="s">
        <v>116</v>
      </c>
      <c r="E14" s="1" t="str">
        <f t="shared" si="1"/>
        <v>Away</v>
      </c>
      <c r="F14" s="3">
        <f t="shared" si="2"/>
        <v>9</v>
      </c>
      <c r="G14" s="3">
        <f t="shared" si="3"/>
        <v>3</v>
      </c>
      <c r="H14" s="3">
        <f t="shared" si="0"/>
        <v>12</v>
      </c>
      <c r="I14" s="3" t="str">
        <f t="shared" si="4"/>
        <v>W</v>
      </c>
      <c r="K14" s="4" t="s">
        <v>183</v>
      </c>
      <c r="L14" s="5">
        <f xml:space="preserve"> (L10+L11) / (2 * (1 + ((P13-1)/(P7-1))))</f>
        <v>1.0454002912116362</v>
      </c>
      <c r="N14" s="5"/>
    </row>
    <row r="15" spans="1:16" x14ac:dyDescent="0.25">
      <c r="A15" t="s">
        <v>32</v>
      </c>
      <c r="B15" t="s">
        <v>319</v>
      </c>
      <c r="C15" t="s">
        <v>56</v>
      </c>
      <c r="E15" s="1" t="str">
        <f t="shared" si="1"/>
        <v>Away</v>
      </c>
      <c r="F15" s="3">
        <f t="shared" si="2"/>
        <v>1</v>
      </c>
      <c r="G15" s="3">
        <f t="shared" si="3"/>
        <v>7</v>
      </c>
      <c r="H15" s="3">
        <f t="shared" si="0"/>
        <v>8</v>
      </c>
      <c r="I15" s="3" t="str">
        <f t="shared" si="4"/>
        <v>L</v>
      </c>
      <c r="K15" s="4" t="s">
        <v>184</v>
      </c>
      <c r="L15" s="5">
        <f xml:space="preserve"> (L10+L11) / (2 * (1 + ((O12-1)/(P7-1))))</f>
        <v>1.0658412360486997</v>
      </c>
    </row>
    <row r="16" spans="1:16" ht="15.75" thickBot="1" x14ac:dyDescent="0.3">
      <c r="A16" t="s">
        <v>34</v>
      </c>
      <c r="B16" t="s">
        <v>69</v>
      </c>
      <c r="C16" t="s">
        <v>335</v>
      </c>
      <c r="E16" s="1" t="str">
        <f t="shared" si="1"/>
        <v>Home</v>
      </c>
      <c r="F16" s="3">
        <f t="shared" si="2"/>
        <v>6</v>
      </c>
      <c r="G16" s="3">
        <f t="shared" si="3"/>
        <v>4</v>
      </c>
      <c r="H16" s="3">
        <f t="shared" si="0"/>
        <v>10</v>
      </c>
      <c r="I16" s="3" t="str">
        <f t="shared" si="4"/>
        <v>W</v>
      </c>
    </row>
    <row r="17" spans="1:14" x14ac:dyDescent="0.25">
      <c r="A17" t="s">
        <v>37</v>
      </c>
      <c r="B17" t="s">
        <v>69</v>
      </c>
      <c r="C17" t="s">
        <v>336</v>
      </c>
      <c r="E17" s="1" t="str">
        <f t="shared" si="1"/>
        <v>Home</v>
      </c>
      <c r="F17" s="3">
        <f t="shared" si="2"/>
        <v>8</v>
      </c>
      <c r="G17" s="3">
        <f t="shared" si="3"/>
        <v>4</v>
      </c>
      <c r="H17" s="3">
        <f t="shared" si="0"/>
        <v>12</v>
      </c>
      <c r="I17" s="3" t="str">
        <f t="shared" si="4"/>
        <v>W</v>
      </c>
      <c r="K17" s="9" t="s">
        <v>185</v>
      </c>
      <c r="L17" s="10">
        <f>L14*100</f>
        <v>104.54002912116363</v>
      </c>
    </row>
    <row r="18" spans="1:14" ht="15.75" thickBot="1" x14ac:dyDescent="0.3">
      <c r="A18" t="s">
        <v>39</v>
      </c>
      <c r="B18" t="s">
        <v>333</v>
      </c>
      <c r="C18" t="s">
        <v>320</v>
      </c>
      <c r="E18" s="1" t="str">
        <f t="shared" si="1"/>
        <v>Home</v>
      </c>
      <c r="F18" s="3">
        <f t="shared" si="2"/>
        <v>5</v>
      </c>
      <c r="G18" s="3">
        <f t="shared" si="3"/>
        <v>1</v>
      </c>
      <c r="H18" s="3">
        <f t="shared" si="0"/>
        <v>6</v>
      </c>
      <c r="I18" s="3" t="str">
        <f t="shared" si="4"/>
        <v>W</v>
      </c>
      <c r="K18" s="11" t="s">
        <v>186</v>
      </c>
      <c r="L18" s="12">
        <f>L15*100</f>
        <v>106.58412360486997</v>
      </c>
    </row>
    <row r="19" spans="1:14" x14ac:dyDescent="0.25">
      <c r="A19" t="s">
        <v>41</v>
      </c>
      <c r="B19" t="s">
        <v>332</v>
      </c>
      <c r="C19" t="s">
        <v>337</v>
      </c>
      <c r="E19" s="1" t="str">
        <f t="shared" si="1"/>
        <v>Away</v>
      </c>
      <c r="F19" s="3">
        <f t="shared" si="2"/>
        <v>6</v>
      </c>
      <c r="G19" s="3">
        <f t="shared" si="3"/>
        <v>12</v>
      </c>
      <c r="H19" s="3">
        <f t="shared" si="0"/>
        <v>18</v>
      </c>
      <c r="I19" s="3" t="str">
        <f t="shared" si="4"/>
        <v>L</v>
      </c>
    </row>
    <row r="20" spans="1:14" x14ac:dyDescent="0.25">
      <c r="A20" t="s">
        <v>43</v>
      </c>
      <c r="B20" t="s">
        <v>10</v>
      </c>
      <c r="C20" t="s">
        <v>269</v>
      </c>
      <c r="E20" s="1" t="str">
        <f t="shared" si="1"/>
        <v>Away</v>
      </c>
      <c r="F20" s="3">
        <f t="shared" si="2"/>
        <v>2</v>
      </c>
      <c r="G20" s="3">
        <f t="shared" si="3"/>
        <v>3</v>
      </c>
      <c r="H20" s="3">
        <f t="shared" si="0"/>
        <v>5</v>
      </c>
      <c r="I20" s="3" t="str">
        <f t="shared" si="4"/>
        <v>L</v>
      </c>
    </row>
    <row r="21" spans="1:14" x14ac:dyDescent="0.25">
      <c r="A21" t="s">
        <v>45</v>
      </c>
      <c r="B21" t="s">
        <v>10</v>
      </c>
      <c r="C21" t="s">
        <v>205</v>
      </c>
      <c r="E21" s="1" t="str">
        <f t="shared" si="1"/>
        <v>Away</v>
      </c>
      <c r="F21" s="3">
        <f t="shared" si="2"/>
        <v>5</v>
      </c>
      <c r="G21" s="3">
        <f t="shared" si="3"/>
        <v>6</v>
      </c>
      <c r="H21" s="3">
        <f t="shared" si="0"/>
        <v>11</v>
      </c>
      <c r="I21" s="3" t="str">
        <f t="shared" si="4"/>
        <v>L</v>
      </c>
    </row>
    <row r="22" spans="1:14" x14ac:dyDescent="0.25">
      <c r="A22" t="s">
        <v>47</v>
      </c>
      <c r="B22" t="s">
        <v>74</v>
      </c>
      <c r="C22" t="s">
        <v>205</v>
      </c>
      <c r="E22" s="1" t="str">
        <f t="shared" si="1"/>
        <v>Home</v>
      </c>
      <c r="F22" s="3">
        <f t="shared" si="2"/>
        <v>5</v>
      </c>
      <c r="G22" s="3">
        <f t="shared" si="3"/>
        <v>6</v>
      </c>
      <c r="H22" s="3">
        <f t="shared" si="0"/>
        <v>11</v>
      </c>
      <c r="I22" s="3" t="str">
        <f t="shared" si="4"/>
        <v>L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49</v>
      </c>
      <c r="B23" t="s">
        <v>120</v>
      </c>
      <c r="C23" t="s">
        <v>234</v>
      </c>
      <c r="E23" s="1" t="str">
        <f t="shared" si="1"/>
        <v>Away</v>
      </c>
      <c r="F23" s="3">
        <f t="shared" si="2"/>
        <v>2</v>
      </c>
      <c r="G23" s="3">
        <f t="shared" si="3"/>
        <v>5</v>
      </c>
      <c r="H23" s="3">
        <f t="shared" si="0"/>
        <v>7</v>
      </c>
      <c r="I23" s="3" t="str">
        <f t="shared" si="4"/>
        <v>L</v>
      </c>
      <c r="K23" s="1">
        <f>COUNTIFS(Table7[At], "Home",Table7[Result], "W")</f>
        <v>14</v>
      </c>
      <c r="L23" s="1">
        <f>COUNTIFS(Table7[At], "Home",Table7[Result], "L")</f>
        <v>22</v>
      </c>
      <c r="M23" s="1">
        <f>COUNTIFS(Table7[At], "Away",Table7[Result], "W")</f>
        <v>16</v>
      </c>
      <c r="N23" s="1">
        <f>COUNTIFS(Table7[At], "Away",Table7[Result], "L")</f>
        <v>20</v>
      </c>
    </row>
    <row r="24" spans="1:14" x14ac:dyDescent="0.25">
      <c r="A24" t="s">
        <v>49</v>
      </c>
      <c r="B24" t="s">
        <v>120</v>
      </c>
      <c r="C24" t="s">
        <v>92</v>
      </c>
      <c r="E24" s="1" t="str">
        <f t="shared" si="1"/>
        <v>Away</v>
      </c>
      <c r="F24" s="3">
        <f t="shared" si="2"/>
        <v>5</v>
      </c>
      <c r="G24" s="3">
        <f t="shared" si="3"/>
        <v>10</v>
      </c>
      <c r="H24" s="3">
        <f t="shared" si="0"/>
        <v>15</v>
      </c>
      <c r="I24" s="3" t="str">
        <f t="shared" si="4"/>
        <v>L</v>
      </c>
      <c r="K24" s="1"/>
      <c r="M24" s="1"/>
      <c r="N24" s="1"/>
    </row>
    <row r="25" spans="1:14" x14ac:dyDescent="0.25">
      <c r="A25" t="s">
        <v>51</v>
      </c>
      <c r="B25" t="s">
        <v>103</v>
      </c>
      <c r="C25" t="s">
        <v>338</v>
      </c>
      <c r="E25" s="1" t="str">
        <f t="shared" si="1"/>
        <v>Home</v>
      </c>
      <c r="F25" s="3">
        <f t="shared" si="2"/>
        <v>0</v>
      </c>
      <c r="G25" s="3">
        <f t="shared" si="3"/>
        <v>11</v>
      </c>
      <c r="H25" s="3">
        <f t="shared" si="0"/>
        <v>11</v>
      </c>
      <c r="I25" s="3" t="str">
        <f t="shared" si="4"/>
        <v>L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51</v>
      </c>
      <c r="B26" t="s">
        <v>103</v>
      </c>
      <c r="C26" t="s">
        <v>254</v>
      </c>
      <c r="E26" s="1" t="str">
        <f t="shared" si="1"/>
        <v>Home</v>
      </c>
      <c r="F26" s="3">
        <f t="shared" si="2"/>
        <v>5</v>
      </c>
      <c r="G26" s="3">
        <f t="shared" si="3"/>
        <v>4</v>
      </c>
      <c r="H26" s="3">
        <f t="shared" si="0"/>
        <v>9</v>
      </c>
      <c r="I26" s="3" t="str">
        <f t="shared" si="4"/>
        <v>W</v>
      </c>
      <c r="K26" s="1">
        <f>COUNTIFS(Table7[oR/G], "&gt;0",Table7[Result], "W")</f>
        <v>23</v>
      </c>
      <c r="L26" s="1">
        <f>COUNTIFS(Table7[oR/G], "&gt;0",Table7[Result], "l")</f>
        <v>37</v>
      </c>
      <c r="M26" s="1">
        <f>COUNTIFS(Table7[oR/G], "&lt;0",Table7[Result], "W")</f>
        <v>7</v>
      </c>
      <c r="N26" s="1">
        <f>COUNTIFS(Table7[oR/G], "&lt;0",Table7[Result], "l")</f>
        <v>5</v>
      </c>
    </row>
    <row r="27" spans="1:14" x14ac:dyDescent="0.25">
      <c r="A27" t="s">
        <v>53</v>
      </c>
      <c r="B27" t="s">
        <v>319</v>
      </c>
      <c r="C27" t="s">
        <v>55</v>
      </c>
      <c r="E27" s="1" t="str">
        <f t="shared" si="1"/>
        <v>Away</v>
      </c>
      <c r="F27" s="3">
        <f t="shared" si="2"/>
        <v>5</v>
      </c>
      <c r="G27" s="3">
        <f t="shared" si="3"/>
        <v>7</v>
      </c>
      <c r="H27" s="3">
        <f t="shared" si="0"/>
        <v>12</v>
      </c>
      <c r="I27" s="3" t="str">
        <f t="shared" si="4"/>
        <v>L</v>
      </c>
    </row>
    <row r="28" spans="1:14" x14ac:dyDescent="0.25">
      <c r="A28" t="s">
        <v>54</v>
      </c>
      <c r="B28" t="s">
        <v>314</v>
      </c>
      <c r="C28" t="s">
        <v>226</v>
      </c>
      <c r="E28" s="1" t="str">
        <f t="shared" si="1"/>
        <v>Home</v>
      </c>
      <c r="F28" s="3">
        <f t="shared" si="2"/>
        <v>3</v>
      </c>
      <c r="G28" s="3">
        <f t="shared" si="3"/>
        <v>2</v>
      </c>
      <c r="H28" s="3">
        <f t="shared" si="0"/>
        <v>5</v>
      </c>
      <c r="I28" s="3" t="str">
        <f t="shared" si="4"/>
        <v>W</v>
      </c>
    </row>
    <row r="29" spans="1:14" x14ac:dyDescent="0.25">
      <c r="A29" t="s">
        <v>54</v>
      </c>
      <c r="B29" t="s">
        <v>314</v>
      </c>
      <c r="C29" t="s">
        <v>205</v>
      </c>
      <c r="E29" s="1" t="str">
        <f t="shared" si="1"/>
        <v>Home</v>
      </c>
      <c r="F29" s="3">
        <f t="shared" si="2"/>
        <v>5</v>
      </c>
      <c r="G29" s="3">
        <f t="shared" si="3"/>
        <v>6</v>
      </c>
      <c r="H29" s="3">
        <f t="shared" si="0"/>
        <v>11</v>
      </c>
      <c r="I29" s="3" t="str">
        <f t="shared" si="4"/>
        <v>L</v>
      </c>
    </row>
    <row r="30" spans="1:14" x14ac:dyDescent="0.25">
      <c r="A30" t="s">
        <v>57</v>
      </c>
      <c r="B30" t="s">
        <v>120</v>
      </c>
      <c r="C30" t="s">
        <v>240</v>
      </c>
      <c r="E30" s="1" t="str">
        <f t="shared" si="1"/>
        <v>Away</v>
      </c>
      <c r="F30" s="3">
        <f t="shared" si="2"/>
        <v>1</v>
      </c>
      <c r="G30" s="3">
        <f t="shared" si="3"/>
        <v>3</v>
      </c>
      <c r="H30" s="3">
        <f t="shared" si="0"/>
        <v>4</v>
      </c>
      <c r="I30" s="3" t="str">
        <f t="shared" si="4"/>
        <v>L</v>
      </c>
    </row>
    <row r="31" spans="1:14" x14ac:dyDescent="0.25">
      <c r="A31" t="s">
        <v>60</v>
      </c>
      <c r="B31" t="s">
        <v>74</v>
      </c>
      <c r="C31" t="s">
        <v>83</v>
      </c>
      <c r="E31" s="1" t="str">
        <f t="shared" si="1"/>
        <v>Home</v>
      </c>
      <c r="F31" s="3">
        <f t="shared" si="2"/>
        <v>4</v>
      </c>
      <c r="G31" s="3">
        <f t="shared" si="3"/>
        <v>7</v>
      </c>
      <c r="H31" s="3">
        <f t="shared" si="0"/>
        <v>11</v>
      </c>
      <c r="I31" s="3" t="str">
        <f t="shared" si="4"/>
        <v>L</v>
      </c>
    </row>
    <row r="32" spans="1:14" x14ac:dyDescent="0.25">
      <c r="A32" t="s">
        <v>62</v>
      </c>
      <c r="B32" t="s">
        <v>321</v>
      </c>
      <c r="C32" t="s">
        <v>249</v>
      </c>
      <c r="E32" s="1" t="str">
        <f t="shared" si="1"/>
        <v>Home</v>
      </c>
      <c r="F32" s="3">
        <f t="shared" si="2"/>
        <v>9</v>
      </c>
      <c r="G32" s="3">
        <f t="shared" si="3"/>
        <v>11</v>
      </c>
      <c r="H32" s="3">
        <f t="shared" si="0"/>
        <v>20</v>
      </c>
      <c r="I32" s="3" t="str">
        <f t="shared" si="4"/>
        <v>L</v>
      </c>
    </row>
    <row r="33" spans="1:9" x14ac:dyDescent="0.25">
      <c r="A33" t="s">
        <v>64</v>
      </c>
      <c r="B33" t="s">
        <v>321</v>
      </c>
      <c r="C33" t="s">
        <v>38</v>
      </c>
      <c r="E33" s="1" t="str">
        <f t="shared" si="1"/>
        <v>Home</v>
      </c>
      <c r="F33" s="3">
        <f t="shared" si="2"/>
        <v>3</v>
      </c>
      <c r="G33" s="3">
        <f t="shared" si="3"/>
        <v>5</v>
      </c>
      <c r="H33" s="3">
        <f t="shared" si="0"/>
        <v>8</v>
      </c>
      <c r="I33" s="3" t="str">
        <f t="shared" si="4"/>
        <v>L</v>
      </c>
    </row>
    <row r="34" spans="1:9" x14ac:dyDescent="0.25">
      <c r="A34" t="s">
        <v>66</v>
      </c>
      <c r="B34" t="s">
        <v>315</v>
      </c>
      <c r="C34" t="s">
        <v>109</v>
      </c>
      <c r="E34" s="1" t="str">
        <f t="shared" si="1"/>
        <v>Away</v>
      </c>
      <c r="F34" s="3">
        <f t="shared" si="2"/>
        <v>3</v>
      </c>
      <c r="G34" s="3">
        <f t="shared" si="3"/>
        <v>13</v>
      </c>
      <c r="H34" s="3">
        <f t="shared" si="0"/>
        <v>16</v>
      </c>
      <c r="I34" s="3" t="str">
        <f t="shared" si="4"/>
        <v>L</v>
      </c>
    </row>
    <row r="35" spans="1:9" x14ac:dyDescent="0.25">
      <c r="A35" t="s">
        <v>67</v>
      </c>
      <c r="B35" t="s">
        <v>314</v>
      </c>
      <c r="C35" t="s">
        <v>339</v>
      </c>
      <c r="E35" s="1" t="str">
        <f t="shared" si="1"/>
        <v>Home</v>
      </c>
      <c r="F35" s="3">
        <f t="shared" si="2"/>
        <v>15</v>
      </c>
      <c r="G35" s="3">
        <f t="shared" si="3"/>
        <v>8</v>
      </c>
      <c r="H35" s="3">
        <f t="shared" si="0"/>
        <v>23</v>
      </c>
      <c r="I35" s="3" t="str">
        <f t="shared" si="4"/>
        <v>W</v>
      </c>
    </row>
    <row r="36" spans="1:9" x14ac:dyDescent="0.25">
      <c r="A36" t="s">
        <v>68</v>
      </c>
      <c r="B36" t="s">
        <v>124</v>
      </c>
      <c r="C36" t="s">
        <v>264</v>
      </c>
      <c r="E36" s="1" t="str">
        <f t="shared" si="1"/>
        <v>Away</v>
      </c>
      <c r="F36" s="3">
        <f t="shared" si="2"/>
        <v>6</v>
      </c>
      <c r="G36" s="3">
        <f t="shared" si="3"/>
        <v>2</v>
      </c>
      <c r="H36" s="3">
        <f t="shared" si="0"/>
        <v>8</v>
      </c>
      <c r="I36" s="3" t="str">
        <f t="shared" si="4"/>
        <v>W</v>
      </c>
    </row>
    <row r="37" spans="1:9" x14ac:dyDescent="0.25">
      <c r="A37" t="s">
        <v>71</v>
      </c>
      <c r="B37" t="s">
        <v>103</v>
      </c>
      <c r="C37" t="s">
        <v>283</v>
      </c>
      <c r="E37" s="1" t="str">
        <f t="shared" si="1"/>
        <v>Home</v>
      </c>
      <c r="F37" s="3">
        <f t="shared" si="2"/>
        <v>10</v>
      </c>
      <c r="G37" s="3">
        <f t="shared" si="3"/>
        <v>8</v>
      </c>
      <c r="H37" s="3">
        <f t="shared" si="0"/>
        <v>18</v>
      </c>
      <c r="I37" s="3" t="str">
        <f t="shared" si="4"/>
        <v>W</v>
      </c>
    </row>
    <row r="38" spans="1:9" x14ac:dyDescent="0.25">
      <c r="A38" t="s">
        <v>73</v>
      </c>
      <c r="B38" t="s">
        <v>315</v>
      </c>
      <c r="C38" t="s">
        <v>200</v>
      </c>
      <c r="E38" s="1" t="str">
        <f t="shared" si="1"/>
        <v>Away</v>
      </c>
      <c r="F38" s="3">
        <f t="shared" si="2"/>
        <v>8</v>
      </c>
      <c r="G38" s="3">
        <f t="shared" si="3"/>
        <v>0</v>
      </c>
      <c r="H38" s="3">
        <f t="shared" si="0"/>
        <v>8</v>
      </c>
      <c r="I38" s="3" t="str">
        <f t="shared" si="4"/>
        <v>W</v>
      </c>
    </row>
    <row r="39" spans="1:9" x14ac:dyDescent="0.25">
      <c r="A39" t="s">
        <v>209</v>
      </c>
      <c r="B39" t="s">
        <v>315</v>
      </c>
      <c r="C39" t="s">
        <v>270</v>
      </c>
      <c r="E39" s="1" t="str">
        <f t="shared" si="1"/>
        <v>Away</v>
      </c>
      <c r="F39" s="3">
        <f t="shared" si="2"/>
        <v>4</v>
      </c>
      <c r="G39" s="3">
        <f t="shared" si="3"/>
        <v>3</v>
      </c>
      <c r="H39" s="3">
        <f t="shared" si="0"/>
        <v>7</v>
      </c>
      <c r="I39" s="3" t="str">
        <f t="shared" si="4"/>
        <v>W</v>
      </c>
    </row>
    <row r="40" spans="1:9" x14ac:dyDescent="0.25">
      <c r="A40" t="s">
        <v>76</v>
      </c>
      <c r="B40" t="s">
        <v>52</v>
      </c>
      <c r="C40" t="s">
        <v>340</v>
      </c>
      <c r="E40" s="1" t="str">
        <f t="shared" si="1"/>
        <v>Home</v>
      </c>
      <c r="F40" s="3">
        <f t="shared" si="2"/>
        <v>13</v>
      </c>
      <c r="G40" s="3">
        <f t="shared" si="3"/>
        <v>5</v>
      </c>
      <c r="H40" s="3">
        <f t="shared" si="0"/>
        <v>18</v>
      </c>
      <c r="I40" s="3" t="str">
        <f t="shared" si="4"/>
        <v>W</v>
      </c>
    </row>
    <row r="41" spans="1:9" x14ac:dyDescent="0.25">
      <c r="A41" t="s">
        <v>78</v>
      </c>
      <c r="B41" t="s">
        <v>52</v>
      </c>
      <c r="C41" t="s">
        <v>219</v>
      </c>
      <c r="E41" s="1" t="str">
        <f t="shared" si="1"/>
        <v>Home</v>
      </c>
      <c r="F41" s="3">
        <f t="shared" si="2"/>
        <v>0</v>
      </c>
      <c r="G41" s="3">
        <f t="shared" si="3"/>
        <v>2</v>
      </c>
      <c r="H41" s="3">
        <f t="shared" si="0"/>
        <v>2</v>
      </c>
      <c r="I41" s="3" t="str">
        <f t="shared" si="4"/>
        <v>L</v>
      </c>
    </row>
    <row r="42" spans="1:9" x14ac:dyDescent="0.25">
      <c r="A42" t="s">
        <v>80</v>
      </c>
      <c r="B42" t="s">
        <v>124</v>
      </c>
      <c r="C42" t="s">
        <v>251</v>
      </c>
      <c r="E42" s="1" t="str">
        <f t="shared" si="1"/>
        <v>Away</v>
      </c>
      <c r="F42" s="3">
        <f t="shared" si="2"/>
        <v>2</v>
      </c>
      <c r="G42" s="3">
        <f t="shared" si="3"/>
        <v>7</v>
      </c>
      <c r="H42" s="3">
        <f t="shared" si="0"/>
        <v>9</v>
      </c>
      <c r="I42" s="3" t="str">
        <f t="shared" si="4"/>
        <v>L</v>
      </c>
    </row>
    <row r="43" spans="1:9" x14ac:dyDescent="0.25">
      <c r="A43" t="s">
        <v>81</v>
      </c>
      <c r="B43" t="s">
        <v>124</v>
      </c>
      <c r="C43" t="s">
        <v>270</v>
      </c>
      <c r="E43" s="1" t="str">
        <f t="shared" si="1"/>
        <v>Away</v>
      </c>
      <c r="F43" s="3">
        <f t="shared" si="2"/>
        <v>4</v>
      </c>
      <c r="G43" s="3">
        <f t="shared" si="3"/>
        <v>3</v>
      </c>
      <c r="H43" s="3">
        <f t="shared" si="0"/>
        <v>7</v>
      </c>
      <c r="I43" s="3" t="str">
        <f t="shared" si="4"/>
        <v>W</v>
      </c>
    </row>
    <row r="44" spans="1:9" x14ac:dyDescent="0.25">
      <c r="A44" t="s">
        <v>82</v>
      </c>
      <c r="B44" t="s">
        <v>333</v>
      </c>
      <c r="C44" t="s">
        <v>28</v>
      </c>
      <c r="E44" s="1" t="str">
        <f t="shared" si="1"/>
        <v>Home</v>
      </c>
      <c r="F44" s="3">
        <f t="shared" si="2"/>
        <v>4</v>
      </c>
      <c r="G44" s="3">
        <f t="shared" si="3"/>
        <v>2</v>
      </c>
      <c r="H44" s="3">
        <f t="shared" si="0"/>
        <v>6</v>
      </c>
      <c r="I44" s="3" t="str">
        <f t="shared" si="4"/>
        <v>W</v>
      </c>
    </row>
    <row r="45" spans="1:9" x14ac:dyDescent="0.25">
      <c r="A45" t="s">
        <v>84</v>
      </c>
      <c r="B45" t="s">
        <v>332</v>
      </c>
      <c r="C45" t="s">
        <v>322</v>
      </c>
      <c r="E45" s="1" t="str">
        <f t="shared" si="1"/>
        <v>Away</v>
      </c>
      <c r="F45" s="3">
        <f t="shared" si="2"/>
        <v>6</v>
      </c>
      <c r="G45" s="3">
        <f t="shared" si="3"/>
        <v>7</v>
      </c>
      <c r="H45" s="3">
        <f t="shared" si="0"/>
        <v>13</v>
      </c>
      <c r="I45" s="3" t="str">
        <f t="shared" si="4"/>
        <v>L</v>
      </c>
    </row>
    <row r="46" spans="1:9" x14ac:dyDescent="0.25">
      <c r="A46" t="s">
        <v>86</v>
      </c>
      <c r="B46" t="s">
        <v>120</v>
      </c>
      <c r="C46" t="s">
        <v>50</v>
      </c>
      <c r="E46" s="1" t="str">
        <f t="shared" si="1"/>
        <v>Away</v>
      </c>
      <c r="F46" s="3">
        <f t="shared" si="2"/>
        <v>3</v>
      </c>
      <c r="G46" s="3">
        <f t="shared" si="3"/>
        <v>4</v>
      </c>
      <c r="H46" s="3">
        <f t="shared" si="0"/>
        <v>7</v>
      </c>
      <c r="I46" s="3" t="str">
        <f t="shared" si="4"/>
        <v>L</v>
      </c>
    </row>
    <row r="47" spans="1:9" x14ac:dyDescent="0.25">
      <c r="A47" t="s">
        <v>88</v>
      </c>
      <c r="B47" t="s">
        <v>321</v>
      </c>
      <c r="C47" t="s">
        <v>270</v>
      </c>
      <c r="E47" s="1" t="str">
        <f t="shared" si="1"/>
        <v>Home</v>
      </c>
      <c r="F47" s="3">
        <f t="shared" si="2"/>
        <v>4</v>
      </c>
      <c r="G47" s="3">
        <f t="shared" si="3"/>
        <v>3</v>
      </c>
      <c r="H47" s="3">
        <f t="shared" si="0"/>
        <v>7</v>
      </c>
      <c r="I47" s="3" t="str">
        <f t="shared" si="4"/>
        <v>W</v>
      </c>
    </row>
    <row r="48" spans="1:9" x14ac:dyDescent="0.25">
      <c r="A48" t="s">
        <v>91</v>
      </c>
      <c r="B48" t="s">
        <v>321</v>
      </c>
      <c r="C48" t="s">
        <v>254</v>
      </c>
      <c r="E48" s="1" t="str">
        <f t="shared" si="1"/>
        <v>Home</v>
      </c>
      <c r="F48" s="3">
        <f t="shared" si="2"/>
        <v>5</v>
      </c>
      <c r="G48" s="3">
        <f t="shared" si="3"/>
        <v>4</v>
      </c>
      <c r="H48" s="3">
        <f t="shared" si="0"/>
        <v>9</v>
      </c>
      <c r="I48" s="3" t="str">
        <f t="shared" si="4"/>
        <v>W</v>
      </c>
    </row>
    <row r="49" spans="1:9" x14ac:dyDescent="0.25">
      <c r="A49" t="s">
        <v>93</v>
      </c>
      <c r="B49" t="s">
        <v>333</v>
      </c>
      <c r="C49" t="s">
        <v>269</v>
      </c>
      <c r="E49" s="1" t="str">
        <f t="shared" si="1"/>
        <v>Home</v>
      </c>
      <c r="F49" s="3">
        <f t="shared" si="2"/>
        <v>2</v>
      </c>
      <c r="G49" s="3">
        <f t="shared" si="3"/>
        <v>3</v>
      </c>
      <c r="H49" s="3">
        <f t="shared" si="0"/>
        <v>5</v>
      </c>
      <c r="I49" s="3" t="str">
        <f t="shared" si="4"/>
        <v>L</v>
      </c>
    </row>
    <row r="50" spans="1:9" x14ac:dyDescent="0.25">
      <c r="A50" t="s">
        <v>96</v>
      </c>
      <c r="B50" t="s">
        <v>332</v>
      </c>
      <c r="C50" t="s">
        <v>35</v>
      </c>
      <c r="E50" s="1" t="str">
        <f t="shared" si="1"/>
        <v>Away</v>
      </c>
      <c r="F50" s="3">
        <f t="shared" si="2"/>
        <v>4</v>
      </c>
      <c r="G50" s="3">
        <f t="shared" si="3"/>
        <v>1</v>
      </c>
      <c r="H50" s="3">
        <f t="shared" si="0"/>
        <v>5</v>
      </c>
      <c r="I50" s="3" t="str">
        <f t="shared" si="4"/>
        <v>W</v>
      </c>
    </row>
    <row r="51" spans="1:9" x14ac:dyDescent="0.25">
      <c r="A51" t="s">
        <v>97</v>
      </c>
      <c r="B51" t="s">
        <v>341</v>
      </c>
      <c r="C51" t="s">
        <v>191</v>
      </c>
      <c r="E51" s="1" t="str">
        <f t="shared" si="1"/>
        <v>Away</v>
      </c>
      <c r="F51" s="3">
        <f t="shared" si="2"/>
        <v>12</v>
      </c>
      <c r="G51" s="3">
        <f t="shared" si="3"/>
        <v>4</v>
      </c>
      <c r="H51" s="3">
        <f t="shared" si="0"/>
        <v>16</v>
      </c>
      <c r="I51" s="3" t="str">
        <f t="shared" si="4"/>
        <v>W</v>
      </c>
    </row>
    <row r="52" spans="1:9" x14ac:dyDescent="0.25">
      <c r="A52" t="s">
        <v>100</v>
      </c>
      <c r="B52" t="s">
        <v>341</v>
      </c>
      <c r="C52" t="s">
        <v>236</v>
      </c>
      <c r="E52" s="1" t="str">
        <f t="shared" si="1"/>
        <v>Away</v>
      </c>
      <c r="F52" s="3">
        <f t="shared" si="2"/>
        <v>7</v>
      </c>
      <c r="G52" s="3">
        <f t="shared" si="3"/>
        <v>0</v>
      </c>
      <c r="H52" s="3">
        <f t="shared" si="0"/>
        <v>7</v>
      </c>
      <c r="I52" s="3" t="str">
        <f t="shared" si="4"/>
        <v>W</v>
      </c>
    </row>
    <row r="53" spans="1:9" x14ac:dyDescent="0.25">
      <c r="A53" t="s">
        <v>215</v>
      </c>
      <c r="B53" t="s">
        <v>30</v>
      </c>
      <c r="C53" t="s">
        <v>212</v>
      </c>
      <c r="E53" s="1" t="str">
        <f t="shared" si="1"/>
        <v>Away</v>
      </c>
      <c r="F53" s="3">
        <f t="shared" si="2"/>
        <v>6</v>
      </c>
      <c r="G53" s="3">
        <f t="shared" si="3"/>
        <v>10</v>
      </c>
      <c r="H53" s="3">
        <f t="shared" si="0"/>
        <v>16</v>
      </c>
      <c r="I53" s="3" t="str">
        <f t="shared" si="4"/>
        <v>L</v>
      </c>
    </row>
    <row r="54" spans="1:9" x14ac:dyDescent="0.25">
      <c r="A54" t="s">
        <v>102</v>
      </c>
      <c r="B54" t="s">
        <v>30</v>
      </c>
      <c r="C54" t="s">
        <v>274</v>
      </c>
      <c r="E54" s="1" t="str">
        <f t="shared" si="1"/>
        <v>Away</v>
      </c>
      <c r="F54" s="3">
        <f t="shared" si="2"/>
        <v>9</v>
      </c>
      <c r="G54" s="3">
        <f t="shared" si="3"/>
        <v>10</v>
      </c>
      <c r="H54" s="3">
        <f t="shared" si="0"/>
        <v>19</v>
      </c>
      <c r="I54" s="3" t="str">
        <f t="shared" si="4"/>
        <v>L</v>
      </c>
    </row>
    <row r="55" spans="1:9" x14ac:dyDescent="0.25">
      <c r="A55" t="s">
        <v>105</v>
      </c>
      <c r="B55" t="s">
        <v>74</v>
      </c>
      <c r="C55" t="s">
        <v>342</v>
      </c>
      <c r="E55" s="1" t="str">
        <f t="shared" si="1"/>
        <v>Home</v>
      </c>
      <c r="F55" s="3">
        <f t="shared" si="2"/>
        <v>5</v>
      </c>
      <c r="G55" s="3">
        <f t="shared" si="3"/>
        <v>19</v>
      </c>
      <c r="H55" s="3">
        <f t="shared" si="0"/>
        <v>24</v>
      </c>
      <c r="I55" s="3" t="str">
        <f t="shared" si="4"/>
        <v>L</v>
      </c>
    </row>
    <row r="56" spans="1:9" x14ac:dyDescent="0.25">
      <c r="A56" t="s">
        <v>107</v>
      </c>
      <c r="B56" t="s">
        <v>74</v>
      </c>
      <c r="C56" t="s">
        <v>6</v>
      </c>
      <c r="E56" s="1" t="str">
        <f t="shared" si="1"/>
        <v>Home</v>
      </c>
      <c r="F56" s="3">
        <f t="shared" si="2"/>
        <v>2</v>
      </c>
      <c r="G56" s="3">
        <f t="shared" si="3"/>
        <v>6</v>
      </c>
      <c r="H56" s="3">
        <f t="shared" si="0"/>
        <v>8</v>
      </c>
      <c r="I56" s="3" t="str">
        <f t="shared" si="4"/>
        <v>L</v>
      </c>
    </row>
    <row r="57" spans="1:9" x14ac:dyDescent="0.25">
      <c r="A57" t="s">
        <v>108</v>
      </c>
      <c r="B57" t="s">
        <v>120</v>
      </c>
      <c r="C57" t="s">
        <v>269</v>
      </c>
      <c r="E57" s="1" t="str">
        <f t="shared" si="1"/>
        <v>Away</v>
      </c>
      <c r="F57" s="3">
        <f t="shared" si="2"/>
        <v>2</v>
      </c>
      <c r="G57" s="3">
        <f t="shared" si="3"/>
        <v>3</v>
      </c>
      <c r="H57" s="3">
        <f t="shared" si="0"/>
        <v>5</v>
      </c>
      <c r="I57" s="3" t="str">
        <f t="shared" si="4"/>
        <v>L</v>
      </c>
    </row>
    <row r="58" spans="1:9" x14ac:dyDescent="0.25">
      <c r="A58" t="s">
        <v>108</v>
      </c>
      <c r="B58" t="s">
        <v>120</v>
      </c>
      <c r="C58" t="s">
        <v>205</v>
      </c>
      <c r="E58" s="1" t="str">
        <f t="shared" si="1"/>
        <v>Away</v>
      </c>
      <c r="F58" s="3">
        <f t="shared" si="2"/>
        <v>5</v>
      </c>
      <c r="G58" s="3">
        <f t="shared" si="3"/>
        <v>6</v>
      </c>
      <c r="H58" s="3">
        <f t="shared" si="0"/>
        <v>11</v>
      </c>
      <c r="I58" s="3" t="str">
        <f t="shared" si="4"/>
        <v>L</v>
      </c>
    </row>
    <row r="59" spans="1:9" x14ac:dyDescent="0.25">
      <c r="A59" t="s">
        <v>110</v>
      </c>
      <c r="B59" t="s">
        <v>74</v>
      </c>
      <c r="C59" t="s">
        <v>207</v>
      </c>
      <c r="E59" s="1" t="str">
        <f t="shared" si="1"/>
        <v>Home</v>
      </c>
      <c r="F59" s="3">
        <f t="shared" si="2"/>
        <v>3</v>
      </c>
      <c r="G59" s="3">
        <f t="shared" si="3"/>
        <v>8</v>
      </c>
      <c r="H59" s="3">
        <f t="shared" si="0"/>
        <v>11</v>
      </c>
      <c r="I59" s="3" t="str">
        <f t="shared" si="4"/>
        <v>L</v>
      </c>
    </row>
    <row r="60" spans="1:9" x14ac:dyDescent="0.25">
      <c r="A60" t="s">
        <v>111</v>
      </c>
      <c r="B60" t="s">
        <v>321</v>
      </c>
      <c r="C60" t="s">
        <v>317</v>
      </c>
      <c r="E60" s="1" t="str">
        <f t="shared" si="1"/>
        <v>Home</v>
      </c>
      <c r="F60" s="3">
        <f t="shared" si="2"/>
        <v>15</v>
      </c>
      <c r="G60" s="3">
        <f t="shared" si="3"/>
        <v>7</v>
      </c>
      <c r="H60" s="3">
        <f t="shared" si="0"/>
        <v>22</v>
      </c>
      <c r="I60" s="3" t="str">
        <f t="shared" si="4"/>
        <v>W</v>
      </c>
    </row>
    <row r="61" spans="1:9" x14ac:dyDescent="0.25">
      <c r="A61" t="s">
        <v>112</v>
      </c>
      <c r="B61" t="s">
        <v>321</v>
      </c>
      <c r="C61" t="s">
        <v>269</v>
      </c>
      <c r="E61" s="1" t="str">
        <f t="shared" si="1"/>
        <v>Home</v>
      </c>
      <c r="F61" s="3">
        <f t="shared" si="2"/>
        <v>2</v>
      </c>
      <c r="G61" s="3">
        <f t="shared" si="3"/>
        <v>3</v>
      </c>
      <c r="H61" s="3">
        <f t="shared" si="0"/>
        <v>5</v>
      </c>
      <c r="I61" s="3" t="str">
        <f t="shared" si="4"/>
        <v>L</v>
      </c>
    </row>
    <row r="62" spans="1:9" x14ac:dyDescent="0.25">
      <c r="A62" t="s">
        <v>114</v>
      </c>
      <c r="B62" t="s">
        <v>343</v>
      </c>
      <c r="C62" t="s">
        <v>301</v>
      </c>
      <c r="E62" s="1" t="str">
        <f t="shared" si="1"/>
        <v>Home</v>
      </c>
      <c r="F62" s="3">
        <f t="shared" si="2"/>
        <v>3</v>
      </c>
      <c r="G62" s="3">
        <f t="shared" si="3"/>
        <v>9</v>
      </c>
      <c r="H62" s="3">
        <f t="shared" si="0"/>
        <v>12</v>
      </c>
      <c r="I62" s="3" t="str">
        <f t="shared" si="4"/>
        <v>L</v>
      </c>
    </row>
    <row r="63" spans="1:9" x14ac:dyDescent="0.25">
      <c r="A63" t="s">
        <v>117</v>
      </c>
      <c r="B63" t="s">
        <v>343</v>
      </c>
      <c r="C63" t="s">
        <v>18</v>
      </c>
      <c r="E63" s="1" t="str">
        <f t="shared" si="1"/>
        <v>Home</v>
      </c>
      <c r="F63" s="3">
        <f t="shared" si="2"/>
        <v>8</v>
      </c>
      <c r="G63" s="3">
        <f t="shared" si="3"/>
        <v>9</v>
      </c>
      <c r="H63" s="3">
        <f t="shared" si="0"/>
        <v>17</v>
      </c>
      <c r="I63" s="3" t="str">
        <f t="shared" si="4"/>
        <v>L</v>
      </c>
    </row>
    <row r="64" spans="1:9" x14ac:dyDescent="0.25">
      <c r="A64" t="s">
        <v>119</v>
      </c>
      <c r="B64" t="s">
        <v>103</v>
      </c>
      <c r="C64" t="s">
        <v>207</v>
      </c>
      <c r="E64" s="1" t="str">
        <f t="shared" si="1"/>
        <v>Home</v>
      </c>
      <c r="F64" s="3">
        <f t="shared" si="2"/>
        <v>3</v>
      </c>
      <c r="G64" s="3">
        <f t="shared" si="3"/>
        <v>8</v>
      </c>
      <c r="H64" s="3">
        <f t="shared" si="0"/>
        <v>11</v>
      </c>
      <c r="I64" s="3" t="str">
        <f t="shared" si="4"/>
        <v>L</v>
      </c>
    </row>
    <row r="65" spans="1:10" x14ac:dyDescent="0.25">
      <c r="A65" t="s">
        <v>122</v>
      </c>
      <c r="B65" t="s">
        <v>124</v>
      </c>
      <c r="C65" t="s">
        <v>18</v>
      </c>
      <c r="E65" s="1" t="str">
        <f t="shared" si="1"/>
        <v>Away</v>
      </c>
      <c r="F65" s="3">
        <f t="shared" si="2"/>
        <v>8</v>
      </c>
      <c r="G65" s="3">
        <f t="shared" si="3"/>
        <v>9</v>
      </c>
      <c r="H65" s="3">
        <f t="shared" si="0"/>
        <v>17</v>
      </c>
      <c r="I65" s="3" t="str">
        <f t="shared" si="4"/>
        <v>L</v>
      </c>
    </row>
    <row r="66" spans="1:10" x14ac:dyDescent="0.25">
      <c r="A66" t="s">
        <v>123</v>
      </c>
      <c r="B66" t="s">
        <v>333</v>
      </c>
      <c r="C66" t="s">
        <v>251</v>
      </c>
      <c r="E66" s="1" t="str">
        <f t="shared" si="1"/>
        <v>Home</v>
      </c>
      <c r="F66" s="3">
        <f t="shared" si="2"/>
        <v>2</v>
      </c>
      <c r="G66" s="3">
        <f t="shared" si="3"/>
        <v>7</v>
      </c>
      <c r="H66" s="3">
        <f t="shared" si="0"/>
        <v>9</v>
      </c>
      <c r="I66" s="3" t="str">
        <f t="shared" si="4"/>
        <v>L</v>
      </c>
    </row>
    <row r="67" spans="1:10" x14ac:dyDescent="0.25">
      <c r="A67" t="s">
        <v>123</v>
      </c>
      <c r="B67" t="s">
        <v>332</v>
      </c>
      <c r="C67" t="s">
        <v>226</v>
      </c>
      <c r="E67" s="1" t="str">
        <f t="shared" si="1"/>
        <v>Away</v>
      </c>
      <c r="F67" s="3">
        <f t="shared" si="2"/>
        <v>3</v>
      </c>
      <c r="G67" s="3">
        <f t="shared" si="3"/>
        <v>2</v>
      </c>
      <c r="H67" s="3">
        <f t="shared" ref="H67:H74" si="6">F67+G67</f>
        <v>5</v>
      </c>
      <c r="I67" s="3" t="str">
        <f t="shared" si="4"/>
        <v>W</v>
      </c>
    </row>
    <row r="68" spans="1:10" x14ac:dyDescent="0.25">
      <c r="A68" t="s">
        <v>126</v>
      </c>
      <c r="B68" t="s">
        <v>319</v>
      </c>
      <c r="C68" t="s">
        <v>92</v>
      </c>
      <c r="E68" s="1" t="str">
        <f t="shared" ref="E68:E74" si="7">IF(LEFT(B68,1)="@","Away","Home")</f>
        <v>Away</v>
      </c>
      <c r="F68" s="3">
        <f t="shared" ref="F68:F74" si="8">_xlfn.NUMBERVALUE(MID(LEFT(C68,FIND("-",C68)-1),FIND(" ",C68)+1,LEN(C68)))</f>
        <v>5</v>
      </c>
      <c r="G68" s="3">
        <f t="shared" ref="G68:G74" si="9">_xlfn.NUMBERVALUE(RIGHT(C68,LEN(C68)-FIND("-",C68)))</f>
        <v>10</v>
      </c>
      <c r="H68" s="3">
        <f t="shared" si="6"/>
        <v>15</v>
      </c>
      <c r="I68" s="3" t="str">
        <f t="shared" ref="I68:I74" si="10">LEFT(C68,1)</f>
        <v>L</v>
      </c>
    </row>
    <row r="69" spans="1:10" x14ac:dyDescent="0.25">
      <c r="A69" t="s">
        <v>126</v>
      </c>
      <c r="B69" t="s">
        <v>319</v>
      </c>
      <c r="C69" t="s">
        <v>50</v>
      </c>
      <c r="E69" s="1" t="str">
        <f t="shared" si="7"/>
        <v>Away</v>
      </c>
      <c r="F69" s="3">
        <f t="shared" si="8"/>
        <v>3</v>
      </c>
      <c r="G69" s="3">
        <f t="shared" si="9"/>
        <v>4</v>
      </c>
      <c r="H69" s="3">
        <f t="shared" si="6"/>
        <v>7</v>
      </c>
      <c r="I69" s="3" t="str">
        <f t="shared" si="10"/>
        <v>L</v>
      </c>
    </row>
    <row r="70" spans="1:10" x14ac:dyDescent="0.25">
      <c r="A70" t="s">
        <v>127</v>
      </c>
      <c r="B70" t="s">
        <v>319</v>
      </c>
      <c r="C70" t="s">
        <v>77</v>
      </c>
      <c r="E70" s="1" t="str">
        <f t="shared" si="7"/>
        <v>Away</v>
      </c>
      <c r="F70" s="3">
        <f t="shared" si="8"/>
        <v>1</v>
      </c>
      <c r="G70" s="3">
        <f t="shared" si="9"/>
        <v>9</v>
      </c>
      <c r="H70" s="3">
        <f t="shared" si="6"/>
        <v>10</v>
      </c>
      <c r="I70" s="3" t="str">
        <f t="shared" si="10"/>
        <v>L</v>
      </c>
    </row>
    <row r="71" spans="1:10" x14ac:dyDescent="0.25">
      <c r="A71" t="s">
        <v>129</v>
      </c>
      <c r="B71" t="s">
        <v>103</v>
      </c>
      <c r="C71" t="s">
        <v>286</v>
      </c>
      <c r="E71" s="1" t="str">
        <f t="shared" si="7"/>
        <v>Home</v>
      </c>
      <c r="F71" s="3">
        <f t="shared" si="8"/>
        <v>4</v>
      </c>
      <c r="G71" s="3">
        <f t="shared" si="9"/>
        <v>13</v>
      </c>
      <c r="H71" s="3">
        <f t="shared" si="6"/>
        <v>17</v>
      </c>
      <c r="I71" s="3" t="str">
        <f t="shared" si="10"/>
        <v>L</v>
      </c>
    </row>
    <row r="72" spans="1:10" x14ac:dyDescent="0.25">
      <c r="A72" t="s">
        <v>131</v>
      </c>
      <c r="B72" t="s">
        <v>124</v>
      </c>
      <c r="C72" t="s">
        <v>269</v>
      </c>
      <c r="E72" s="1" t="str">
        <f t="shared" si="7"/>
        <v>Away</v>
      </c>
      <c r="F72" s="3">
        <f t="shared" si="8"/>
        <v>2</v>
      </c>
      <c r="G72" s="3">
        <f t="shared" si="9"/>
        <v>3</v>
      </c>
      <c r="H72" s="3">
        <f t="shared" si="6"/>
        <v>5</v>
      </c>
      <c r="I72" s="3" t="str">
        <f t="shared" si="10"/>
        <v>L</v>
      </c>
    </row>
    <row r="73" spans="1:10" x14ac:dyDescent="0.25">
      <c r="A73" t="s">
        <v>133</v>
      </c>
      <c r="B73" t="s">
        <v>314</v>
      </c>
      <c r="C73" t="s">
        <v>255</v>
      </c>
      <c r="E73" s="1" t="str">
        <f t="shared" si="7"/>
        <v>Home</v>
      </c>
      <c r="F73" s="3">
        <f t="shared" si="8"/>
        <v>4</v>
      </c>
      <c r="G73" s="3">
        <f t="shared" si="9"/>
        <v>10</v>
      </c>
      <c r="H73" s="3">
        <f t="shared" si="6"/>
        <v>14</v>
      </c>
      <c r="I73" s="3" t="str">
        <f t="shared" si="10"/>
        <v>L</v>
      </c>
    </row>
    <row r="74" spans="1:10" x14ac:dyDescent="0.25">
      <c r="A74" t="s">
        <v>134</v>
      </c>
      <c r="B74" t="s">
        <v>315</v>
      </c>
      <c r="C74" t="s">
        <v>298</v>
      </c>
      <c r="E74" s="1" t="str">
        <f t="shared" si="7"/>
        <v>Away</v>
      </c>
      <c r="F74" s="3">
        <f t="shared" si="8"/>
        <v>1</v>
      </c>
      <c r="G74" s="3">
        <f t="shared" si="9"/>
        <v>2</v>
      </c>
      <c r="H74" s="3">
        <f t="shared" si="6"/>
        <v>3</v>
      </c>
      <c r="I74" s="3" t="str">
        <f t="shared" si="10"/>
        <v>L</v>
      </c>
    </row>
    <row r="76" spans="1:10" x14ac:dyDescent="0.25">
      <c r="A76" t="s">
        <v>1</v>
      </c>
      <c r="B76" t="s">
        <v>2</v>
      </c>
      <c r="C76" t="s">
        <v>469</v>
      </c>
      <c r="D76" t="s">
        <v>135</v>
      </c>
      <c r="E76" t="s">
        <v>136</v>
      </c>
      <c r="F76" t="s">
        <v>137</v>
      </c>
      <c r="G76" t="s">
        <v>138</v>
      </c>
      <c r="H76" t="s">
        <v>3</v>
      </c>
      <c r="I76" t="s">
        <v>494</v>
      </c>
      <c r="J76" t="s">
        <v>495</v>
      </c>
    </row>
    <row r="77" spans="1:10" x14ac:dyDescent="0.25">
      <c r="A77" t="s">
        <v>448</v>
      </c>
      <c r="B77" t="s">
        <v>124</v>
      </c>
      <c r="C77" t="s">
        <v>128</v>
      </c>
      <c r="D77" t="str">
        <f>IF(LEFT(Table7[[#This Row],[Opponent]],1)="@","Away","Home")</f>
        <v>Away</v>
      </c>
      <c r="E77">
        <f>_xlfn.NUMBERVALUE(MID(LEFT(Table7[[#This Row],[Score]],FIND("-",Table7[[#This Row],[Score]])-1),FIND(" ",Table7[[#This Row],[Score]])+1,LEN(Table7[[#This Row],[Score]])))</f>
        <v>6</v>
      </c>
      <c r="F77">
        <f>_xlfn.NUMBERVALUE(RIGHT(Table7[[#This Row],[Score]],LEN(Table7[[#This Row],[Score]])-FIND("-",Table7[[#This Row],[Score]])))</f>
        <v>5</v>
      </c>
      <c r="G77">
        <f t="shared" ref="G77" si="11">E77+F77</f>
        <v>11</v>
      </c>
      <c r="H77" t="str">
        <f>LEFT(Table7[[#This Row],[Score]],1)</f>
        <v>W</v>
      </c>
      <c r="I77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77" s="33">
        <f>VLOOKUP(Table7[[#This Row],[OPP]],Raw!$L$2:$S$23,7,FALSE)-Raw!$U$2</f>
        <v>2.7744577246569277</v>
      </c>
    </row>
    <row r="78" spans="1:10" x14ac:dyDescent="0.25">
      <c r="A78" t="s">
        <v>449</v>
      </c>
      <c r="B78" t="s">
        <v>103</v>
      </c>
      <c r="C78" t="s">
        <v>42</v>
      </c>
      <c r="D78" t="str">
        <f>IF(LEFT(Table7[[#This Row],[Opponent]],1)="@","Away","Home")</f>
        <v>Home</v>
      </c>
      <c r="E78">
        <f>_xlfn.NUMBERVALUE(MID(LEFT(Table7[[#This Row],[Score]],FIND("-",Table7[[#This Row],[Score]])-1),FIND(" ",Table7[[#This Row],[Score]])+1,LEN(Table7[[#This Row],[Score]])))</f>
        <v>0</v>
      </c>
      <c r="F78">
        <f>_xlfn.NUMBERVALUE(RIGHT(Table7[[#This Row],[Score]],LEN(Table7[[#This Row],[Score]])-FIND("-",Table7[[#This Row],[Score]])))</f>
        <v>3</v>
      </c>
      <c r="G78">
        <f t="shared" ref="G78:G99" si="12">E78+F78</f>
        <v>3</v>
      </c>
      <c r="H78" t="str">
        <f>LEFT(Table7[[#This Row],[Score]],1)</f>
        <v>L</v>
      </c>
      <c r="I78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78" s="33">
        <f>VLOOKUP(Table7[[#This Row],[OPP]],Raw!$L$2:$S$23,7,FALSE)-Raw!$U$2</f>
        <v>2.7744577246569277</v>
      </c>
    </row>
    <row r="79" spans="1:10" x14ac:dyDescent="0.25">
      <c r="A79" t="s">
        <v>450</v>
      </c>
      <c r="B79" t="s">
        <v>333</v>
      </c>
      <c r="C79" t="s">
        <v>288</v>
      </c>
      <c r="D79" t="str">
        <f>IF(LEFT(Table7[[#This Row],[Opponent]],1)="@","Away","Home")</f>
        <v>Home</v>
      </c>
      <c r="E79">
        <f>_xlfn.NUMBERVALUE(MID(LEFT(Table7[[#This Row],[Score]],FIND("-",Table7[[#This Row],[Score]])-1),FIND(" ",Table7[[#This Row],[Score]])+1,LEN(Table7[[#This Row],[Score]])))</f>
        <v>9</v>
      </c>
      <c r="F79">
        <f>_xlfn.NUMBERVALUE(RIGHT(Table7[[#This Row],[Score]],LEN(Table7[[#This Row],[Score]])-FIND("-",Table7[[#This Row],[Score]])))</f>
        <v>15</v>
      </c>
      <c r="G79">
        <f t="shared" si="12"/>
        <v>24</v>
      </c>
      <c r="H79" t="str">
        <f>LEFT(Table7[[#This Row],[Score]],1)</f>
        <v>L</v>
      </c>
      <c r="I79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79" s="33">
        <f>VLOOKUP(Table7[[#This Row],[OPP]],Raw!$L$2:$S$23,7,FALSE)-Raw!$U$2</f>
        <v>0.7572433271608402</v>
      </c>
    </row>
    <row r="80" spans="1:10" x14ac:dyDescent="0.25">
      <c r="A80" t="s">
        <v>451</v>
      </c>
      <c r="B80" t="s">
        <v>332</v>
      </c>
      <c r="C80" t="s">
        <v>246</v>
      </c>
      <c r="D80" t="str">
        <f>IF(LEFT(Table7[[#This Row],[Opponent]],1)="@","Away","Home")</f>
        <v>Away</v>
      </c>
      <c r="E80">
        <f>_xlfn.NUMBERVALUE(MID(LEFT(Table7[[#This Row],[Score]],FIND("-",Table7[[#This Row],[Score]])-1),FIND(" ",Table7[[#This Row],[Score]])+1,LEN(Table7[[#This Row],[Score]])))</f>
        <v>4</v>
      </c>
      <c r="F80">
        <f>_xlfn.NUMBERVALUE(RIGHT(Table7[[#This Row],[Score]],LEN(Table7[[#This Row],[Score]])-FIND("-",Table7[[#This Row],[Score]])))</f>
        <v>6</v>
      </c>
      <c r="G80">
        <f t="shared" si="12"/>
        <v>10</v>
      </c>
      <c r="H80" t="str">
        <f>LEFT(Table7[[#This Row],[Score]],1)</f>
        <v>L</v>
      </c>
      <c r="I80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80" s="33">
        <f>VLOOKUP(Table7[[#This Row],[OPP]],Raw!$L$2:$S$23,7,FALSE)-Raw!$U$2</f>
        <v>0.7572433271608402</v>
      </c>
    </row>
    <row r="81" spans="1:10" x14ac:dyDescent="0.25">
      <c r="A81" t="s">
        <v>453</v>
      </c>
      <c r="B81" t="s">
        <v>120</v>
      </c>
      <c r="C81" t="s">
        <v>301</v>
      </c>
      <c r="D81" t="str">
        <f>IF(LEFT(Table7[[#This Row],[Opponent]],1)="@","Away","Home")</f>
        <v>Away</v>
      </c>
      <c r="E81">
        <f>_xlfn.NUMBERVALUE(MID(LEFT(Table7[[#This Row],[Score]],FIND("-",Table7[[#This Row],[Score]])-1),FIND(" ",Table7[[#This Row],[Score]])+1,LEN(Table7[[#This Row],[Score]])))</f>
        <v>3</v>
      </c>
      <c r="F81">
        <f>_xlfn.NUMBERVALUE(RIGHT(Table7[[#This Row],[Score]],LEN(Table7[[#This Row],[Score]])-FIND("-",Table7[[#This Row],[Score]])))</f>
        <v>9</v>
      </c>
      <c r="G81">
        <f t="shared" si="12"/>
        <v>12</v>
      </c>
      <c r="H81" t="str">
        <f>LEFT(Table7[[#This Row],[Score]],1)</f>
        <v>L</v>
      </c>
      <c r="I81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81" s="33">
        <f>VLOOKUP(Table7[[#This Row],[OPP]],Raw!$L$2:$S$23,7,FALSE)-Raw!$U$2</f>
        <v>0.17977853842844585</v>
      </c>
    </row>
    <row r="82" spans="1:10" x14ac:dyDescent="0.25">
      <c r="A82" t="s">
        <v>454</v>
      </c>
      <c r="B82" t="s">
        <v>74</v>
      </c>
      <c r="C82" t="s">
        <v>197</v>
      </c>
      <c r="D82" t="str">
        <f>IF(LEFT(Table7[[#This Row],[Opponent]],1)="@","Away","Home")</f>
        <v>Home</v>
      </c>
      <c r="E82">
        <f>_xlfn.NUMBERVALUE(MID(LEFT(Table7[[#This Row],[Score]],FIND("-",Table7[[#This Row],[Score]])-1),FIND(" ",Table7[[#This Row],[Score]])+1,LEN(Table7[[#This Row],[Score]])))</f>
        <v>0</v>
      </c>
      <c r="F82">
        <f>_xlfn.NUMBERVALUE(RIGHT(Table7[[#This Row],[Score]],LEN(Table7[[#This Row],[Score]])-FIND("-",Table7[[#This Row],[Score]])))</f>
        <v>1</v>
      </c>
      <c r="G82">
        <f t="shared" si="12"/>
        <v>1</v>
      </c>
      <c r="H82" t="str">
        <f>LEFT(Table7[[#This Row],[Score]],1)</f>
        <v>L</v>
      </c>
      <c r="I82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82" s="33">
        <f>VLOOKUP(Table7[[#This Row],[OPP]],Raw!$L$2:$S$23,7,FALSE)-Raw!$U$2</f>
        <v>0.17977853842844585</v>
      </c>
    </row>
    <row r="83" spans="1:10" x14ac:dyDescent="0.25">
      <c r="A83" t="s">
        <v>455</v>
      </c>
      <c r="B83" t="s">
        <v>321</v>
      </c>
      <c r="C83" t="s">
        <v>330</v>
      </c>
      <c r="D83" t="str">
        <f>IF(LEFT(Table7[[#This Row],[Opponent]],1)="@","Away","Home")</f>
        <v>Home</v>
      </c>
      <c r="E83">
        <f>_xlfn.NUMBERVALUE(MID(LEFT(Table7[[#This Row],[Score]],FIND("-",Table7[[#This Row],[Score]])-1),FIND(" ",Table7[[#This Row],[Score]])+1,LEN(Table7[[#This Row],[Score]])))</f>
        <v>1</v>
      </c>
      <c r="F83">
        <f>_xlfn.NUMBERVALUE(RIGHT(Table7[[#This Row],[Score]],LEN(Table7[[#This Row],[Score]])-FIND("-",Table7[[#This Row],[Score]])))</f>
        <v>11</v>
      </c>
      <c r="G83">
        <f t="shared" si="12"/>
        <v>12</v>
      </c>
      <c r="H83" t="str">
        <f>LEFT(Table7[[#This Row],[Score]],1)</f>
        <v>L</v>
      </c>
      <c r="I83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83" s="33">
        <f>VLOOKUP(Table7[[#This Row],[OPP]],Raw!$L$2:$S$23,7,FALSE)-Raw!$U$2</f>
        <v>-1.5172089420097388</v>
      </c>
    </row>
    <row r="84" spans="1:10" x14ac:dyDescent="0.25">
      <c r="A84" t="s">
        <v>456</v>
      </c>
      <c r="B84" t="s">
        <v>319</v>
      </c>
      <c r="C84" t="s">
        <v>329</v>
      </c>
      <c r="D84" t="str">
        <f>IF(LEFT(Table7[[#This Row],[Opponent]],1)="@","Away","Home")</f>
        <v>Away</v>
      </c>
      <c r="E84">
        <f>_xlfn.NUMBERVALUE(MID(LEFT(Table7[[#This Row],[Score]],FIND("-",Table7[[#This Row],[Score]])-1),FIND(" ",Table7[[#This Row],[Score]])+1,LEN(Table7[[#This Row],[Score]])))</f>
        <v>5</v>
      </c>
      <c r="F84">
        <f>_xlfn.NUMBERVALUE(RIGHT(Table7[[#This Row],[Score]],LEN(Table7[[#This Row],[Score]])-FIND("-",Table7[[#This Row],[Score]])))</f>
        <v>2</v>
      </c>
      <c r="G84">
        <f t="shared" si="12"/>
        <v>7</v>
      </c>
      <c r="H84" t="str">
        <f>LEFT(Table7[[#This Row],[Score]],1)</f>
        <v>W</v>
      </c>
      <c r="I84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84" s="33">
        <f>VLOOKUP(Table7[[#This Row],[OPP]],Raw!$L$2:$S$23,7,FALSE)-Raw!$U$2</f>
        <v>-1.5172089420097388</v>
      </c>
    </row>
    <row r="85" spans="1:10" x14ac:dyDescent="0.25">
      <c r="A85" t="s">
        <v>470</v>
      </c>
      <c r="B85" t="s">
        <v>332</v>
      </c>
      <c r="C85" t="s">
        <v>244</v>
      </c>
      <c r="D85" t="str">
        <f>IF(LEFT(Table7[[#This Row],[Opponent]],1)="@","Away","Home")</f>
        <v>Away</v>
      </c>
      <c r="E85">
        <f>_xlfn.NUMBERVALUE(MID(LEFT(Table7[[#This Row],[Score]],FIND("-",Table7[[#This Row],[Score]])-1),FIND(" ",Table7[[#This Row],[Score]])+1,LEN(Table7[[#This Row],[Score]])))</f>
        <v>6</v>
      </c>
      <c r="F85">
        <f>_xlfn.NUMBERVALUE(RIGHT(Table7[[#This Row],[Score]],LEN(Table7[[#This Row],[Score]])-FIND("-",Table7[[#This Row],[Score]])))</f>
        <v>3</v>
      </c>
      <c r="G85">
        <f t="shared" si="12"/>
        <v>9</v>
      </c>
      <c r="H85" t="str">
        <f>LEFT(Table7[[#This Row],[Score]],1)</f>
        <v>W</v>
      </c>
      <c r="I85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85" s="33">
        <f>VLOOKUP(Table7[[#This Row],[OPP]],Raw!$L$2:$S$23,7,FALSE)-Raw!$U$2</f>
        <v>0.7572433271608402</v>
      </c>
    </row>
    <row r="86" spans="1:10" x14ac:dyDescent="0.25">
      <c r="A86" t="s">
        <v>457</v>
      </c>
      <c r="B86" t="s">
        <v>332</v>
      </c>
      <c r="C86" t="s">
        <v>56</v>
      </c>
      <c r="D86" t="str">
        <f>IF(LEFT(Table7[[#This Row],[Opponent]],1)="@","Away","Home")</f>
        <v>Away</v>
      </c>
      <c r="E86">
        <f>_xlfn.NUMBERVALUE(MID(LEFT(Table7[[#This Row],[Score]],FIND("-",Table7[[#This Row],[Score]])-1),FIND(" ",Table7[[#This Row],[Score]])+1,LEN(Table7[[#This Row],[Score]])))</f>
        <v>1</v>
      </c>
      <c r="F86">
        <f>_xlfn.NUMBERVALUE(RIGHT(Table7[[#This Row],[Score]],LEN(Table7[[#This Row],[Score]])-FIND("-",Table7[[#This Row],[Score]])))</f>
        <v>7</v>
      </c>
      <c r="G86">
        <f t="shared" si="12"/>
        <v>8</v>
      </c>
      <c r="H86" t="str">
        <f>LEFT(Table7[[#This Row],[Score]],1)</f>
        <v>L</v>
      </c>
      <c r="I86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86" s="33">
        <f>VLOOKUP(Table7[[#This Row],[OPP]],Raw!$L$2:$S$23,7,FALSE)-Raw!$U$2</f>
        <v>0.7572433271608402</v>
      </c>
    </row>
    <row r="87" spans="1:10" x14ac:dyDescent="0.25">
      <c r="A87" t="s">
        <v>458</v>
      </c>
      <c r="B87" t="s">
        <v>103</v>
      </c>
      <c r="C87" t="s">
        <v>266</v>
      </c>
      <c r="D87" t="str">
        <f>IF(LEFT(Table7[[#This Row],[Opponent]],1)="@","Away","Home")</f>
        <v>Home</v>
      </c>
      <c r="E87">
        <f>_xlfn.NUMBERVALUE(MID(LEFT(Table7[[#This Row],[Score]],FIND("-",Table7[[#This Row],[Score]])-1),FIND(" ",Table7[[#This Row],[Score]])+1,LEN(Table7[[#This Row],[Score]])))</f>
        <v>8</v>
      </c>
      <c r="F87">
        <f>_xlfn.NUMBERVALUE(RIGHT(Table7[[#This Row],[Score]],LEN(Table7[[#This Row],[Score]])-FIND("-",Table7[[#This Row],[Score]])))</f>
        <v>10</v>
      </c>
      <c r="G87">
        <f t="shared" si="12"/>
        <v>18</v>
      </c>
      <c r="H87" t="str">
        <f>LEFT(Table7[[#This Row],[Score]],1)</f>
        <v>L</v>
      </c>
      <c r="I87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87" s="33">
        <f>VLOOKUP(Table7[[#This Row],[OPP]],Raw!$L$2:$S$23,7,FALSE)-Raw!$U$2</f>
        <v>2.7744577246569277</v>
      </c>
    </row>
    <row r="88" spans="1:10" x14ac:dyDescent="0.25">
      <c r="A88" t="s">
        <v>459</v>
      </c>
      <c r="B88" t="s">
        <v>103</v>
      </c>
      <c r="C88" t="s">
        <v>202</v>
      </c>
      <c r="D88" t="str">
        <f>IF(LEFT(Table7[[#This Row],[Opponent]],1)="@","Away","Home")</f>
        <v>Home</v>
      </c>
      <c r="E88">
        <f>_xlfn.NUMBERVALUE(MID(LEFT(Table7[[#This Row],[Score]],FIND("-",Table7[[#This Row],[Score]])-1),FIND(" ",Table7[[#This Row],[Score]])+1,LEN(Table7[[#This Row],[Score]])))</f>
        <v>4</v>
      </c>
      <c r="F88">
        <f>_xlfn.NUMBERVALUE(RIGHT(Table7[[#This Row],[Score]],LEN(Table7[[#This Row],[Score]])-FIND("-",Table7[[#This Row],[Score]])))</f>
        <v>11</v>
      </c>
      <c r="G88">
        <f t="shared" si="12"/>
        <v>15</v>
      </c>
      <c r="H88" t="str">
        <f>LEFT(Table7[[#This Row],[Score]],1)</f>
        <v>L</v>
      </c>
      <c r="I88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88" s="33">
        <f>VLOOKUP(Table7[[#This Row],[OPP]],Raw!$L$2:$S$23,7,FALSE)-Raw!$U$2</f>
        <v>2.7744577246569277</v>
      </c>
    </row>
    <row r="89" spans="1:10" x14ac:dyDescent="0.25">
      <c r="A89" t="s">
        <v>460</v>
      </c>
      <c r="B89" t="s">
        <v>315</v>
      </c>
      <c r="C89" t="s">
        <v>236</v>
      </c>
      <c r="D89" t="str">
        <f>IF(LEFT(Table7[[#This Row],[Opponent]],1)="@","Away","Home")</f>
        <v>Away</v>
      </c>
      <c r="E89">
        <f>_xlfn.NUMBERVALUE(MID(LEFT(Table7[[#This Row],[Score]],FIND("-",Table7[[#This Row],[Score]])-1),FIND(" ",Table7[[#This Row],[Score]])+1,LEN(Table7[[#This Row],[Score]])))</f>
        <v>7</v>
      </c>
      <c r="F89">
        <f>_xlfn.NUMBERVALUE(RIGHT(Table7[[#This Row],[Score]],LEN(Table7[[#This Row],[Score]])-FIND("-",Table7[[#This Row],[Score]])))</f>
        <v>0</v>
      </c>
      <c r="G89">
        <f t="shared" si="12"/>
        <v>7</v>
      </c>
      <c r="H89" t="str">
        <f>LEFT(Table7[[#This Row],[Score]],1)</f>
        <v>W</v>
      </c>
      <c r="I89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89" s="33">
        <f>VLOOKUP(Table7[[#This Row],[OPP]],Raw!$L$2:$S$23,7,FALSE)-Raw!$U$2</f>
        <v>0.13556883576803896</v>
      </c>
    </row>
    <row r="90" spans="1:10" x14ac:dyDescent="0.25">
      <c r="A90" t="s">
        <v>471</v>
      </c>
      <c r="B90" t="s">
        <v>314</v>
      </c>
      <c r="C90" t="s">
        <v>48</v>
      </c>
      <c r="D90" t="str">
        <f>IF(LEFT(Table7[[#This Row],[Opponent]],1)="@","Away","Home")</f>
        <v>Home</v>
      </c>
      <c r="E90">
        <f>_xlfn.NUMBERVALUE(MID(LEFT(Table7[[#This Row],[Score]],FIND("-",Table7[[#This Row],[Score]])-1),FIND(" ",Table7[[#This Row],[Score]])+1,LEN(Table7[[#This Row],[Score]])))</f>
        <v>4</v>
      </c>
      <c r="F90">
        <f>_xlfn.NUMBERVALUE(RIGHT(Table7[[#This Row],[Score]],LEN(Table7[[#This Row],[Score]])-FIND("-",Table7[[#This Row],[Score]])))</f>
        <v>5</v>
      </c>
      <c r="G90">
        <f t="shared" si="12"/>
        <v>9</v>
      </c>
      <c r="H90" t="str">
        <f>LEFT(Table7[[#This Row],[Score]],1)</f>
        <v>L</v>
      </c>
      <c r="I90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90" s="33">
        <f>VLOOKUP(Table7[[#This Row],[OPP]],Raw!$L$2:$S$23,7,FALSE)-Raw!$U$2</f>
        <v>0.13556883576803896</v>
      </c>
    </row>
    <row r="91" spans="1:10" x14ac:dyDescent="0.25">
      <c r="A91" t="s">
        <v>461</v>
      </c>
      <c r="B91" t="s">
        <v>120</v>
      </c>
      <c r="C91" t="s">
        <v>298</v>
      </c>
      <c r="D91" t="str">
        <f>IF(LEFT(Table7[[#This Row],[Opponent]],1)="@","Away","Home")</f>
        <v>Away</v>
      </c>
      <c r="E91">
        <f>_xlfn.NUMBERVALUE(MID(LEFT(Table7[[#This Row],[Score]],FIND("-",Table7[[#This Row],[Score]])-1),FIND(" ",Table7[[#This Row],[Score]])+1,LEN(Table7[[#This Row],[Score]])))</f>
        <v>1</v>
      </c>
      <c r="F91">
        <f>_xlfn.NUMBERVALUE(RIGHT(Table7[[#This Row],[Score]],LEN(Table7[[#This Row],[Score]])-FIND("-",Table7[[#This Row],[Score]])))</f>
        <v>2</v>
      </c>
      <c r="G91">
        <f t="shared" si="12"/>
        <v>3</v>
      </c>
      <c r="H91" t="str">
        <f>LEFT(Table7[[#This Row],[Score]],1)</f>
        <v>L</v>
      </c>
      <c r="I91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91" s="33">
        <f>VLOOKUP(Table7[[#This Row],[OPP]],Raw!$L$2:$S$23,7,FALSE)-Raw!$U$2</f>
        <v>0.17977853842844585</v>
      </c>
    </row>
    <row r="92" spans="1:10" x14ac:dyDescent="0.25">
      <c r="A92" t="s">
        <v>462</v>
      </c>
      <c r="B92" t="s">
        <v>120</v>
      </c>
      <c r="C92" t="s">
        <v>295</v>
      </c>
      <c r="D92" t="str">
        <f>IF(LEFT(Table7[[#This Row],[Opponent]],1)="@","Away","Home")</f>
        <v>Away</v>
      </c>
      <c r="E92">
        <f>_xlfn.NUMBERVALUE(MID(LEFT(Table7[[#This Row],[Score]],FIND("-",Table7[[#This Row],[Score]])-1),FIND(" ",Table7[[#This Row],[Score]])+1,LEN(Table7[[#This Row],[Score]])))</f>
        <v>1</v>
      </c>
      <c r="F92">
        <f>_xlfn.NUMBERVALUE(RIGHT(Table7[[#This Row],[Score]],LEN(Table7[[#This Row],[Score]])-FIND("-",Table7[[#This Row],[Score]])))</f>
        <v>0</v>
      </c>
      <c r="G92">
        <f t="shared" si="12"/>
        <v>1</v>
      </c>
      <c r="H92" t="str">
        <f>LEFT(Table7[[#This Row],[Score]],1)</f>
        <v>W</v>
      </c>
      <c r="I92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92" s="33">
        <f>VLOOKUP(Table7[[#This Row],[OPP]],Raw!$L$2:$S$23,7,FALSE)-Raw!$U$2</f>
        <v>0.17977853842844585</v>
      </c>
    </row>
    <row r="93" spans="1:10" x14ac:dyDescent="0.25">
      <c r="A93" t="s">
        <v>463</v>
      </c>
      <c r="B93" t="s">
        <v>314</v>
      </c>
      <c r="C93" t="s">
        <v>474</v>
      </c>
      <c r="D93" t="str">
        <f>IF(LEFT(Table7[[#This Row],[Opponent]],1)="@","Away","Home")</f>
        <v>Home</v>
      </c>
      <c r="E93">
        <f>_xlfn.NUMBERVALUE(MID(LEFT(Table7[[#This Row],[Score]],FIND("-",Table7[[#This Row],[Score]])-1),FIND(" ",Table7[[#This Row],[Score]])+1,LEN(Table7[[#This Row],[Score]])))</f>
        <v>11</v>
      </c>
      <c r="F93">
        <f>_xlfn.NUMBERVALUE(RIGHT(Table7[[#This Row],[Score]],LEN(Table7[[#This Row],[Score]])-FIND("-",Table7[[#This Row],[Score]])))</f>
        <v>17</v>
      </c>
      <c r="G93">
        <f t="shared" si="12"/>
        <v>28</v>
      </c>
      <c r="H93" t="str">
        <f>LEFT(Table7[[#This Row],[Score]],1)</f>
        <v>L</v>
      </c>
      <c r="I93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93" s="33">
        <f>VLOOKUP(Table7[[#This Row],[OPP]],Raw!$L$2:$S$23,7,FALSE)-Raw!$U$2</f>
        <v>0.13556883576803896</v>
      </c>
    </row>
    <row r="94" spans="1:10" x14ac:dyDescent="0.25">
      <c r="A94" t="s">
        <v>463</v>
      </c>
      <c r="B94" t="s">
        <v>314</v>
      </c>
      <c r="C94" t="s">
        <v>229</v>
      </c>
      <c r="D94" t="str">
        <f>IF(LEFT(Table7[[#This Row],[Opponent]],1)="@","Away","Home")</f>
        <v>Home</v>
      </c>
      <c r="E94">
        <f>_xlfn.NUMBERVALUE(MID(LEFT(Table7[[#This Row],[Score]],FIND("-",Table7[[#This Row],[Score]])-1),FIND(" ",Table7[[#This Row],[Score]])+1,LEN(Table7[[#This Row],[Score]])))</f>
        <v>7</v>
      </c>
      <c r="F94">
        <f>_xlfn.NUMBERVALUE(RIGHT(Table7[[#This Row],[Score]],LEN(Table7[[#This Row],[Score]])-FIND("-",Table7[[#This Row],[Score]])))</f>
        <v>1</v>
      </c>
      <c r="G94">
        <f t="shared" si="12"/>
        <v>8</v>
      </c>
      <c r="H94" t="str">
        <f>LEFT(Table7[[#This Row],[Score]],1)</f>
        <v>W</v>
      </c>
      <c r="I94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94" s="33">
        <f>VLOOKUP(Table7[[#This Row],[OPP]],Raw!$L$2:$S$23,7,FALSE)-Raw!$U$2</f>
        <v>0.13556883576803896</v>
      </c>
    </row>
    <row r="95" spans="1:10" x14ac:dyDescent="0.25">
      <c r="A95" t="s">
        <v>464</v>
      </c>
      <c r="B95" t="s">
        <v>58</v>
      </c>
      <c r="C95" t="s">
        <v>31</v>
      </c>
      <c r="D95" t="str">
        <f>IF(LEFT(Table7[[#This Row],[Opponent]],1)="@","Away","Home")</f>
        <v>Away</v>
      </c>
      <c r="E95">
        <f>_xlfn.NUMBERVALUE(MID(LEFT(Table7[[#This Row],[Score]],FIND("-",Table7[[#This Row],[Score]])-1),FIND(" ",Table7[[#This Row],[Score]])+1,LEN(Table7[[#This Row],[Score]])))</f>
        <v>5</v>
      </c>
      <c r="F95">
        <f>_xlfn.NUMBERVALUE(RIGHT(Table7[[#This Row],[Score]],LEN(Table7[[#This Row],[Score]])-FIND("-",Table7[[#This Row],[Score]])))</f>
        <v>9</v>
      </c>
      <c r="G95">
        <f t="shared" si="12"/>
        <v>14</v>
      </c>
      <c r="H95" t="str">
        <f>LEFT(Table7[[#This Row],[Score]],1)</f>
        <v>L</v>
      </c>
      <c r="I95" s="17" t="str">
        <f>VLOOKUP(IF(Table7[[#This Row],[At]]="Home",Table7[[#This Row],[Opponent]],RIGHT(Table7[[#This Row],[Opponent]],LEN(Table7[[#This Row],[Opponent]])-1)),CHOOSE({1,2},[1]StandingsRAW!$J$1:$J$22,[1]StandingsRAW!$L$1:$L$22),2,FALSE)</f>
        <v>RFD</v>
      </c>
      <c r="J95" s="33">
        <f>VLOOKUP(Table7[[#This Row],[OPP]],Raw!$L$2:$S$23,7,FALSE)-Raw!$U$2</f>
        <v>0.83001328021248344</v>
      </c>
    </row>
    <row r="96" spans="1:10" x14ac:dyDescent="0.25">
      <c r="A96" t="s">
        <v>465</v>
      </c>
      <c r="B96" t="s">
        <v>58</v>
      </c>
      <c r="C96" t="s">
        <v>6</v>
      </c>
      <c r="D96" t="str">
        <f>IF(LEFT(Table7[[#This Row],[Opponent]],1)="@","Away","Home")</f>
        <v>Away</v>
      </c>
      <c r="E96">
        <f>_xlfn.NUMBERVALUE(MID(LEFT(Table7[[#This Row],[Score]],FIND("-",Table7[[#This Row],[Score]])-1),FIND(" ",Table7[[#This Row],[Score]])+1,LEN(Table7[[#This Row],[Score]])))</f>
        <v>2</v>
      </c>
      <c r="F96">
        <f>_xlfn.NUMBERVALUE(RIGHT(Table7[[#This Row],[Score]],LEN(Table7[[#This Row],[Score]])-FIND("-",Table7[[#This Row],[Score]])))</f>
        <v>6</v>
      </c>
      <c r="G96">
        <f t="shared" si="12"/>
        <v>8</v>
      </c>
      <c r="H96" t="str">
        <f>LEFT(Table7[[#This Row],[Score]],1)</f>
        <v>L</v>
      </c>
      <c r="I96" s="17" t="str">
        <f>VLOOKUP(IF(Table7[[#This Row],[At]]="Home",Table7[[#This Row],[Opponent]],RIGHT(Table7[[#This Row],[Opponent]],LEN(Table7[[#This Row],[Opponent]])-1)),CHOOSE({1,2},[1]StandingsRAW!$J$1:$J$22,[1]StandingsRAW!$L$1:$L$22),2,FALSE)</f>
        <v>RFD</v>
      </c>
      <c r="J96" s="33">
        <f>VLOOKUP(Table7[[#This Row],[OPP]],Raw!$L$2:$S$23,7,FALSE)-Raw!$U$2</f>
        <v>0.83001328021248344</v>
      </c>
    </row>
    <row r="97" spans="1:10" x14ac:dyDescent="0.25">
      <c r="A97" t="s">
        <v>466</v>
      </c>
      <c r="B97" t="s">
        <v>40</v>
      </c>
      <c r="C97" t="s">
        <v>270</v>
      </c>
      <c r="D97" t="str">
        <f>IF(LEFT(Table7[[#This Row],[Opponent]],1)="@","Away","Home")</f>
        <v>Away</v>
      </c>
      <c r="E97">
        <f>_xlfn.NUMBERVALUE(MID(LEFT(Table7[[#This Row],[Score]],FIND("-",Table7[[#This Row],[Score]])-1),FIND(" ",Table7[[#This Row],[Score]])+1,LEN(Table7[[#This Row],[Score]])))</f>
        <v>4</v>
      </c>
      <c r="F97">
        <f>_xlfn.NUMBERVALUE(RIGHT(Table7[[#This Row],[Score]],LEN(Table7[[#This Row],[Score]])-FIND("-",Table7[[#This Row],[Score]])))</f>
        <v>3</v>
      </c>
      <c r="G97">
        <f t="shared" si="12"/>
        <v>7</v>
      </c>
      <c r="H97" t="str">
        <f>LEFT(Table7[[#This Row],[Score]],1)</f>
        <v>W</v>
      </c>
      <c r="I97" s="17" t="str">
        <f>VLOOKUP(IF(Table7[[#This Row],[At]]="Home",Table7[[#This Row],[Opponent]],RIGHT(Table7[[#This Row],[Opponent]],LEN(Table7[[#This Row],[Opponent]])-1)),CHOOSE({1,2},[1]StandingsRAW!$J$1:$J$22,[1]StandingsRAW!$L$1:$L$22),2,FALSE)</f>
        <v>TVC</v>
      </c>
      <c r="J97" s="33">
        <f>VLOOKUP(Table7[[#This Row],[OPP]],Raw!$L$2:$S$23,7,FALSE)-Raw!$U$2</f>
        <v>1.4411243913235945</v>
      </c>
    </row>
    <row r="98" spans="1:10" x14ac:dyDescent="0.25">
      <c r="A98" t="s">
        <v>467</v>
      </c>
      <c r="B98" t="s">
        <v>40</v>
      </c>
      <c r="C98" t="s">
        <v>251</v>
      </c>
      <c r="D98" t="str">
        <f>IF(LEFT(Table7[[#This Row],[Opponent]],1)="@","Away","Home")</f>
        <v>Away</v>
      </c>
      <c r="E98">
        <f>_xlfn.NUMBERVALUE(MID(LEFT(Table7[[#This Row],[Score]],FIND("-",Table7[[#This Row],[Score]])-1),FIND(" ",Table7[[#This Row],[Score]])+1,LEN(Table7[[#This Row],[Score]])))</f>
        <v>2</v>
      </c>
      <c r="F98">
        <f>_xlfn.NUMBERVALUE(RIGHT(Table7[[#This Row],[Score]],LEN(Table7[[#This Row],[Score]])-FIND("-",Table7[[#This Row],[Score]])))</f>
        <v>7</v>
      </c>
      <c r="G98">
        <f t="shared" si="12"/>
        <v>9</v>
      </c>
      <c r="H98" t="str">
        <f>LEFT(Table7[[#This Row],[Score]],1)</f>
        <v>L</v>
      </c>
      <c r="I98" s="17" t="str">
        <f>VLOOKUP(IF(Table7[[#This Row],[At]]="Home",Table7[[#This Row],[Opponent]],RIGHT(Table7[[#This Row],[Opponent]],LEN(Table7[[#This Row],[Opponent]])-1)),CHOOSE({1,2},[1]StandingsRAW!$J$1:$J$22,[1]StandingsRAW!$L$1:$L$22),2,FALSE)</f>
        <v>TVC</v>
      </c>
      <c r="J98" s="33">
        <f>VLOOKUP(Table7[[#This Row],[OPP]],Raw!$L$2:$S$23,7,FALSE)-Raw!$U$2</f>
        <v>1.4411243913235945</v>
      </c>
    </row>
    <row r="99" spans="1:10" x14ac:dyDescent="0.25">
      <c r="A99" t="s">
        <v>468</v>
      </c>
      <c r="B99" t="s">
        <v>315</v>
      </c>
      <c r="C99" t="s">
        <v>77</v>
      </c>
      <c r="D99" t="str">
        <f>IF(LEFT(Table7[[#This Row],[Opponent]],1)="@","Away","Home")</f>
        <v>Away</v>
      </c>
      <c r="E99">
        <f>_xlfn.NUMBERVALUE(MID(LEFT(Table7[[#This Row],[Score]],FIND("-",Table7[[#This Row],[Score]])-1),FIND(" ",Table7[[#This Row],[Score]])+1,LEN(Table7[[#This Row],[Score]])))</f>
        <v>1</v>
      </c>
      <c r="F99">
        <f>_xlfn.NUMBERVALUE(RIGHT(Table7[[#This Row],[Score]],LEN(Table7[[#This Row],[Score]])-FIND("-",Table7[[#This Row],[Score]])))</f>
        <v>9</v>
      </c>
      <c r="G99">
        <f t="shared" si="12"/>
        <v>10</v>
      </c>
      <c r="H99" t="str">
        <f>LEFT(Table7[[#This Row],[Score]],1)</f>
        <v>L</v>
      </c>
      <c r="I99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99" s="33">
        <f>VLOOKUP(Table7[[#This Row],[OPP]],Raw!$L$2:$S$23,7,FALSE)-Raw!$U$2</f>
        <v>0.13556883576803896</v>
      </c>
    </row>
    <row r="100" spans="1:10" x14ac:dyDescent="0.25">
      <c r="A100" t="s">
        <v>498</v>
      </c>
      <c r="B100" t="s">
        <v>314</v>
      </c>
      <c r="C100" t="s">
        <v>323</v>
      </c>
      <c r="D100" t="str">
        <f>IF(LEFT(Table7[[#This Row],[Opponent]],1)="@","Away","Home")</f>
        <v>Home</v>
      </c>
      <c r="E100">
        <f>_xlfn.NUMBERVALUE(MID(LEFT(Table7[[#This Row],[Score]],FIND("-",Table7[[#This Row],[Score]])-1),FIND(" ",Table7[[#This Row],[Score]])+1,LEN(Table7[[#This Row],[Score]])))</f>
        <v>7</v>
      </c>
      <c r="F100">
        <f>_xlfn.NUMBERVALUE(RIGHT(Table7[[#This Row],[Score]],LEN(Table7[[#This Row],[Score]])-FIND("-",Table7[[#This Row],[Score]])))</f>
        <v>6</v>
      </c>
      <c r="G100">
        <f t="shared" ref="G100:G102" si="13">E100+F100</f>
        <v>13</v>
      </c>
      <c r="H100" t="str">
        <f>LEFT(Table7[[#This Row],[Score]],1)</f>
        <v>W</v>
      </c>
      <c r="I100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100" s="33">
        <f>VLOOKUP(Table7[[#This Row],[OPP]],Raw!$L$2:$S$23,7,FALSE)-Raw!$U$2</f>
        <v>0.13556883576803896</v>
      </c>
    </row>
    <row r="101" spans="1:10" x14ac:dyDescent="0.25">
      <c r="A101" t="s">
        <v>499</v>
      </c>
      <c r="B101" t="s">
        <v>74</v>
      </c>
      <c r="C101" t="s">
        <v>246</v>
      </c>
      <c r="D101" t="str">
        <f>IF(LEFT(Table7[[#This Row],[Opponent]],1)="@","Away","Home")</f>
        <v>Home</v>
      </c>
      <c r="E101">
        <f>_xlfn.NUMBERVALUE(MID(LEFT(Table7[[#This Row],[Score]],FIND("-",Table7[[#This Row],[Score]])-1),FIND(" ",Table7[[#This Row],[Score]])+1,LEN(Table7[[#This Row],[Score]])))</f>
        <v>4</v>
      </c>
      <c r="F101">
        <f>_xlfn.NUMBERVALUE(RIGHT(Table7[[#This Row],[Score]],LEN(Table7[[#This Row],[Score]])-FIND("-",Table7[[#This Row],[Score]])))</f>
        <v>6</v>
      </c>
      <c r="G101">
        <f t="shared" si="13"/>
        <v>10</v>
      </c>
      <c r="H101" t="str">
        <f>LEFT(Table7[[#This Row],[Score]],1)</f>
        <v>L</v>
      </c>
      <c r="I101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101" s="33">
        <f>VLOOKUP(Table7[[#This Row],[OPP]],Raw!$L$2:$S$23,7,FALSE)-Raw!$U$2</f>
        <v>0.17977853842844585</v>
      </c>
    </row>
    <row r="102" spans="1:10" x14ac:dyDescent="0.25">
      <c r="A102" t="s">
        <v>500</v>
      </c>
      <c r="B102" t="s">
        <v>120</v>
      </c>
      <c r="C102" t="s">
        <v>240</v>
      </c>
      <c r="D102" t="str">
        <f>IF(LEFT(Table7[[#This Row],[Opponent]],1)="@","Away","Home")</f>
        <v>Away</v>
      </c>
      <c r="E102">
        <f>_xlfn.NUMBERVALUE(MID(LEFT(Table7[[#This Row],[Score]],FIND("-",Table7[[#This Row],[Score]])-1),FIND(" ",Table7[[#This Row],[Score]])+1,LEN(Table7[[#This Row],[Score]])))</f>
        <v>1</v>
      </c>
      <c r="F102">
        <f>_xlfn.NUMBERVALUE(RIGHT(Table7[[#This Row],[Score]],LEN(Table7[[#This Row],[Score]])-FIND("-",Table7[[#This Row],[Score]])))</f>
        <v>3</v>
      </c>
      <c r="G102">
        <f t="shared" si="13"/>
        <v>4</v>
      </c>
      <c r="H102" t="str">
        <f>LEFT(Table7[[#This Row],[Score]],1)</f>
        <v>L</v>
      </c>
      <c r="I102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102" s="33">
        <f>VLOOKUP(Table7[[#This Row],[OPP]],Raw!$L$2:$S$23,7,FALSE)-Raw!$U$2</f>
        <v>0.17977853842844585</v>
      </c>
    </row>
    <row r="103" spans="1:10" x14ac:dyDescent="0.25">
      <c r="A103" t="s">
        <v>501</v>
      </c>
      <c r="B103" t="s">
        <v>124</v>
      </c>
      <c r="C103" t="s">
        <v>254</v>
      </c>
      <c r="D103" t="str">
        <f>IF(LEFT(Table7[[#This Row],[Opponent]],1)="@","Away","Home")</f>
        <v>Away</v>
      </c>
      <c r="E103">
        <f>_xlfn.NUMBERVALUE(MID(LEFT(Table7[[#This Row],[Score]],FIND("-",Table7[[#This Row],[Score]])-1),FIND(" ",Table7[[#This Row],[Score]])+1,LEN(Table7[[#This Row],[Score]])))</f>
        <v>5</v>
      </c>
      <c r="F103">
        <f>_xlfn.NUMBERVALUE(RIGHT(Table7[[#This Row],[Score]],LEN(Table7[[#This Row],[Score]])-FIND("-",Table7[[#This Row],[Score]])))</f>
        <v>4</v>
      </c>
      <c r="G103">
        <f t="shared" ref="G103:G104" si="14">E103+F103</f>
        <v>9</v>
      </c>
      <c r="H103" t="str">
        <f>LEFT(Table7[[#This Row],[Score]],1)</f>
        <v>W</v>
      </c>
      <c r="I103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103" s="33">
        <f>VLOOKUP(Table7[[#This Row],[OPP]],Raw!$L$2:$S$23,7,FALSE)-Raw!$U$2</f>
        <v>2.7744577246569277</v>
      </c>
    </row>
    <row r="104" spans="1:10" x14ac:dyDescent="0.25">
      <c r="A104" t="s">
        <v>502</v>
      </c>
      <c r="B104" t="s">
        <v>103</v>
      </c>
      <c r="C104" t="s">
        <v>251</v>
      </c>
      <c r="D104" t="str">
        <f>IF(LEFT(Table7[[#This Row],[Opponent]],1)="@","Away","Home")</f>
        <v>Home</v>
      </c>
      <c r="E104">
        <f>_xlfn.NUMBERVALUE(MID(LEFT(Table7[[#This Row],[Score]],FIND("-",Table7[[#This Row],[Score]])-1),FIND(" ",Table7[[#This Row],[Score]])+1,LEN(Table7[[#This Row],[Score]])))</f>
        <v>2</v>
      </c>
      <c r="F104">
        <f>_xlfn.NUMBERVALUE(RIGHT(Table7[[#This Row],[Score]],LEN(Table7[[#This Row],[Score]])-FIND("-",Table7[[#This Row],[Score]])))</f>
        <v>7</v>
      </c>
      <c r="G104">
        <f t="shared" si="14"/>
        <v>9</v>
      </c>
      <c r="H104" t="str">
        <f>LEFT(Table7[[#This Row],[Score]],1)</f>
        <v>L</v>
      </c>
      <c r="I104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104" s="33">
        <f>VLOOKUP(Table7[[#This Row],[OPP]],Raw!$L$2:$S$23,7,FALSE)-Raw!$U$2</f>
        <v>2.7744577246569277</v>
      </c>
    </row>
    <row r="105" spans="1:10" x14ac:dyDescent="0.25">
      <c r="A105" t="s">
        <v>505</v>
      </c>
      <c r="B105" t="s">
        <v>333</v>
      </c>
      <c r="C105" t="s">
        <v>276</v>
      </c>
      <c r="D105" t="str">
        <f>IF(LEFT(Table7[[#This Row],[Opponent]],1)="@","Away","Home")</f>
        <v>Home</v>
      </c>
      <c r="E105">
        <f>_xlfn.NUMBERVALUE(MID(LEFT(Table7[[#This Row],[Score]],FIND("-",Table7[[#This Row],[Score]])-1),FIND(" ",Table7[[#This Row],[Score]])+1,LEN(Table7[[#This Row],[Score]])))</f>
        <v>2</v>
      </c>
      <c r="F105">
        <f>_xlfn.NUMBERVALUE(RIGHT(Table7[[#This Row],[Score]],LEN(Table7[[#This Row],[Score]])-FIND("-",Table7[[#This Row],[Score]])))</f>
        <v>4</v>
      </c>
      <c r="G105">
        <f>E105+F105</f>
        <v>6</v>
      </c>
      <c r="H105" t="str">
        <f>LEFT(Table7[[#This Row],[Score]],1)</f>
        <v>L</v>
      </c>
      <c r="I105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105" s="33">
        <f>VLOOKUP(Table7[[#This Row],[OPP]],Raw!$L$2:$S$23,7,FALSE)-Raw!$U$2</f>
        <v>0.7572433271608402</v>
      </c>
    </row>
    <row r="106" spans="1:10" x14ac:dyDescent="0.25">
      <c r="A106" t="s">
        <v>508</v>
      </c>
      <c r="B106" t="s">
        <v>332</v>
      </c>
      <c r="C106" t="s">
        <v>226</v>
      </c>
      <c r="D106" t="str">
        <f>IF(LEFT(Table7[[#This Row],[Opponent]],1)="@","Away","Home")</f>
        <v>Away</v>
      </c>
      <c r="E106">
        <f>_xlfn.NUMBERVALUE(MID(LEFT(Table7[[#This Row],[Score]],FIND("-",Table7[[#This Row],[Score]])-1),FIND(" ",Table7[[#This Row],[Score]])+1,LEN(Table7[[#This Row],[Score]])))</f>
        <v>3</v>
      </c>
      <c r="F106">
        <f>_xlfn.NUMBERVALUE(RIGHT(Table7[[#This Row],[Score]],LEN(Table7[[#This Row],[Score]])-FIND("-",Table7[[#This Row],[Score]])))</f>
        <v>2</v>
      </c>
      <c r="G106">
        <f t="shared" ref="G106:G108" si="15">E106+F106</f>
        <v>5</v>
      </c>
      <c r="H106" t="str">
        <f>LEFT(Table7[[#This Row],[Score]],1)</f>
        <v>W</v>
      </c>
      <c r="I106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106" s="33">
        <f>VLOOKUP(Table7[[#This Row],[OPP]],Raw!$L$2:$S$23,7,FALSE)-Raw!$U$2</f>
        <v>0.7572433271608402</v>
      </c>
    </row>
    <row r="107" spans="1:10" x14ac:dyDescent="0.25">
      <c r="A107" t="s">
        <v>509</v>
      </c>
      <c r="B107" t="s">
        <v>120</v>
      </c>
      <c r="C107" t="s">
        <v>207</v>
      </c>
      <c r="D107" t="str">
        <f>IF(LEFT(Table7[[#This Row],[Opponent]],1)="@","Away","Home")</f>
        <v>Away</v>
      </c>
      <c r="E107">
        <f>_xlfn.NUMBERVALUE(MID(LEFT(Table7[[#This Row],[Score]],FIND("-",Table7[[#This Row],[Score]])-1),FIND(" ",Table7[[#This Row],[Score]])+1,LEN(Table7[[#This Row],[Score]])))</f>
        <v>3</v>
      </c>
      <c r="F107">
        <f>_xlfn.NUMBERVALUE(RIGHT(Table7[[#This Row],[Score]],LEN(Table7[[#This Row],[Score]])-FIND("-",Table7[[#This Row],[Score]])))</f>
        <v>8</v>
      </c>
      <c r="G107">
        <f t="shared" si="15"/>
        <v>11</v>
      </c>
      <c r="H107" t="str">
        <f>LEFT(Table7[[#This Row],[Score]],1)</f>
        <v>L</v>
      </c>
      <c r="I107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107" s="33">
        <f>VLOOKUP(Table7[[#This Row],[OPP]],Raw!$L$2:$S$23,7,FALSE)-Raw!$U$2</f>
        <v>0.17977853842844585</v>
      </c>
    </row>
    <row r="108" spans="1:10" x14ac:dyDescent="0.25">
      <c r="A108" t="s">
        <v>510</v>
      </c>
      <c r="B108" t="s">
        <v>74</v>
      </c>
      <c r="C108" t="s">
        <v>237</v>
      </c>
      <c r="D108" t="str">
        <f>IF(LEFT(Table7[[#This Row],[Opponent]],1)="@","Away","Home")</f>
        <v>Home</v>
      </c>
      <c r="E108">
        <f>_xlfn.NUMBERVALUE(MID(LEFT(Table7[[#This Row],[Score]],FIND("-",Table7[[#This Row],[Score]])-1),FIND(" ",Table7[[#This Row],[Score]])+1,LEN(Table7[[#This Row],[Score]])))</f>
        <v>6</v>
      </c>
      <c r="F108">
        <f>_xlfn.NUMBERVALUE(RIGHT(Table7[[#This Row],[Score]],LEN(Table7[[#This Row],[Score]])-FIND("-",Table7[[#This Row],[Score]])))</f>
        <v>11</v>
      </c>
      <c r="G108">
        <f t="shared" si="15"/>
        <v>17</v>
      </c>
      <c r="H108" t="str">
        <f>LEFT(Table7[[#This Row],[Score]],1)</f>
        <v>L</v>
      </c>
      <c r="I108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108" s="33">
        <f>VLOOKUP(Table7[[#This Row],[OPP]],Raw!$L$2:$S$23,7,FALSE)-Raw!$U$2</f>
        <v>0.17977853842844585</v>
      </c>
    </row>
    <row r="109" spans="1:10" x14ac:dyDescent="0.25">
      <c r="A109" t="s">
        <v>515</v>
      </c>
      <c r="B109" t="s">
        <v>321</v>
      </c>
      <c r="C109" t="s">
        <v>132</v>
      </c>
      <c r="D109" t="str">
        <f>IF(LEFT(Table7[[#This Row],[Opponent]],1)="@","Away","Home")</f>
        <v>Home</v>
      </c>
      <c r="E109">
        <f>_xlfn.NUMBERVALUE(MID(LEFT(Table7[[#This Row],[Score]],FIND("-",Table7[[#This Row],[Score]])-1),FIND(" ",Table7[[#This Row],[Score]])+1,LEN(Table7[[#This Row],[Score]])))</f>
        <v>3</v>
      </c>
      <c r="F109">
        <f>_xlfn.NUMBERVALUE(RIGHT(Table7[[#This Row],[Score]],LEN(Table7[[#This Row],[Score]])-FIND("-",Table7[[#This Row],[Score]])))</f>
        <v>6</v>
      </c>
      <c r="G109">
        <f>E109+F109</f>
        <v>9</v>
      </c>
      <c r="H109" t="str">
        <f>LEFT(Table7[[#This Row],[Score]],1)</f>
        <v>L</v>
      </c>
      <c r="I109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109" s="33">
        <f>VLOOKUP(Table7[[#This Row],[OPP]],Raw!$L$2:$S$23,7,FALSE)-Raw!$U$2</f>
        <v>-1.5172089420097388</v>
      </c>
    </row>
    <row r="110" spans="1:10" x14ac:dyDescent="0.25">
      <c r="A110" t="s">
        <v>518</v>
      </c>
      <c r="B110" t="s">
        <v>321</v>
      </c>
      <c r="C110" t="s">
        <v>92</v>
      </c>
      <c r="D110" t="str">
        <f>IF(LEFT(Table7[[#This Row],[Opponent]],1)="@","Away","Home")</f>
        <v>Home</v>
      </c>
      <c r="E110">
        <f>_xlfn.NUMBERVALUE(MID(LEFT(Table7[[#This Row],[Score]],FIND("-",Table7[[#This Row],[Score]])-1),FIND(" ",Table7[[#This Row],[Score]])+1,LEN(Table7[[#This Row],[Score]])))</f>
        <v>5</v>
      </c>
      <c r="F110">
        <f>_xlfn.NUMBERVALUE(RIGHT(Table7[[#This Row],[Score]],LEN(Table7[[#This Row],[Score]])-FIND("-",Table7[[#This Row],[Score]])))</f>
        <v>10</v>
      </c>
      <c r="G110">
        <f t="shared" ref="G110:G113" si="16">E110+F110</f>
        <v>15</v>
      </c>
      <c r="H110" t="str">
        <f>LEFT(Table7[[#This Row],[Score]],1)</f>
        <v>L</v>
      </c>
      <c r="I110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110" s="33">
        <f>VLOOKUP(Table7[[#This Row],[OPP]],Raw!$L$2:$S$23,7,FALSE)-Raw!$U$2</f>
        <v>-1.5172089420097388</v>
      </c>
    </row>
    <row r="111" spans="1:10" x14ac:dyDescent="0.25">
      <c r="A111" t="s">
        <v>519</v>
      </c>
      <c r="B111" t="s">
        <v>124</v>
      </c>
      <c r="C111" t="s">
        <v>374</v>
      </c>
      <c r="D111" t="str">
        <f>IF(LEFT(Table7[[#This Row],[Opponent]],1)="@","Away","Home")</f>
        <v>Away</v>
      </c>
      <c r="E111">
        <f>_xlfn.NUMBERVALUE(MID(LEFT(Table7[[#This Row],[Score]],FIND("-",Table7[[#This Row],[Score]])-1),FIND(" ",Table7[[#This Row],[Score]])+1,LEN(Table7[[#This Row],[Score]])))</f>
        <v>6</v>
      </c>
      <c r="F111">
        <f>_xlfn.NUMBERVALUE(RIGHT(Table7[[#This Row],[Score]],LEN(Table7[[#This Row],[Score]])-FIND("-",Table7[[#This Row],[Score]])))</f>
        <v>9</v>
      </c>
      <c r="G111">
        <f t="shared" si="16"/>
        <v>15</v>
      </c>
      <c r="H111" t="str">
        <f>LEFT(Table7[[#This Row],[Score]],1)</f>
        <v>L</v>
      </c>
      <c r="I111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111" s="33">
        <f>VLOOKUP(Table7[[#This Row],[OPP]],Raw!$L$2:$S$23,7,FALSE)-Raw!$U$2</f>
        <v>2.7744577246569277</v>
      </c>
    </row>
    <row r="112" spans="1:10" x14ac:dyDescent="0.25">
      <c r="A112" t="s">
        <v>520</v>
      </c>
      <c r="B112" t="s">
        <v>103</v>
      </c>
      <c r="C112" t="s">
        <v>297</v>
      </c>
      <c r="D112" t="str">
        <f>IF(LEFT(Table7[[#This Row],[Opponent]],1)="@","Away","Home")</f>
        <v>Home</v>
      </c>
      <c r="E112">
        <f>_xlfn.NUMBERVALUE(MID(LEFT(Table7[[#This Row],[Score]],FIND("-",Table7[[#This Row],[Score]])-1),FIND(" ",Table7[[#This Row],[Score]])+1,LEN(Table7[[#This Row],[Score]])))</f>
        <v>2</v>
      </c>
      <c r="F112">
        <f>_xlfn.NUMBERVALUE(RIGHT(Table7[[#This Row],[Score]],LEN(Table7[[#This Row],[Score]])-FIND("-",Table7[[#This Row],[Score]])))</f>
        <v>10</v>
      </c>
      <c r="G112">
        <f t="shared" si="16"/>
        <v>12</v>
      </c>
      <c r="H112" t="str">
        <f>LEFT(Table7[[#This Row],[Score]],1)</f>
        <v>L</v>
      </c>
      <c r="I112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112" s="33">
        <f>VLOOKUP(Table7[[#This Row],[OPP]],Raw!$L$2:$S$23,7,FALSE)-Raw!$U$2</f>
        <v>2.7744577246569277</v>
      </c>
    </row>
    <row r="113" spans="1:10" x14ac:dyDescent="0.25">
      <c r="A113" t="s">
        <v>521</v>
      </c>
      <c r="B113" t="s">
        <v>319</v>
      </c>
      <c r="C113" t="s">
        <v>42</v>
      </c>
      <c r="D113" t="str">
        <f>IF(LEFT(Table7[[#This Row],[Opponent]],1)="@","Away","Home")</f>
        <v>Away</v>
      </c>
      <c r="E113">
        <f>_xlfn.NUMBERVALUE(MID(LEFT(Table7[[#This Row],[Score]],FIND("-",Table7[[#This Row],[Score]])-1),FIND(" ",Table7[[#This Row],[Score]])+1,LEN(Table7[[#This Row],[Score]])))</f>
        <v>0</v>
      </c>
      <c r="F113">
        <f>_xlfn.NUMBERVALUE(RIGHT(Table7[[#This Row],[Score]],LEN(Table7[[#This Row],[Score]])-FIND("-",Table7[[#This Row],[Score]])))</f>
        <v>3</v>
      </c>
      <c r="G113">
        <f t="shared" si="16"/>
        <v>3</v>
      </c>
      <c r="H113" t="str">
        <f>LEFT(Table7[[#This Row],[Score]],1)</f>
        <v>L</v>
      </c>
      <c r="I113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113" s="33">
        <f>VLOOKUP(Table7[[#This Row],[OPP]],Raw!$L$2:$S$23,7,FALSE)-Raw!$U$2</f>
        <v>-1.5172089420097388</v>
      </c>
    </row>
    <row r="114" spans="1:10" x14ac:dyDescent="0.25">
      <c r="A114" t="s">
        <v>524</v>
      </c>
      <c r="B114" t="s">
        <v>319</v>
      </c>
      <c r="C114" t="s">
        <v>364</v>
      </c>
      <c r="D114" t="str">
        <f>IF(LEFT(Table7[[#This Row],[Opponent]],1)="@","Away","Home")</f>
        <v>Away</v>
      </c>
      <c r="E114">
        <f>_xlfn.NUMBERVALUE(MID(LEFT(Table7[[#This Row],[Score]],FIND("-",Table7[[#This Row],[Score]])-1),FIND(" ",Table7[[#This Row],[Score]])+1,LEN(Table7[[#This Row],[Score]])))</f>
        <v>11</v>
      </c>
      <c r="F114">
        <f>_xlfn.NUMBERVALUE(RIGHT(Table7[[#This Row],[Score]],LEN(Table7[[#This Row],[Score]])-FIND("-",Table7[[#This Row],[Score]])))</f>
        <v>9</v>
      </c>
      <c r="G114">
        <f t="shared" ref="G114:G120" si="17">E114+F114</f>
        <v>20</v>
      </c>
      <c r="H114" t="str">
        <f>LEFT(Table7[[#This Row],[Score]],1)</f>
        <v>W</v>
      </c>
      <c r="I114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114" s="33">
        <f>VLOOKUP(Table7[[#This Row],[OPP]],Raw!$L$2:$S$23,7,FALSE)-Raw!$U$2</f>
        <v>-1.5172089420097388</v>
      </c>
    </row>
    <row r="115" spans="1:10" x14ac:dyDescent="0.25">
      <c r="A115" t="s">
        <v>525</v>
      </c>
      <c r="B115" t="s">
        <v>5</v>
      </c>
      <c r="C115" t="s">
        <v>202</v>
      </c>
      <c r="D115" t="str">
        <f>IF(LEFT(Table7[[#This Row],[Opponent]],1)="@","Away","Home")</f>
        <v>Home</v>
      </c>
      <c r="E115">
        <f>_xlfn.NUMBERVALUE(MID(LEFT(Table7[[#This Row],[Score]],FIND("-",Table7[[#This Row],[Score]])-1),FIND(" ",Table7[[#This Row],[Score]])+1,LEN(Table7[[#This Row],[Score]])))</f>
        <v>4</v>
      </c>
      <c r="F115">
        <f>_xlfn.NUMBERVALUE(RIGHT(Table7[[#This Row],[Score]],LEN(Table7[[#This Row],[Score]])-FIND("-",Table7[[#This Row],[Score]])))</f>
        <v>11</v>
      </c>
      <c r="G115">
        <f t="shared" si="17"/>
        <v>15</v>
      </c>
      <c r="H115" t="str">
        <f>LEFT(Table7[[#This Row],[Score]],1)</f>
        <v>L</v>
      </c>
      <c r="I115" s="17" t="str">
        <f>VLOOKUP(IF(Table7[[#This Row],[At]]="Home",Table7[[#This Row],[Opponent]],RIGHT(Table7[[#This Row],[Opponent]],LEN(Table7[[#This Row],[Opponent]])-1)),CHOOSE({1,2},[1]StandingsRAW!$J$1:$J$22,[1]StandingsRAW!$L$1:$L$22),2,FALSE)</f>
        <v>KZO</v>
      </c>
      <c r="J115" s="33">
        <f>VLOOKUP(Table7[[#This Row],[OPP]],Raw!$L$2:$S$23,7,FALSE)-Raw!$U$2</f>
        <v>0.53189121448478383</v>
      </c>
    </row>
    <row r="116" spans="1:10" x14ac:dyDescent="0.25">
      <c r="A116" t="s">
        <v>526</v>
      </c>
      <c r="B116" t="s">
        <v>5</v>
      </c>
      <c r="C116" t="s">
        <v>283</v>
      </c>
      <c r="D116" t="str">
        <f>IF(LEFT(Table7[[#This Row],[Opponent]],1)="@","Away","Home")</f>
        <v>Home</v>
      </c>
      <c r="E116">
        <f>_xlfn.NUMBERVALUE(MID(LEFT(Table7[[#This Row],[Score]],FIND("-",Table7[[#This Row],[Score]])-1),FIND(" ",Table7[[#This Row],[Score]])+1,LEN(Table7[[#This Row],[Score]])))</f>
        <v>10</v>
      </c>
      <c r="F116">
        <f>_xlfn.NUMBERVALUE(RIGHT(Table7[[#This Row],[Score]],LEN(Table7[[#This Row],[Score]])-FIND("-",Table7[[#This Row],[Score]])))</f>
        <v>8</v>
      </c>
      <c r="G116">
        <f t="shared" si="17"/>
        <v>18</v>
      </c>
      <c r="H116" t="str">
        <f>LEFT(Table7[[#This Row],[Score]],1)</f>
        <v>W</v>
      </c>
      <c r="I116" s="17" t="str">
        <f>VLOOKUP(IF(Table7[[#This Row],[At]]="Home",Table7[[#This Row],[Opponent]],RIGHT(Table7[[#This Row],[Opponent]],LEN(Table7[[#This Row],[Opponent]])-1)),CHOOSE({1,2},[1]StandingsRAW!$J$1:$J$22,[1]StandingsRAW!$L$1:$L$22),2,FALSE)</f>
        <v>KZO</v>
      </c>
      <c r="J116" s="33">
        <f>VLOOKUP(Table7[[#This Row],[OPP]],Raw!$L$2:$S$23,7,FALSE)-Raw!$U$2</f>
        <v>0.53189121448478383</v>
      </c>
    </row>
    <row r="117" spans="1:10" x14ac:dyDescent="0.25">
      <c r="A117" t="s">
        <v>527</v>
      </c>
      <c r="B117" t="s">
        <v>20</v>
      </c>
      <c r="C117" t="s">
        <v>270</v>
      </c>
      <c r="D117" t="str">
        <f>IF(LEFT(Table7[[#This Row],[Opponent]],1)="@","Away","Home")</f>
        <v>Home</v>
      </c>
      <c r="E117">
        <f>_xlfn.NUMBERVALUE(MID(LEFT(Table7[[#This Row],[Score]],FIND("-",Table7[[#This Row],[Score]])-1),FIND(" ",Table7[[#This Row],[Score]])+1,LEN(Table7[[#This Row],[Score]])))</f>
        <v>4</v>
      </c>
      <c r="F117">
        <f>_xlfn.NUMBERVALUE(RIGHT(Table7[[#This Row],[Score]],LEN(Table7[[#This Row],[Score]])-FIND("-",Table7[[#This Row],[Score]])))</f>
        <v>3</v>
      </c>
      <c r="G117">
        <f t="shared" si="17"/>
        <v>7</v>
      </c>
      <c r="H117" t="str">
        <f>LEFT(Table7[[#This Row],[Score]],1)</f>
        <v>W</v>
      </c>
      <c r="I117" s="17" t="str">
        <f>VLOOKUP(IF(Table7[[#This Row],[At]]="Home",Table7[[#This Row],[Opponent]],RIGHT(Table7[[#This Row],[Opponent]],LEN(Table7[[#This Row],[Opponent]])-1)),CHOOSE({1,2},[1]StandingsRAW!$J$1:$J$22,[1]StandingsRAW!$L$1:$L$22),2,FALSE)</f>
        <v>RFD</v>
      </c>
      <c r="J117" s="33">
        <f>VLOOKUP(Table7[[#This Row],[OPP]],Raw!$L$2:$S$23,7,FALSE)-Raw!$U$2</f>
        <v>0.83001328021248344</v>
      </c>
    </row>
    <row r="118" spans="1:10" x14ac:dyDescent="0.25">
      <c r="A118" t="s">
        <v>528</v>
      </c>
      <c r="B118" t="s">
        <v>20</v>
      </c>
      <c r="C118" t="s">
        <v>372</v>
      </c>
      <c r="D118" t="str">
        <f>IF(LEFT(Table7[[#This Row],[Opponent]],1)="@","Away","Home")</f>
        <v>Home</v>
      </c>
      <c r="E118">
        <f>_xlfn.NUMBERVALUE(MID(LEFT(Table7[[#This Row],[Score]],FIND("-",Table7[[#This Row],[Score]])-1),FIND(" ",Table7[[#This Row],[Score]])+1,LEN(Table7[[#This Row],[Score]])))</f>
        <v>9</v>
      </c>
      <c r="F118">
        <f>_xlfn.NUMBERVALUE(RIGHT(Table7[[#This Row],[Score]],LEN(Table7[[#This Row],[Score]])-FIND("-",Table7[[#This Row],[Score]])))</f>
        <v>1</v>
      </c>
      <c r="G118">
        <f t="shared" si="17"/>
        <v>10</v>
      </c>
      <c r="H118" t="str">
        <f>LEFT(Table7[[#This Row],[Score]],1)</f>
        <v>W</v>
      </c>
      <c r="I118" s="17" t="str">
        <f>VLOOKUP(IF(Table7[[#This Row],[At]]="Home",Table7[[#This Row],[Opponent]],RIGHT(Table7[[#This Row],[Opponent]],LEN(Table7[[#This Row],[Opponent]])-1)),CHOOSE({1,2},[1]StandingsRAW!$J$1:$J$22,[1]StandingsRAW!$L$1:$L$22),2,FALSE)</f>
        <v>RFD</v>
      </c>
      <c r="J118" s="33">
        <f>VLOOKUP(Table7[[#This Row],[OPP]],Raw!$L$2:$S$23,7,FALSE)-Raw!$U$2</f>
        <v>0.83001328021248344</v>
      </c>
    </row>
    <row r="119" spans="1:10" x14ac:dyDescent="0.25">
      <c r="A119" t="s">
        <v>529</v>
      </c>
      <c r="B119" t="s">
        <v>74</v>
      </c>
      <c r="C119" t="s">
        <v>224</v>
      </c>
      <c r="D119" t="str">
        <f>IF(LEFT(Table7[[#This Row],[Opponent]],1)="@","Away","Home")</f>
        <v>Home</v>
      </c>
      <c r="E119">
        <f>_xlfn.NUMBERVALUE(MID(LEFT(Table7[[#This Row],[Score]],FIND("-",Table7[[#This Row],[Score]])-1),FIND(" ",Table7[[#This Row],[Score]])+1,LEN(Table7[[#This Row],[Score]])))</f>
        <v>0</v>
      </c>
      <c r="F119">
        <f>_xlfn.NUMBERVALUE(RIGHT(Table7[[#This Row],[Score]],LEN(Table7[[#This Row],[Score]])-FIND("-",Table7[[#This Row],[Score]])))</f>
        <v>6</v>
      </c>
      <c r="G119">
        <f t="shared" si="17"/>
        <v>6</v>
      </c>
      <c r="H119" t="str">
        <f>LEFT(Table7[[#This Row],[Score]],1)</f>
        <v>L</v>
      </c>
      <c r="I119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119" s="33">
        <f>VLOOKUP(Table7[[#This Row],[OPP]],Raw!$L$2:$S$23,7,FALSE)-Raw!$U$2</f>
        <v>0.17977853842844585</v>
      </c>
    </row>
    <row r="120" spans="1:10" x14ac:dyDescent="0.25">
      <c r="A120" t="s">
        <v>530</v>
      </c>
      <c r="B120" t="s">
        <v>120</v>
      </c>
      <c r="C120" t="s">
        <v>296</v>
      </c>
      <c r="D120" t="str">
        <f>IF(LEFT(Table7[[#This Row],[Opponent]],1)="@","Away","Home")</f>
        <v>Away</v>
      </c>
      <c r="E120">
        <f>_xlfn.NUMBERVALUE(MID(LEFT(Table7[[#This Row],[Score]],FIND("-",Table7[[#This Row],[Score]])-1),FIND(" ",Table7[[#This Row],[Score]])+1,LEN(Table7[[#This Row],[Score]])))</f>
        <v>3</v>
      </c>
      <c r="F120">
        <f>_xlfn.NUMBERVALUE(RIGHT(Table7[[#This Row],[Score]],LEN(Table7[[#This Row],[Score]])-FIND("-",Table7[[#This Row],[Score]])))</f>
        <v>10</v>
      </c>
      <c r="G120">
        <f t="shared" si="17"/>
        <v>13</v>
      </c>
      <c r="H120" t="str">
        <f>LEFT(Table7[[#This Row],[Score]],1)</f>
        <v>L</v>
      </c>
      <c r="I120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120" s="33">
        <f>VLOOKUP(Table7[[#This Row],[OPP]],Raw!$L$2:$S$23,7,FALSE)-Raw!$U$2</f>
        <v>0.17977853842844585</v>
      </c>
    </row>
    <row r="121" spans="1:10" x14ac:dyDescent="0.25">
      <c r="A121" t="s">
        <v>541</v>
      </c>
      <c r="B121" t="s">
        <v>319</v>
      </c>
      <c r="C121" t="s">
        <v>260</v>
      </c>
      <c r="D121" t="str">
        <f>IF(LEFT(Table7[[#This Row],[Opponent]],1)="@","Away","Home")</f>
        <v>Away</v>
      </c>
      <c r="E121">
        <f>_xlfn.NUMBERVALUE(MID(LEFT(Table7[[#This Row],[Score]],FIND("-",Table7[[#This Row],[Score]])-1),FIND(" ",Table7[[#This Row],[Score]])+1,LEN(Table7[[#This Row],[Score]])))</f>
        <v>5</v>
      </c>
      <c r="F121">
        <f>_xlfn.NUMBERVALUE(RIGHT(Table7[[#This Row],[Score]],LEN(Table7[[#This Row],[Score]])-FIND("-",Table7[[#This Row],[Score]])))</f>
        <v>12</v>
      </c>
      <c r="G121">
        <f>E121+F121</f>
        <v>17</v>
      </c>
      <c r="H121" t="str">
        <f>LEFT(Table7[[#This Row],[Score]],1)</f>
        <v>L</v>
      </c>
      <c r="I121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121" s="33">
        <f>VLOOKUP(Table7[[#This Row],[OPP]],Raw!$L$2:$S$23,7,FALSE)-Raw!$U$2</f>
        <v>-1.5172089420097388</v>
      </c>
    </row>
    <row r="122" spans="1:10" x14ac:dyDescent="0.25">
      <c r="A122" t="s">
        <v>542</v>
      </c>
      <c r="B122" t="s">
        <v>319</v>
      </c>
      <c r="C122" t="s">
        <v>275</v>
      </c>
      <c r="D122" t="str">
        <f>IF(LEFT(Table7[[#This Row],[Opponent]],1)="@","Away","Home")</f>
        <v>Away</v>
      </c>
      <c r="E122">
        <f>_xlfn.NUMBERVALUE(MID(LEFT(Table7[[#This Row],[Score]],FIND("-",Table7[[#This Row],[Score]])-1),FIND(" ",Table7[[#This Row],[Score]])+1,LEN(Table7[[#This Row],[Score]])))</f>
        <v>12</v>
      </c>
      <c r="F122">
        <f>_xlfn.NUMBERVALUE(RIGHT(Table7[[#This Row],[Score]],LEN(Table7[[#This Row],[Score]])-FIND("-",Table7[[#This Row],[Score]])))</f>
        <v>6</v>
      </c>
      <c r="G122">
        <f>E122+F122</f>
        <v>18</v>
      </c>
      <c r="H122" t="str">
        <f>LEFT(Table7[[#This Row],[Score]],1)</f>
        <v>W</v>
      </c>
      <c r="I122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122" s="33">
        <f>VLOOKUP(Table7[[#This Row],[OPP]],Raw!$L$2:$S$23,7,FALSE)-Raw!$U$2</f>
        <v>-1.5172089420097388</v>
      </c>
    </row>
    <row r="123" spans="1:10" x14ac:dyDescent="0.25">
      <c r="A123" t="s">
        <v>543</v>
      </c>
      <c r="B123" t="s">
        <v>17</v>
      </c>
      <c r="C123" t="s">
        <v>269</v>
      </c>
      <c r="D123" t="str">
        <f>IF(LEFT(Table7[[#This Row],[Opponent]],1)="@","Away","Home")</f>
        <v>Away</v>
      </c>
      <c r="E123">
        <f>_xlfn.NUMBERVALUE(MID(LEFT(Table7[[#This Row],[Score]],FIND("-",Table7[[#This Row],[Score]])-1),FIND(" ",Table7[[#This Row],[Score]])+1,LEN(Table7[[#This Row],[Score]])))</f>
        <v>2</v>
      </c>
      <c r="F123">
        <f>_xlfn.NUMBERVALUE(RIGHT(Table7[[#This Row],[Score]],LEN(Table7[[#This Row],[Score]])-FIND("-",Table7[[#This Row],[Score]])))</f>
        <v>3</v>
      </c>
      <c r="G123">
        <f>E123+F123</f>
        <v>5</v>
      </c>
      <c r="H123" t="str">
        <f>LEFT(Table7[[#This Row],[Score]],1)</f>
        <v>L</v>
      </c>
      <c r="I123" s="17" t="str">
        <f>VLOOKUP(IF(Table7[[#This Row],[At]]="Home",Table7[[#This Row],[Opponent]],RIGHT(Table7[[#This Row],[Opponent]],LEN(Table7[[#This Row],[Opponent]])-1)),CHOOSE({1,2},[1]StandingsRAW!$J$1:$J$22,[1]StandingsRAW!$L$1:$L$22),2,FALSE)</f>
        <v>KZO</v>
      </c>
      <c r="J123" s="33">
        <f>VLOOKUP(Table7[[#This Row],[OPP]],Raw!$L$2:$S$23,7,FALSE)-Raw!$U$2</f>
        <v>0.53189121448478383</v>
      </c>
    </row>
    <row r="124" spans="1:10" x14ac:dyDescent="0.25">
      <c r="A124" t="s">
        <v>546</v>
      </c>
      <c r="B124" t="s">
        <v>17</v>
      </c>
      <c r="C124" t="s">
        <v>26</v>
      </c>
      <c r="D124" t="str">
        <f>IF(LEFT(Table7[[#This Row],[Opponent]],1)="@","Away","Home")</f>
        <v>Away</v>
      </c>
      <c r="E124">
        <f>_xlfn.NUMBERVALUE(MID(LEFT(Table7[[#This Row],[Score]],FIND("-",Table7[[#This Row],[Score]])-1),FIND(" ",Table7[[#This Row],[Score]])+1,LEN(Table7[[#This Row],[Score]])))</f>
        <v>10</v>
      </c>
      <c r="F124">
        <f>_xlfn.NUMBERVALUE(RIGHT(Table7[[#This Row],[Score]],LEN(Table7[[#This Row],[Score]])-FIND("-",Table7[[#This Row],[Score]])))</f>
        <v>6</v>
      </c>
      <c r="G124">
        <f>E124+F124</f>
        <v>16</v>
      </c>
      <c r="H124" t="str">
        <f>LEFT(Table7[[#This Row],[Score]],1)</f>
        <v>W</v>
      </c>
      <c r="I124" s="17" t="str">
        <f>VLOOKUP(IF(Table7[[#This Row],[At]]="Home",Table7[[#This Row],[Opponent]],RIGHT(Table7[[#This Row],[Opponent]],LEN(Table7[[#This Row],[Opponent]])-1)),CHOOSE({1,2},[1]StandingsRAW!$J$1:$J$22,[1]StandingsRAW!$L$1:$L$22),2,FALSE)</f>
        <v>KZO</v>
      </c>
      <c r="J124" s="33">
        <f>VLOOKUP(Table7[[#This Row],[OPP]],Raw!$L$2:$S$23,7,FALSE)-Raw!$U$2</f>
        <v>0.53189121448478383</v>
      </c>
    </row>
    <row r="125" spans="1:10" x14ac:dyDescent="0.25">
      <c r="A125" t="s">
        <v>549</v>
      </c>
      <c r="B125" t="s">
        <v>321</v>
      </c>
      <c r="C125" t="s">
        <v>318</v>
      </c>
      <c r="D125" t="str">
        <f>IF(LEFT(Table7[[#This Row],[Opponent]],1)="@","Away","Home")</f>
        <v>Home</v>
      </c>
      <c r="E125">
        <f>_xlfn.NUMBERVALUE(MID(LEFT(Table7[[#This Row],[Score]],FIND("-",Table7[[#This Row],[Score]])-1),FIND(" ",Table7[[#This Row],[Score]])+1,LEN(Table7[[#This Row],[Score]])))</f>
        <v>11</v>
      </c>
      <c r="F125">
        <f>_xlfn.NUMBERVALUE(RIGHT(Table7[[#This Row],[Score]],LEN(Table7[[#This Row],[Score]])-FIND("-",Table7[[#This Row],[Score]])))</f>
        <v>4</v>
      </c>
      <c r="G125">
        <f t="shared" ref="G125:G127" si="18">E125+F125</f>
        <v>15</v>
      </c>
      <c r="H125" t="str">
        <f>LEFT(Table7[[#This Row],[Score]],1)</f>
        <v>W</v>
      </c>
      <c r="I125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125" s="33">
        <f>VLOOKUP(Table7[[#This Row],[OPP]],Raw!$L$2:$S$23,7,FALSE)-Raw!$U$2</f>
        <v>-1.5172089420097388</v>
      </c>
    </row>
    <row r="126" spans="1:10" x14ac:dyDescent="0.25">
      <c r="A126" t="s">
        <v>550</v>
      </c>
      <c r="B126" t="s">
        <v>319</v>
      </c>
      <c r="C126" t="s">
        <v>85</v>
      </c>
      <c r="D126" t="str">
        <f>IF(LEFT(Table7[[#This Row],[Opponent]],1)="@","Away","Home")</f>
        <v>Away</v>
      </c>
      <c r="E126">
        <f>_xlfn.NUMBERVALUE(MID(LEFT(Table7[[#This Row],[Score]],FIND("-",Table7[[#This Row],[Score]])-1),FIND(" ",Table7[[#This Row],[Score]])+1,LEN(Table7[[#This Row],[Score]])))</f>
        <v>5</v>
      </c>
      <c r="F126">
        <f>_xlfn.NUMBERVALUE(RIGHT(Table7[[#This Row],[Score]],LEN(Table7[[#This Row],[Score]])-FIND("-",Table7[[#This Row],[Score]])))</f>
        <v>3</v>
      </c>
      <c r="G126">
        <f t="shared" si="18"/>
        <v>8</v>
      </c>
      <c r="H126" t="str">
        <f>LEFT(Table7[[#This Row],[Score]],1)</f>
        <v>W</v>
      </c>
      <c r="I126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126" s="33">
        <f>VLOOKUP(Table7[[#This Row],[OPP]],Raw!$L$2:$S$23,7,FALSE)-Raw!$U$2</f>
        <v>-1.5172089420097388</v>
      </c>
    </row>
    <row r="127" spans="1:10" x14ac:dyDescent="0.25">
      <c r="A127" t="s">
        <v>552</v>
      </c>
      <c r="B127" t="s">
        <v>314</v>
      </c>
      <c r="C127" t="s">
        <v>378</v>
      </c>
      <c r="D127" t="str">
        <f>IF(LEFT(Table7[[#This Row],[Opponent]],1)="@","Away","Home")</f>
        <v>Home</v>
      </c>
      <c r="E127">
        <f>_xlfn.NUMBERVALUE(MID(LEFT(Table7[[#This Row],[Score]],FIND("-",Table7[[#This Row],[Score]])-1),FIND(" ",Table7[[#This Row],[Score]])+1,LEN(Table7[[#This Row],[Score]])))</f>
        <v>12</v>
      </c>
      <c r="F127">
        <f>_xlfn.NUMBERVALUE(RIGHT(Table7[[#This Row],[Score]],LEN(Table7[[#This Row],[Score]])-FIND("-",Table7[[#This Row],[Score]])))</f>
        <v>9</v>
      </c>
      <c r="G127">
        <f t="shared" si="18"/>
        <v>21</v>
      </c>
      <c r="H127" t="str">
        <f>LEFT(Table7[[#This Row],[Score]],1)</f>
        <v>W</v>
      </c>
      <c r="I127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127" s="33">
        <f>VLOOKUP(Table7[[#This Row],[OPP]],Raw!$L$2:$S$23,7,FALSE)-Raw!$U$2</f>
        <v>0.13556883576803896</v>
      </c>
    </row>
    <row r="128" spans="1:10" x14ac:dyDescent="0.25">
      <c r="A128" t="s">
        <v>555</v>
      </c>
      <c r="B128" t="s">
        <v>332</v>
      </c>
      <c r="C128" t="s">
        <v>246</v>
      </c>
      <c r="D128" t="str">
        <f>IF(LEFT(Table7[[#This Row],[Opponent]],1)="@","Away","Home")</f>
        <v>Away</v>
      </c>
      <c r="E128">
        <f>_xlfn.NUMBERVALUE(MID(LEFT(Table7[[#This Row],[Score]],FIND("-",Table7[[#This Row],[Score]])-1),FIND(" ",Table7[[#This Row],[Score]])+1,LEN(Table7[[#This Row],[Score]])))</f>
        <v>4</v>
      </c>
      <c r="F128">
        <f>_xlfn.NUMBERVALUE(RIGHT(Table7[[#This Row],[Score]],LEN(Table7[[#This Row],[Score]])-FIND("-",Table7[[#This Row],[Score]])))</f>
        <v>6</v>
      </c>
      <c r="G128">
        <f>E128+F128</f>
        <v>10</v>
      </c>
      <c r="H128" t="str">
        <f>LEFT(Table7[[#This Row],[Score]],1)</f>
        <v>L</v>
      </c>
      <c r="I128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128" s="33">
        <f>VLOOKUP(Table7[[#This Row],[OPP]],Raw!$L$2:$S$23,7,FALSE)-Raw!$U$2</f>
        <v>0.7572433271608402</v>
      </c>
    </row>
    <row r="129" spans="1:10" x14ac:dyDescent="0.25">
      <c r="A129" t="s">
        <v>557</v>
      </c>
      <c r="B129" t="s">
        <v>333</v>
      </c>
      <c r="C129" t="s">
        <v>232</v>
      </c>
      <c r="D129" t="str">
        <f>IF(LEFT(Table7[[#This Row],[Opponent]],1)="@","Away","Home")</f>
        <v>Home</v>
      </c>
      <c r="E129">
        <f>_xlfn.NUMBERVALUE(MID(LEFT(Table7[[#This Row],[Score]],FIND("-",Table7[[#This Row],[Score]])-1),FIND(" ",Table7[[#This Row],[Score]])+1,LEN(Table7[[#This Row],[Score]])))</f>
        <v>8</v>
      </c>
      <c r="F129">
        <f>_xlfn.NUMBERVALUE(RIGHT(Table7[[#This Row],[Score]],LEN(Table7[[#This Row],[Score]])-FIND("-",Table7[[#This Row],[Score]])))</f>
        <v>6</v>
      </c>
      <c r="G129">
        <f>E129+F129</f>
        <v>14</v>
      </c>
      <c r="H129" t="str">
        <f>LEFT(Table7[[#This Row],[Score]],1)</f>
        <v>W</v>
      </c>
      <c r="I129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129" s="33">
        <f>VLOOKUP(Table7[[#This Row],[OPP]],Raw!$L$2:$S$23,7,FALSE)-Raw!$U$2</f>
        <v>0.7572433271608402</v>
      </c>
    </row>
    <row r="130" spans="1:10" x14ac:dyDescent="0.25">
      <c r="A130" t="s">
        <v>558</v>
      </c>
      <c r="B130" t="s">
        <v>315</v>
      </c>
      <c r="C130" t="s">
        <v>316</v>
      </c>
      <c r="D130" t="str">
        <f>IF(LEFT(Table7[[#This Row],[Opponent]],1)="@","Away","Home")</f>
        <v>Away</v>
      </c>
      <c r="E130">
        <f>_xlfn.NUMBERVALUE(MID(LEFT(Table7[[#This Row],[Score]],FIND("-",Table7[[#This Row],[Score]])-1),FIND(" ",Table7[[#This Row],[Score]])+1,LEN(Table7[[#This Row],[Score]])))</f>
        <v>9</v>
      </c>
      <c r="F130">
        <f>_xlfn.NUMBERVALUE(RIGHT(Table7[[#This Row],[Score]],LEN(Table7[[#This Row],[Score]])-FIND("-",Table7[[#This Row],[Score]])))</f>
        <v>6</v>
      </c>
      <c r="G130">
        <f t="shared" ref="G130:G131" si="19">E130+F130</f>
        <v>15</v>
      </c>
      <c r="H130" t="str">
        <f>LEFT(Table7[[#This Row],[Score]],1)</f>
        <v>W</v>
      </c>
      <c r="I130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130" s="33">
        <f>VLOOKUP(Table7[[#This Row],[OPP]],Raw!$L$2:$S$23,7,FALSE)-Raw!$U$2</f>
        <v>0.13556883576803896</v>
      </c>
    </row>
    <row r="131" spans="1:10" x14ac:dyDescent="0.25">
      <c r="A131" t="s">
        <v>558</v>
      </c>
      <c r="B131" t="s">
        <v>315</v>
      </c>
      <c r="C131" t="s">
        <v>128</v>
      </c>
      <c r="D131" t="str">
        <f>IF(LEFT(Table7[[#This Row],[Opponent]],1)="@","Away","Home")</f>
        <v>Away</v>
      </c>
      <c r="E131">
        <f>_xlfn.NUMBERVALUE(MID(LEFT(Table7[[#This Row],[Score]],FIND("-",Table7[[#This Row],[Score]])-1),FIND(" ",Table7[[#This Row],[Score]])+1,LEN(Table7[[#This Row],[Score]])))</f>
        <v>6</v>
      </c>
      <c r="F131">
        <f>_xlfn.NUMBERVALUE(RIGHT(Table7[[#This Row],[Score]],LEN(Table7[[#This Row],[Score]])-FIND("-",Table7[[#This Row],[Score]])))</f>
        <v>5</v>
      </c>
      <c r="G131">
        <f t="shared" si="19"/>
        <v>11</v>
      </c>
      <c r="H131" t="str">
        <f>LEFT(Table7[[#This Row],[Score]],1)</f>
        <v>W</v>
      </c>
      <c r="I131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131" s="33">
        <f>VLOOKUP(Table7[[#This Row],[OPP]],Raw!$L$2:$S$23,7,FALSE)-Raw!$U$2</f>
        <v>0.13556883576803896</v>
      </c>
    </row>
    <row r="132" spans="1:10" x14ac:dyDescent="0.25">
      <c r="A132" t="s">
        <v>563</v>
      </c>
      <c r="B132" t="s">
        <v>333</v>
      </c>
      <c r="C132" t="s">
        <v>335</v>
      </c>
      <c r="D132" t="str">
        <f>IF(LEFT(Table7[[#This Row],[Opponent]],1)="@","Away","Home")</f>
        <v>Home</v>
      </c>
      <c r="E132">
        <f>_xlfn.NUMBERVALUE(MID(LEFT(Table7[[#This Row],[Score]],FIND("-",Table7[[#This Row],[Score]])-1),FIND(" ",Table7[[#This Row],[Score]])+1,LEN(Table7[[#This Row],[Score]])))</f>
        <v>6</v>
      </c>
      <c r="F132">
        <f>_xlfn.NUMBERVALUE(RIGHT(Table7[[#This Row],[Score]],LEN(Table7[[#This Row],[Score]])-FIND("-",Table7[[#This Row],[Score]])))</f>
        <v>4</v>
      </c>
      <c r="G132">
        <f>E132+F132</f>
        <v>10</v>
      </c>
      <c r="H132" t="str">
        <f>LEFT(Table7[[#This Row],[Score]],1)</f>
        <v>W</v>
      </c>
      <c r="I132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132" s="33">
        <f>VLOOKUP(Table7[[#This Row],[OPP]],Raw!$L$2:$S$23,7,FALSE)-Raw!$U$2</f>
        <v>0.7572433271608402</v>
      </c>
    </row>
    <row r="133" spans="1:10" x14ac:dyDescent="0.25">
      <c r="A133" t="s">
        <v>564</v>
      </c>
      <c r="B133" t="s">
        <v>333</v>
      </c>
      <c r="C133" t="s">
        <v>255</v>
      </c>
      <c r="D133" t="str">
        <f>IF(LEFT(Table7[[#This Row],[Opponent]],1)="@","Away","Home")</f>
        <v>Home</v>
      </c>
      <c r="E133">
        <f>_xlfn.NUMBERVALUE(MID(LEFT(Table7[[#This Row],[Score]],FIND("-",Table7[[#This Row],[Score]])-1),FIND(" ",Table7[[#This Row],[Score]])+1,LEN(Table7[[#This Row],[Score]])))</f>
        <v>4</v>
      </c>
      <c r="F133">
        <f>_xlfn.NUMBERVALUE(RIGHT(Table7[[#This Row],[Score]],LEN(Table7[[#This Row],[Score]])-FIND("-",Table7[[#This Row],[Score]])))</f>
        <v>10</v>
      </c>
      <c r="G133">
        <f t="shared" ref="G133:G136" si="20">E133+F133</f>
        <v>14</v>
      </c>
      <c r="H133" t="str">
        <f>LEFT(Table7[[#This Row],[Score]],1)</f>
        <v>L</v>
      </c>
      <c r="I133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133" s="33">
        <f>VLOOKUP(Table7[[#This Row],[OPP]],Raw!$L$2:$S$23,7,FALSE)-Raw!$U$2</f>
        <v>0.7572433271608402</v>
      </c>
    </row>
    <row r="134" spans="1:10" x14ac:dyDescent="0.25">
      <c r="A134" t="s">
        <v>565</v>
      </c>
      <c r="B134" t="s">
        <v>124</v>
      </c>
      <c r="C134" t="s">
        <v>240</v>
      </c>
      <c r="D134" t="str">
        <f>IF(LEFT(Table7[[#This Row],[Opponent]],1)="@","Away","Home")</f>
        <v>Away</v>
      </c>
      <c r="E134">
        <f>_xlfn.NUMBERVALUE(MID(LEFT(Table7[[#This Row],[Score]],FIND("-",Table7[[#This Row],[Score]])-1),FIND(" ",Table7[[#This Row],[Score]])+1,LEN(Table7[[#This Row],[Score]])))</f>
        <v>1</v>
      </c>
      <c r="F134">
        <f>_xlfn.NUMBERVALUE(RIGHT(Table7[[#This Row],[Score]],LEN(Table7[[#This Row],[Score]])-FIND("-",Table7[[#This Row],[Score]])))</f>
        <v>3</v>
      </c>
      <c r="G134">
        <f t="shared" si="20"/>
        <v>4</v>
      </c>
      <c r="H134" t="str">
        <f>LEFT(Table7[[#This Row],[Score]],1)</f>
        <v>L</v>
      </c>
      <c r="I134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134" s="33">
        <f>VLOOKUP(Table7[[#This Row],[OPP]],Raw!$L$2:$S$23,7,FALSE)-Raw!$U$2</f>
        <v>2.7744577246569277</v>
      </c>
    </row>
    <row r="135" spans="1:10" x14ac:dyDescent="0.25">
      <c r="A135" t="s">
        <v>566</v>
      </c>
      <c r="B135" t="s">
        <v>103</v>
      </c>
      <c r="C135" t="s">
        <v>393</v>
      </c>
      <c r="D135" t="str">
        <f>IF(LEFT(Table7[[#This Row],[Opponent]],1)="@","Away","Home")</f>
        <v>Home</v>
      </c>
      <c r="E135">
        <f>_xlfn.NUMBERVALUE(MID(LEFT(Table7[[#This Row],[Score]],FIND("-",Table7[[#This Row],[Score]])-1),FIND(" ",Table7[[#This Row],[Score]])+1,LEN(Table7[[#This Row],[Score]])))</f>
        <v>3</v>
      </c>
      <c r="F135">
        <f>_xlfn.NUMBERVALUE(RIGHT(Table7[[#This Row],[Score]],LEN(Table7[[#This Row],[Score]])-FIND("-",Table7[[#This Row],[Score]])))</f>
        <v>11</v>
      </c>
      <c r="G135">
        <f t="shared" si="20"/>
        <v>14</v>
      </c>
      <c r="H135" t="str">
        <f>LEFT(Table7[[#This Row],[Score]],1)</f>
        <v>L</v>
      </c>
      <c r="I135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135" s="33">
        <f>VLOOKUP(Table7[[#This Row],[OPP]],Raw!$L$2:$S$23,7,FALSE)-Raw!$U$2</f>
        <v>2.7744577246569277</v>
      </c>
    </row>
    <row r="136" spans="1:10" x14ac:dyDescent="0.25">
      <c r="A136" t="s">
        <v>568</v>
      </c>
      <c r="B136" t="s">
        <v>23</v>
      </c>
      <c r="C136" t="s">
        <v>240</v>
      </c>
      <c r="D136" t="str">
        <f>IF(LEFT(Table7[[#This Row],[Opponent]],1)="@","Away","Home")</f>
        <v>Home</v>
      </c>
      <c r="E136">
        <f>_xlfn.NUMBERVALUE(MID(LEFT(Table7[[#This Row],[Score]],FIND("-",Table7[[#This Row],[Score]])-1),FIND(" ",Table7[[#This Row],[Score]])+1,LEN(Table7[[#This Row],[Score]])))</f>
        <v>1</v>
      </c>
      <c r="F136">
        <f>_xlfn.NUMBERVALUE(RIGHT(Table7[[#This Row],[Score]],LEN(Table7[[#This Row],[Score]])-FIND("-",Table7[[#This Row],[Score]])))</f>
        <v>3</v>
      </c>
      <c r="G136">
        <f t="shared" si="20"/>
        <v>4</v>
      </c>
      <c r="H136" t="str">
        <f>LEFT(Table7[[#This Row],[Score]],1)</f>
        <v>L</v>
      </c>
      <c r="I136" s="17" t="str">
        <f>VLOOKUP(IF(Table7[[#This Row],[At]]="Home",Table7[[#This Row],[Opponent]],RIGHT(Table7[[#This Row],[Opponent]],LEN(Table7[[#This Row],[Opponent]])-1)),CHOOSE({1,2},[1]StandingsRAW!$J$1:$J$22,[1]StandingsRAW!$L$1:$L$22),2,FALSE)</f>
        <v>TVC</v>
      </c>
      <c r="J136" s="33">
        <f>VLOOKUP(Table7[[#This Row],[OPP]],Raw!$L$2:$S$23,7,FALSE)-Raw!$U$2</f>
        <v>1.4411243913235945</v>
      </c>
    </row>
    <row r="137" spans="1:10" x14ac:dyDescent="0.25">
      <c r="A137" t="s">
        <v>589</v>
      </c>
      <c r="B137" t="s">
        <v>23</v>
      </c>
      <c r="C137" t="s">
        <v>386</v>
      </c>
      <c r="D137" t="str">
        <f>IF(LEFT(Table7[[#This Row],[Opponent]],1)="@","Away","Home")</f>
        <v>Home</v>
      </c>
      <c r="E137">
        <f>_xlfn.NUMBERVALUE(MID(LEFT(Table7[[#This Row],[Score]],FIND("-",Table7[[#This Row],[Score]])-1),FIND(" ",Table7[[#This Row],[Score]])+1,LEN(Table7[[#This Row],[Score]])))</f>
        <v>8</v>
      </c>
      <c r="F137">
        <f>_xlfn.NUMBERVALUE(RIGHT(Table7[[#This Row],[Score]],LEN(Table7[[#This Row],[Score]])-FIND("-",Table7[[#This Row],[Score]])))</f>
        <v>12</v>
      </c>
      <c r="G137">
        <f>E137+F137</f>
        <v>20</v>
      </c>
      <c r="H137" t="str">
        <f>LEFT(Table7[[#This Row],[Score]],1)</f>
        <v>L</v>
      </c>
      <c r="I137" s="17" t="str">
        <f>VLOOKUP(IF(Table7[[#This Row],[At]]="Home",Table7[[#This Row],[Opponent]],RIGHT(Table7[[#This Row],[Opponent]],LEN(Table7[[#This Row],[Opponent]])-1)),CHOOSE({1,2},[1]StandingsRAW!$J$1:$J$22,[1]StandingsRAW!$L$1:$L$22),2,FALSE)</f>
        <v>TVC</v>
      </c>
      <c r="J137" s="33">
        <f>VLOOKUP(Table7[[#This Row],[OPP]],Raw!$L$2:$S$23,7,FALSE)-Raw!$U$2</f>
        <v>1.4411243913235945</v>
      </c>
    </row>
    <row r="138" spans="1:10" x14ac:dyDescent="0.25">
      <c r="A138" t="s">
        <v>592</v>
      </c>
      <c r="B138" t="s">
        <v>333</v>
      </c>
      <c r="C138" t="s">
        <v>61</v>
      </c>
      <c r="D138" t="str">
        <f>IF(LEFT(Table7[[#This Row],[Opponent]],1)="@","Away","Home")</f>
        <v>Home</v>
      </c>
      <c r="E138">
        <f>_xlfn.NUMBERVALUE(MID(LEFT(Table7[[#This Row],[Score]],FIND("-",Table7[[#This Row],[Score]])-1),FIND(" ",Table7[[#This Row],[Score]])+1,LEN(Table7[[#This Row],[Score]])))</f>
        <v>7</v>
      </c>
      <c r="F138">
        <f>_xlfn.NUMBERVALUE(RIGHT(Table7[[#This Row],[Score]],LEN(Table7[[#This Row],[Score]])-FIND("-",Table7[[#This Row],[Score]])))</f>
        <v>3</v>
      </c>
      <c r="G138">
        <f>E138+F138</f>
        <v>10</v>
      </c>
      <c r="H138" t="str">
        <f>LEFT(Table7[[#This Row],[Score]],1)</f>
        <v>W</v>
      </c>
      <c r="I138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138" s="33">
        <f>VLOOKUP(Table7[[#This Row],[OPP]],Raw!$L$2:$S$23,7,FALSE)-Raw!$U$2</f>
        <v>0.7572433271608402</v>
      </c>
    </row>
    <row r="139" spans="1:10" x14ac:dyDescent="0.25">
      <c r="A139" t="s">
        <v>595</v>
      </c>
      <c r="B139" t="s">
        <v>332</v>
      </c>
      <c r="C139" t="s">
        <v>597</v>
      </c>
      <c r="D139" t="str">
        <f>IF(LEFT(Table7[[#This Row],[Opponent]],1)="@","Away","Home")</f>
        <v>Away</v>
      </c>
      <c r="E139">
        <f>_xlfn.NUMBERVALUE(MID(LEFT(Table7[[#This Row],[Score]],FIND("-",Table7[[#This Row],[Score]])-1),FIND(" ",Table7[[#This Row],[Score]])+1,LEN(Table7[[#This Row],[Score]])))</f>
        <v>4</v>
      </c>
      <c r="F139">
        <f>_xlfn.NUMBERVALUE(RIGHT(Table7[[#This Row],[Score]],LEN(Table7[[#This Row],[Score]])-FIND("-",Table7[[#This Row],[Score]])))</f>
        <v>19</v>
      </c>
      <c r="G139">
        <f>E139+F139</f>
        <v>23</v>
      </c>
      <c r="H139" t="str">
        <f>LEFT(Table7[[#This Row],[Score]],1)</f>
        <v>L</v>
      </c>
      <c r="I139" s="17" t="str">
        <f>VLOOKUP(IF(Table7[[#This Row],[At]]="Home",Table7[[#This Row],[Opponent]],RIGHT(Table7[[#This Row],[Opponent]],LEN(Table7[[#This Row],[Opponent]])-1)),CHOOSE({1,2},[1]StandingsRAW!$J$1:$J$22,[1]StandingsRAW!$L$1:$L$22),2,FALSE)</f>
        <v>FDL</v>
      </c>
      <c r="J139" s="33">
        <f>VLOOKUP(Table7[[#This Row],[OPP]],Raw!$L$2:$S$23,7,FALSE)-Raw!$U$2</f>
        <v>0.7572433271608402</v>
      </c>
    </row>
    <row r="140" spans="1:10" x14ac:dyDescent="0.25">
      <c r="A140" t="s">
        <v>598</v>
      </c>
      <c r="B140" t="s">
        <v>124</v>
      </c>
      <c r="C140" t="s">
        <v>264</v>
      </c>
      <c r="D140" t="str">
        <f>IF(LEFT(Table7[[#This Row],[Opponent]],1)="@","Away","Home")</f>
        <v>Away</v>
      </c>
      <c r="E140">
        <f>_xlfn.NUMBERVALUE(MID(LEFT(Table7[[#This Row],[Score]],FIND("-",Table7[[#This Row],[Score]])-1),FIND(" ",Table7[[#This Row],[Score]])+1,LEN(Table7[[#This Row],[Score]])))</f>
        <v>6</v>
      </c>
      <c r="F140">
        <f>_xlfn.NUMBERVALUE(RIGHT(Table7[[#This Row],[Score]],LEN(Table7[[#This Row],[Score]])-FIND("-",Table7[[#This Row],[Score]])))</f>
        <v>2</v>
      </c>
      <c r="G140">
        <f>E140+F140</f>
        <v>8</v>
      </c>
      <c r="H140" t="str">
        <f>LEFT(Table7[[#This Row],[Score]],1)</f>
        <v>W</v>
      </c>
      <c r="I140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140" s="33">
        <f>VLOOKUP(Table7[[#This Row],[OPP]],Raw!$L$2:$S$23,7,FALSE)-Raw!$U$2</f>
        <v>2.7744577246569277</v>
      </c>
    </row>
    <row r="141" spans="1:10" x14ac:dyDescent="0.25">
      <c r="A141" t="s">
        <v>599</v>
      </c>
      <c r="B141" t="s">
        <v>124</v>
      </c>
      <c r="C141" t="s">
        <v>26</v>
      </c>
      <c r="D141" t="str">
        <f>IF(LEFT(Table7[[#This Row],[Opponent]],1)="@","Away","Home")</f>
        <v>Away</v>
      </c>
      <c r="E141">
        <f>_xlfn.NUMBERVALUE(MID(LEFT(Table7[[#This Row],[Score]],FIND("-",Table7[[#This Row],[Score]])-1),FIND(" ",Table7[[#This Row],[Score]])+1,LEN(Table7[[#This Row],[Score]])))</f>
        <v>10</v>
      </c>
      <c r="F141">
        <f>_xlfn.NUMBERVALUE(RIGHT(Table7[[#This Row],[Score]],LEN(Table7[[#This Row],[Score]])-FIND("-",Table7[[#This Row],[Score]])))</f>
        <v>6</v>
      </c>
      <c r="G141">
        <f>E141+F141</f>
        <v>16</v>
      </c>
      <c r="H141" t="str">
        <f>LEFT(Table7[[#This Row],[Score]],1)</f>
        <v>W</v>
      </c>
      <c r="I141" s="17" t="str">
        <f>VLOOKUP(IF(Table7[[#This Row],[At]]="Home",Table7[[#This Row],[Opponent]],RIGHT(Table7[[#This Row],[Opponent]],LEN(Table7[[#This Row],[Opponent]])-1)),CHOOSE({1,2},[1]StandingsRAW!$J$1:$J$22,[1]StandingsRAW!$L$1:$L$22),2,FALSE)</f>
        <v>WIR</v>
      </c>
      <c r="J141" s="33">
        <f>VLOOKUP(Table7[[#This Row],[OPP]],Raw!$L$2:$S$23,7,FALSE)-Raw!$U$2</f>
        <v>2.7744577246569277</v>
      </c>
    </row>
    <row r="142" spans="1:10" x14ac:dyDescent="0.25">
      <c r="A142" t="s">
        <v>600</v>
      </c>
      <c r="B142" t="s">
        <v>321</v>
      </c>
      <c r="C142" t="s">
        <v>254</v>
      </c>
      <c r="D142" t="str">
        <f>IF(LEFT(Table7[[#This Row],[Opponent]],1)="@","Away","Home")</f>
        <v>Home</v>
      </c>
      <c r="E142">
        <f>_xlfn.NUMBERVALUE(MID(LEFT(Table7[[#This Row],[Score]],FIND("-",Table7[[#This Row],[Score]])-1),FIND(" ",Table7[[#This Row],[Score]])+1,LEN(Table7[[#This Row],[Score]])))</f>
        <v>5</v>
      </c>
      <c r="F142">
        <f>_xlfn.NUMBERVALUE(RIGHT(Table7[[#This Row],[Score]],LEN(Table7[[#This Row],[Score]])-FIND("-",Table7[[#This Row],[Score]])))</f>
        <v>4</v>
      </c>
      <c r="G142">
        <f t="shared" ref="G142:G145" si="21">E142+F142</f>
        <v>9</v>
      </c>
      <c r="H142" t="str">
        <f>LEFT(Table7[[#This Row],[Score]],1)</f>
        <v>W</v>
      </c>
      <c r="I142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142" s="33">
        <f>VLOOKUP(Table7[[#This Row],[OPP]],Raw!$L$2:$S$23,7,FALSE)-Raw!$U$2</f>
        <v>-1.5172089420097388</v>
      </c>
    </row>
    <row r="143" spans="1:10" x14ac:dyDescent="0.25">
      <c r="A143" t="s">
        <v>601</v>
      </c>
      <c r="B143" t="s">
        <v>321</v>
      </c>
      <c r="C143" t="s">
        <v>290</v>
      </c>
      <c r="D143" t="str">
        <f>IF(LEFT(Table7[[#This Row],[Opponent]],1)="@","Away","Home")</f>
        <v>Home</v>
      </c>
      <c r="E143">
        <f>_xlfn.NUMBERVALUE(MID(LEFT(Table7[[#This Row],[Score]],FIND("-",Table7[[#This Row],[Score]])-1),FIND(" ",Table7[[#This Row],[Score]])+1,LEN(Table7[[#This Row],[Score]])))</f>
        <v>5</v>
      </c>
      <c r="F143">
        <f>_xlfn.NUMBERVALUE(RIGHT(Table7[[#This Row],[Score]],LEN(Table7[[#This Row],[Score]])-FIND("-",Table7[[#This Row],[Score]])))</f>
        <v>0</v>
      </c>
      <c r="G143">
        <f t="shared" si="21"/>
        <v>5</v>
      </c>
      <c r="H143" t="str">
        <f>LEFT(Table7[[#This Row],[Score]],1)</f>
        <v>W</v>
      </c>
      <c r="I143" s="17" t="str">
        <f>VLOOKUP(IF(Table7[[#This Row],[At]]="Home",Table7[[#This Row],[Opponent]],RIGHT(Table7[[#This Row],[Opponent]],LEN(Table7[[#This Row],[Opponent]])-1)),CHOOSE({1,2},[1]StandingsRAW!$J$1:$J$22,[1]StandingsRAW!$L$1:$L$22),2,FALSE)</f>
        <v>MAD</v>
      </c>
      <c r="J143" s="33">
        <f>VLOOKUP(Table7[[#This Row],[OPP]],Raw!$L$2:$S$23,7,FALSE)-Raw!$U$2</f>
        <v>-1.5172089420097388</v>
      </c>
    </row>
    <row r="144" spans="1:10" x14ac:dyDescent="0.25">
      <c r="A144" t="s">
        <v>602</v>
      </c>
      <c r="B144" t="s">
        <v>74</v>
      </c>
      <c r="C144" t="s">
        <v>21</v>
      </c>
      <c r="D144" t="str">
        <f>IF(LEFT(Table7[[#This Row],[Opponent]],1)="@","Away","Home")</f>
        <v>Home</v>
      </c>
      <c r="E144">
        <f>_xlfn.NUMBERVALUE(MID(LEFT(Table7[[#This Row],[Score]],FIND("-",Table7[[#This Row],[Score]])-1),FIND(" ",Table7[[#This Row],[Score]])+1,LEN(Table7[[#This Row],[Score]])))</f>
        <v>6</v>
      </c>
      <c r="F144">
        <f>_xlfn.NUMBERVALUE(RIGHT(Table7[[#This Row],[Score]],LEN(Table7[[#This Row],[Score]])-FIND("-",Table7[[#This Row],[Score]])))</f>
        <v>1</v>
      </c>
      <c r="G144">
        <f t="shared" si="21"/>
        <v>7</v>
      </c>
      <c r="H144" t="str">
        <f>LEFT(Table7[[#This Row],[Score]],1)</f>
        <v>W</v>
      </c>
      <c r="I144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144" s="33">
        <f>VLOOKUP(Table7[[#This Row],[OPP]],Raw!$L$2:$S$23,7,FALSE)-Raw!$U$2</f>
        <v>0.17977853842844585</v>
      </c>
    </row>
    <row r="145" spans="1:10" x14ac:dyDescent="0.25">
      <c r="A145" t="s">
        <v>603</v>
      </c>
      <c r="B145" t="s">
        <v>74</v>
      </c>
      <c r="C145" t="s">
        <v>240</v>
      </c>
      <c r="D145" t="str">
        <f>IF(LEFT(Table7[[#This Row],[Opponent]],1)="@","Away","Home")</f>
        <v>Home</v>
      </c>
      <c r="E145">
        <f>_xlfn.NUMBERVALUE(MID(LEFT(Table7[[#This Row],[Score]],FIND("-",Table7[[#This Row],[Score]])-1),FIND(" ",Table7[[#This Row],[Score]])+1,LEN(Table7[[#This Row],[Score]])))</f>
        <v>1</v>
      </c>
      <c r="F145">
        <f>_xlfn.NUMBERVALUE(RIGHT(Table7[[#This Row],[Score]],LEN(Table7[[#This Row],[Score]])-FIND("-",Table7[[#This Row],[Score]])))</f>
        <v>3</v>
      </c>
      <c r="G145">
        <f t="shared" si="21"/>
        <v>4</v>
      </c>
      <c r="H145" t="str">
        <f>LEFT(Table7[[#This Row],[Score]],1)</f>
        <v>L</v>
      </c>
      <c r="I145" s="17" t="str">
        <f>VLOOKUP(IF(Table7[[#This Row],[At]]="Home",Table7[[#This Row],[Opponent]],RIGHT(Table7[[#This Row],[Opponent]],LEN(Table7[[#This Row],[Opponent]])-1)),CHOOSE({1,2},[1]StandingsRAW!$J$1:$J$22,[1]StandingsRAW!$L$1:$L$22),2,FALSE)</f>
        <v>WAU</v>
      </c>
      <c r="J145" s="33">
        <f>VLOOKUP(Table7[[#This Row],[OPP]],Raw!$L$2:$S$23,7,FALSE)-Raw!$U$2</f>
        <v>0.17977853842844585</v>
      </c>
    </row>
    <row r="146" spans="1:10" x14ac:dyDescent="0.25">
      <c r="A146" t="s">
        <v>608</v>
      </c>
      <c r="B146" t="s">
        <v>314</v>
      </c>
      <c r="C146" t="s">
        <v>244</v>
      </c>
      <c r="D146" t="str">
        <f>IF(LEFT(Table7[[#This Row],[Opponent]],1)="@","Away","Home")</f>
        <v>Home</v>
      </c>
      <c r="E146">
        <f>_xlfn.NUMBERVALUE(MID(LEFT(Table7[[#This Row],[Score]],FIND("-",Table7[[#This Row],[Score]])-1),FIND(" ",Table7[[#This Row],[Score]])+1,LEN(Table7[[#This Row],[Score]])))</f>
        <v>6</v>
      </c>
      <c r="F146">
        <f>_xlfn.NUMBERVALUE(RIGHT(Table7[[#This Row],[Score]],LEN(Table7[[#This Row],[Score]])-FIND("-",Table7[[#This Row],[Score]])))</f>
        <v>3</v>
      </c>
      <c r="G146">
        <f t="shared" ref="G146:G148" si="22">E146+F146</f>
        <v>9</v>
      </c>
      <c r="H146" t="str">
        <f>LEFT(Table7[[#This Row],[Score]],1)</f>
        <v>W</v>
      </c>
      <c r="I146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146" s="33">
        <f>VLOOKUP(Table7[[#This Row],[OPP]],Raw!$L$2:$S$23,7,FALSE)-Raw!$U$2</f>
        <v>0.13556883576803896</v>
      </c>
    </row>
    <row r="147" spans="1:10" x14ac:dyDescent="0.25">
      <c r="A147" t="s">
        <v>609</v>
      </c>
      <c r="B147" t="s">
        <v>315</v>
      </c>
      <c r="C147" t="s">
        <v>397</v>
      </c>
      <c r="D147" t="str">
        <f>IF(LEFT(Table7[[#This Row],[Opponent]],1)="@","Away","Home")</f>
        <v>Away</v>
      </c>
      <c r="E147">
        <f>_xlfn.NUMBERVALUE(MID(LEFT(Table7[[#This Row],[Score]],FIND("-",Table7[[#This Row],[Score]])-1),FIND(" ",Table7[[#This Row],[Score]])+1,LEN(Table7[[#This Row],[Score]])))</f>
        <v>8</v>
      </c>
      <c r="F147">
        <f>_xlfn.NUMBERVALUE(RIGHT(Table7[[#This Row],[Score]],LEN(Table7[[#This Row],[Score]])-FIND("-",Table7[[#This Row],[Score]])))</f>
        <v>14</v>
      </c>
      <c r="G147">
        <f t="shared" si="22"/>
        <v>22</v>
      </c>
      <c r="H147" t="str">
        <f>LEFT(Table7[[#This Row],[Score]],1)</f>
        <v>L</v>
      </c>
      <c r="I147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147" s="33">
        <f>VLOOKUP(Table7[[#This Row],[OPP]],Raw!$L$2:$S$23,7,FALSE)-Raw!$U$2</f>
        <v>0.13556883576803896</v>
      </c>
    </row>
    <row r="148" spans="1:10" x14ac:dyDescent="0.25">
      <c r="A148" t="s">
        <v>609</v>
      </c>
      <c r="B148" t="s">
        <v>315</v>
      </c>
      <c r="C148" t="s">
        <v>36</v>
      </c>
      <c r="D148" t="str">
        <f>IF(LEFT(Table7[[#This Row],[Opponent]],1)="@","Away","Home")</f>
        <v>Away</v>
      </c>
      <c r="E148">
        <f>_xlfn.NUMBERVALUE(MID(LEFT(Table7[[#This Row],[Score]],FIND("-",Table7[[#This Row],[Score]])-1),FIND(" ",Table7[[#This Row],[Score]])+1,LEN(Table7[[#This Row],[Score]])))</f>
        <v>1</v>
      </c>
      <c r="F148">
        <f>_xlfn.NUMBERVALUE(RIGHT(Table7[[#This Row],[Score]],LEN(Table7[[#This Row],[Score]])-FIND("-",Table7[[#This Row],[Score]])))</f>
        <v>5</v>
      </c>
      <c r="G148">
        <f t="shared" si="22"/>
        <v>6</v>
      </c>
      <c r="H148" t="str">
        <f>LEFT(Table7[[#This Row],[Score]],1)</f>
        <v>L</v>
      </c>
      <c r="I148" s="17" t="str">
        <f>VLOOKUP(IF(Table7[[#This Row],[At]]="Home",Table7[[#This Row],[Opponent]],RIGHT(Table7[[#This Row],[Opponent]],LEN(Table7[[#This Row],[Opponent]])-1)),CHOOSE({1,2},[1]StandingsRAW!$J$1:$J$22,[1]StandingsRAW!$L$1:$L$22),2,FALSE)</f>
        <v>LAK</v>
      </c>
      <c r="J148" s="33">
        <f>VLOOKUP(Table7[[#This Row],[OPP]],Raw!$L$2:$S$23,7,FALSE)-Raw!$U$2</f>
        <v>0.13556883576803896</v>
      </c>
    </row>
  </sheetData>
  <conditionalFormatting sqref="L17">
    <cfRule type="cellIs" dxfId="84" priority="4" operator="greaterThan">
      <formula>100</formula>
    </cfRule>
    <cfRule type="cellIs" dxfId="83" priority="5" operator="lessThan">
      <formula>100</formula>
    </cfRule>
  </conditionalFormatting>
  <conditionalFormatting sqref="L18">
    <cfRule type="cellIs" dxfId="82" priority="2" operator="greaterThan">
      <formula>100</formula>
    </cfRule>
    <cfRule type="cellIs" dxfId="81" priority="3" operator="lessThan">
      <formula>100</formula>
    </cfRule>
  </conditionalFormatting>
  <conditionalFormatting sqref="L17:L18">
    <cfRule type="cellIs" dxfId="80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5B65-1025-4546-B1E2-181130F4034D}">
  <sheetPr codeName="Sheet9"/>
  <dimension ref="A1:P147"/>
  <sheetViews>
    <sheetView topLeftCell="A74" workbookViewId="0">
      <selection activeCell="A77" sqref="A77"/>
    </sheetView>
  </sheetViews>
  <sheetFormatPr defaultRowHeight="15" x14ac:dyDescent="0.25"/>
  <cols>
    <col min="2" max="2" width="12.140625" customWidth="1"/>
    <col min="6" max="6" width="10.5703125" customWidth="1"/>
    <col min="11" max="11" width="9.140625" style="4"/>
    <col min="12" max="12" width="9.140625" style="1"/>
  </cols>
  <sheetData>
    <row r="1" spans="1:16" x14ac:dyDescent="0.25">
      <c r="A1" t="s">
        <v>344</v>
      </c>
    </row>
    <row r="2" spans="1:16" x14ac:dyDescent="0.25">
      <c r="A2" t="s">
        <v>1</v>
      </c>
      <c r="B2" t="s">
        <v>2</v>
      </c>
      <c r="C2" t="s">
        <v>3</v>
      </c>
      <c r="E2" s="4" t="s">
        <v>135</v>
      </c>
      <c r="F2" s="4" t="s">
        <v>136</v>
      </c>
      <c r="G2" s="4" t="s">
        <v>137</v>
      </c>
      <c r="H2" s="4" t="s">
        <v>138</v>
      </c>
      <c r="I2" s="4" t="s">
        <v>3</v>
      </c>
      <c r="L2" s="4" t="s">
        <v>136</v>
      </c>
      <c r="M2" s="4" t="s">
        <v>137</v>
      </c>
      <c r="N2" s="4" t="s">
        <v>138</v>
      </c>
      <c r="O2" s="4" t="s">
        <v>141</v>
      </c>
      <c r="P2" s="4" t="s">
        <v>142</v>
      </c>
    </row>
    <row r="3" spans="1:16" x14ac:dyDescent="0.25">
      <c r="A3" t="s">
        <v>4</v>
      </c>
      <c r="B3" t="s">
        <v>20</v>
      </c>
      <c r="C3" t="s">
        <v>89</v>
      </c>
      <c r="E3" s="1" t="str">
        <f>IF(LEFT(B3,1)="@","Away","Home")</f>
        <v>Home</v>
      </c>
      <c r="F3" s="3">
        <f>_xlfn.NUMBERVALUE(MID(LEFT(C3,FIND("-",C3)-1),FIND(" ",C3)+1,LEN(C3)))</f>
        <v>1</v>
      </c>
      <c r="G3" s="3">
        <f>_xlfn.NUMBERVALUE(RIGHT(C3,LEN(C3)-FIND("-",C3)))</f>
        <v>6</v>
      </c>
      <c r="H3" s="3">
        <f t="shared" ref="H3:H66" si="0">F3+G3</f>
        <v>7</v>
      </c>
      <c r="I3" s="3" t="str">
        <f>LEFT(C3,1)</f>
        <v>L</v>
      </c>
      <c r="K3" s="4" t="s">
        <v>139</v>
      </c>
      <c r="L3" s="5">
        <f>(SUMIF($E$3:$E$74,$K3,F$3:F$74) + SUMIF(Table8[At],$K3,Table8[Scored]))/(COUNTIF($E$3:$E$74,$K3) + COUNTIF(Table8[At],$K3))</f>
        <v>6.5555555555555554</v>
      </c>
      <c r="M3" s="5">
        <f>(SUMIF($E$3:$E$74,$K3,G$3:G$74) + SUMIF(Table8[At],$K3,Table8[Allowed]))/(COUNTIF($E$3:$E$74,$K3) + COUNTIF(Table8[At],$K3))</f>
        <v>6.0555555555555554</v>
      </c>
      <c r="N3" s="5">
        <f>L3+M3</f>
        <v>12.611111111111111</v>
      </c>
      <c r="O3" s="5">
        <f>(COUNTIFS($E$3:$E$74,$K3,$I$3:$I$74,O$2) + COUNTIFS(Table8[At],$K3,Table8[Result],O$2))/(COUNTIF($E$3:$E$74,$K3) + COUNTIF(Table8[At],$K3))</f>
        <v>0.55555555555555558</v>
      </c>
      <c r="P3" s="5">
        <f>(COUNTIFS($E$3:$E$74,$K3,$I$3:$I$74,P$2) + COUNTIFS(Table8[At],$K3,Table8[Result],P$2))/(COUNTIF($E$3:$E$74,$K3) + COUNTIF(Table8[At],$K3))</f>
        <v>0.44444444444444442</v>
      </c>
    </row>
    <row r="4" spans="1:16" x14ac:dyDescent="0.25">
      <c r="A4" t="s">
        <v>7</v>
      </c>
      <c r="B4" t="s">
        <v>58</v>
      </c>
      <c r="C4" t="s">
        <v>345</v>
      </c>
      <c r="E4" s="1" t="str">
        <f t="shared" ref="E4:E67" si="1">IF(LEFT(B4,1)="@","Away","Home")</f>
        <v>Away</v>
      </c>
      <c r="F4" s="3">
        <f t="shared" ref="F4:F67" si="2">_xlfn.NUMBERVALUE(MID(LEFT(C4,FIND("-",C4)-1),FIND(" ",C4)+1,LEN(C4)))</f>
        <v>16</v>
      </c>
      <c r="G4" s="3">
        <f t="shared" ref="G4:G67" si="3">_xlfn.NUMBERVALUE(RIGHT(C4,LEN(C4)-FIND("-",C4)))</f>
        <v>3</v>
      </c>
      <c r="H4" s="3">
        <f t="shared" si="0"/>
        <v>19</v>
      </c>
      <c r="I4" s="3" t="str">
        <f t="shared" ref="I4:I67" si="4">LEFT(C4,1)</f>
        <v>W</v>
      </c>
      <c r="K4" s="4" t="s">
        <v>140</v>
      </c>
      <c r="L4" s="5">
        <f>(SUMIF($E$3:$E$74,$K4,F$3:F$74) + SUMIF(Table8[At],$K4,Table8[Scored]))/(COUNTIF($E$3:$E$74,$K4) + COUNTIF(Table8[At],$K4))</f>
        <v>5.464788732394366</v>
      </c>
      <c r="M4" s="5">
        <f>(SUMIF($E$3:$E$74,$K4,G$3:G$74) + SUMIF(Table8[At],$K4,Table8[Allowed]))/(COUNTIF($E$3:$E$74,$K4) + COUNTIF(Table8[At],$K4))</f>
        <v>5.323943661971831</v>
      </c>
      <c r="N4" s="5">
        <f>L4+M4</f>
        <v>10.788732394366196</v>
      </c>
      <c r="O4" s="5">
        <f>(COUNTIFS($E$3:$E$74,$K4,$I$3:$I$74,O$2) + COUNTIFS(Table8[At],$K4,Table8[Result],O$2))/(COUNTIF($E$3:$E$74,$K4) + COUNTIF(Table8[At],$K4))</f>
        <v>0.45070422535211269</v>
      </c>
      <c r="P4" s="5">
        <f>(COUNTIFS($E$3:$E$74,$K4,$I$3:$I$74,P$2) + COUNTIFS(Table8[At],$K4,Table8[Result],P$2))/(COUNTIF($E$3:$E$74,$K4) + COUNTIF(Table8[At],$K4))</f>
        <v>0.54929577464788737</v>
      </c>
    </row>
    <row r="5" spans="1:16" x14ac:dyDescent="0.25">
      <c r="A5" t="s">
        <v>9</v>
      </c>
      <c r="B5" t="s">
        <v>17</v>
      </c>
      <c r="C5" t="s">
        <v>15</v>
      </c>
      <c r="E5" s="1" t="str">
        <f t="shared" si="1"/>
        <v>Away</v>
      </c>
      <c r="F5" s="3">
        <f t="shared" si="2"/>
        <v>3</v>
      </c>
      <c r="G5" s="3">
        <f t="shared" si="3"/>
        <v>1</v>
      </c>
      <c r="H5" s="3">
        <f t="shared" si="0"/>
        <v>4</v>
      </c>
      <c r="I5" s="3" t="str">
        <f t="shared" si="4"/>
        <v>W</v>
      </c>
    </row>
    <row r="6" spans="1:16" x14ac:dyDescent="0.25">
      <c r="A6" t="s">
        <v>12</v>
      </c>
      <c r="B6" t="s">
        <v>17</v>
      </c>
      <c r="C6" t="s">
        <v>267</v>
      </c>
      <c r="E6" s="1" t="str">
        <f t="shared" si="1"/>
        <v>Away</v>
      </c>
      <c r="F6" s="3">
        <f t="shared" si="2"/>
        <v>8</v>
      </c>
      <c r="G6" s="3">
        <f t="shared" si="3"/>
        <v>7</v>
      </c>
      <c r="H6" s="3">
        <f t="shared" si="0"/>
        <v>15</v>
      </c>
      <c r="I6" s="3" t="str">
        <f t="shared" si="4"/>
        <v>W</v>
      </c>
      <c r="K6" s="4" t="s">
        <v>144</v>
      </c>
      <c r="L6" s="5">
        <f>N3/N4</f>
        <v>1.1689149985494633</v>
      </c>
      <c r="O6" s="4" t="s">
        <v>178</v>
      </c>
      <c r="P6" s="1" t="s">
        <v>179</v>
      </c>
    </row>
    <row r="7" spans="1:16" x14ac:dyDescent="0.25">
      <c r="A7" t="s">
        <v>14</v>
      </c>
      <c r="B7" t="s">
        <v>23</v>
      </c>
      <c r="C7" t="s">
        <v>228</v>
      </c>
      <c r="E7" s="1" t="str">
        <f t="shared" si="1"/>
        <v>Home</v>
      </c>
      <c r="F7" s="3">
        <f t="shared" si="2"/>
        <v>10</v>
      </c>
      <c r="G7" s="3">
        <f t="shared" si="3"/>
        <v>3</v>
      </c>
      <c r="H7" s="3">
        <f t="shared" si="0"/>
        <v>13</v>
      </c>
      <c r="I7" s="3" t="str">
        <f t="shared" si="4"/>
        <v>W</v>
      </c>
      <c r="K7" s="7" t="s">
        <v>143</v>
      </c>
      <c r="L7" s="5">
        <f>(18.5 - O3)/(18.5-P4)</f>
        <v>0.99965127936881559</v>
      </c>
      <c r="O7" s="4" t="s">
        <v>147</v>
      </c>
      <c r="P7" s="1">
        <f>VLOOKUP($P$6,'Full League'!$L$4:$N$5,2,FALSE)</f>
        <v>12</v>
      </c>
    </row>
    <row r="8" spans="1:16" x14ac:dyDescent="0.25">
      <c r="A8" t="s">
        <v>16</v>
      </c>
      <c r="B8" t="s">
        <v>23</v>
      </c>
      <c r="C8" t="s">
        <v>346</v>
      </c>
      <c r="E8" s="1" t="str">
        <f t="shared" si="1"/>
        <v>Home</v>
      </c>
      <c r="F8" s="3">
        <f t="shared" si="2"/>
        <v>7</v>
      </c>
      <c r="G8" s="3">
        <f t="shared" si="3"/>
        <v>14</v>
      </c>
      <c r="H8" s="3">
        <f t="shared" si="0"/>
        <v>21</v>
      </c>
      <c r="I8" s="3" t="str">
        <f t="shared" si="4"/>
        <v>L</v>
      </c>
      <c r="K8" s="7" t="s">
        <v>146</v>
      </c>
      <c r="L8" s="5">
        <f>L6/L7</f>
        <v>1.1693227655223146</v>
      </c>
      <c r="O8" s="4" t="s">
        <v>151</v>
      </c>
      <c r="P8" s="2">
        <f>VLOOKUP($P$6,'Full League'!$L$4:$N$5,3,FALSE)</f>
        <v>11.435718440954043</v>
      </c>
    </row>
    <row r="9" spans="1:16" x14ac:dyDescent="0.25">
      <c r="A9" t="s">
        <v>19</v>
      </c>
      <c r="B9" t="s">
        <v>332</v>
      </c>
      <c r="C9" t="s">
        <v>24</v>
      </c>
      <c r="E9" s="1" t="str">
        <f t="shared" si="1"/>
        <v>Away</v>
      </c>
      <c r="F9" s="3">
        <f t="shared" si="2"/>
        <v>10</v>
      </c>
      <c r="G9" s="3">
        <f t="shared" si="3"/>
        <v>5</v>
      </c>
      <c r="H9" s="3">
        <f t="shared" si="0"/>
        <v>15</v>
      </c>
      <c r="I9" s="3" t="str">
        <f t="shared" si="4"/>
        <v>W</v>
      </c>
      <c r="K9" s="7" t="s">
        <v>145</v>
      </c>
      <c r="L9" s="5">
        <f>(P7)/(P7-1+L8)</f>
        <v>0.98608609790496848</v>
      </c>
      <c r="O9" s="4"/>
      <c r="P9" s="1"/>
    </row>
    <row r="10" spans="1:16" x14ac:dyDescent="0.25">
      <c r="A10" t="s">
        <v>193</v>
      </c>
      <c r="B10" t="s">
        <v>333</v>
      </c>
      <c r="C10" t="s">
        <v>205</v>
      </c>
      <c r="E10" s="1" t="str">
        <f t="shared" si="1"/>
        <v>Home</v>
      </c>
      <c r="F10" s="3">
        <f t="shared" si="2"/>
        <v>5</v>
      </c>
      <c r="G10" s="3">
        <f t="shared" si="3"/>
        <v>6</v>
      </c>
      <c r="H10" s="3">
        <f t="shared" si="0"/>
        <v>11</v>
      </c>
      <c r="I10" s="3" t="str">
        <f t="shared" si="4"/>
        <v>L</v>
      </c>
      <c r="K10" s="4" t="s">
        <v>149</v>
      </c>
      <c r="L10" s="5">
        <f>L8*L9</f>
        <v>1.1530529230453457</v>
      </c>
      <c r="O10" s="4"/>
      <c r="P10" s="1"/>
    </row>
    <row r="11" spans="1:16" x14ac:dyDescent="0.25">
      <c r="A11" t="s">
        <v>22</v>
      </c>
      <c r="B11" t="s">
        <v>321</v>
      </c>
      <c r="C11" t="s">
        <v>33</v>
      </c>
      <c r="E11" s="1" t="str">
        <f t="shared" si="1"/>
        <v>Home</v>
      </c>
      <c r="F11" s="3">
        <f t="shared" si="2"/>
        <v>7</v>
      </c>
      <c r="G11" s="3">
        <f t="shared" si="3"/>
        <v>4</v>
      </c>
      <c r="H11" s="3">
        <f t="shared" si="0"/>
        <v>11</v>
      </c>
      <c r="I11" s="3" t="str">
        <f t="shared" si="4"/>
        <v>W</v>
      </c>
      <c r="K11" s="4" t="s">
        <v>148</v>
      </c>
      <c r="L11" s="5">
        <f>1 - ((L10-1)/(P7-1))</f>
        <v>0.98608609790496859</v>
      </c>
      <c r="O11" s="4"/>
      <c r="P11" s="1"/>
    </row>
    <row r="12" spans="1:16" x14ac:dyDescent="0.25">
      <c r="A12" t="s">
        <v>196</v>
      </c>
      <c r="B12" t="s">
        <v>321</v>
      </c>
      <c r="C12" t="s">
        <v>56</v>
      </c>
      <c r="E12" s="1" t="str">
        <f t="shared" si="1"/>
        <v>Home</v>
      </c>
      <c r="F12" s="3">
        <f t="shared" si="2"/>
        <v>1</v>
      </c>
      <c r="G12" s="3">
        <f t="shared" si="3"/>
        <v>7</v>
      </c>
      <c r="H12" s="3">
        <f t="shared" si="0"/>
        <v>8</v>
      </c>
      <c r="I12" s="3" t="str">
        <f t="shared" si="4"/>
        <v>L</v>
      </c>
      <c r="K12" s="4" t="s">
        <v>150</v>
      </c>
      <c r="L12" s="5">
        <f>(($L4/$L11)+($L3/$L10)) * (1 + (L13-1)/($P7-1)) / $P8</f>
        <v>0.98177374832565278</v>
      </c>
      <c r="M12" s="5">
        <f t="shared" ref="M12:O12" si="5">(($L4/$L11)+($L3/$L10)) * (1 + (M13-1)/($P7-1)) / $P8</f>
        <v>0.97551016354809283</v>
      </c>
      <c r="N12" s="5">
        <f t="shared" si="5"/>
        <v>0.9754628300315098</v>
      </c>
      <c r="O12" s="8">
        <f t="shared" si="5"/>
        <v>0.97546247233509931</v>
      </c>
      <c r="P12" s="5"/>
    </row>
    <row r="13" spans="1:16" x14ac:dyDescent="0.25">
      <c r="A13" t="s">
        <v>25</v>
      </c>
      <c r="B13" t="s">
        <v>58</v>
      </c>
      <c r="C13" t="s">
        <v>205</v>
      </c>
      <c r="E13" s="1" t="str">
        <f t="shared" si="1"/>
        <v>Away</v>
      </c>
      <c r="F13" s="3">
        <f t="shared" si="2"/>
        <v>5</v>
      </c>
      <c r="G13" s="3">
        <f t="shared" si="3"/>
        <v>6</v>
      </c>
      <c r="H13" s="3">
        <f t="shared" si="0"/>
        <v>11</v>
      </c>
      <c r="I13" s="3" t="str">
        <f t="shared" si="4"/>
        <v>L</v>
      </c>
      <c r="K13" s="4" t="s">
        <v>182</v>
      </c>
      <c r="L13" s="5">
        <v>1</v>
      </c>
      <c r="M13" s="5">
        <f>(($M4/$L11)+($M3/$L10)) * (1 + (L12-1)/($P7-1)) / $P8</f>
        <v>0.92982147600639842</v>
      </c>
      <c r="N13" s="5">
        <f>(($M4/$L11)+($M3/$L10)) * (1 + (M12-1)/($P7-1)) / $P8</f>
        <v>0.92929114131034352</v>
      </c>
      <c r="O13" s="5">
        <f>(($M4/$L11)+($M3/$L10)) * (1 + (N12-1)/($P7-1)) / $P8</f>
        <v>0.92928713360436965</v>
      </c>
      <c r="P13" s="8">
        <f>(($M4/$L11)+($M3/$L10)) * (1 + (O12-1)/($P7-1)) / $P8</f>
        <v>0.92928710331838749</v>
      </c>
    </row>
    <row r="14" spans="1:16" x14ac:dyDescent="0.25">
      <c r="A14" t="s">
        <v>27</v>
      </c>
      <c r="B14" t="s">
        <v>20</v>
      </c>
      <c r="C14" t="s">
        <v>296</v>
      </c>
      <c r="E14" s="1" t="str">
        <f t="shared" si="1"/>
        <v>Home</v>
      </c>
      <c r="F14" s="3">
        <f t="shared" si="2"/>
        <v>3</v>
      </c>
      <c r="G14" s="3">
        <f t="shared" si="3"/>
        <v>10</v>
      </c>
      <c r="H14" s="3">
        <f t="shared" si="0"/>
        <v>13</v>
      </c>
      <c r="I14" s="3" t="str">
        <f t="shared" si="4"/>
        <v>L</v>
      </c>
      <c r="K14" s="4" t="s">
        <v>183</v>
      </c>
      <c r="L14" s="5">
        <f xml:space="preserve"> (L10+L11) / (2 * (1 + ((P13-1)/(P7-1))))</f>
        <v>1.0764896652458256</v>
      </c>
      <c r="N14" s="5"/>
    </row>
    <row r="15" spans="1:16" x14ac:dyDescent="0.25">
      <c r="A15" t="s">
        <v>29</v>
      </c>
      <c r="B15" t="s">
        <v>343</v>
      </c>
      <c r="C15" t="s">
        <v>347</v>
      </c>
      <c r="E15" s="1" t="str">
        <f t="shared" si="1"/>
        <v>Home</v>
      </c>
      <c r="F15" s="3">
        <f t="shared" si="2"/>
        <v>9</v>
      </c>
      <c r="G15" s="3">
        <f t="shared" si="3"/>
        <v>5</v>
      </c>
      <c r="H15" s="3">
        <f t="shared" si="0"/>
        <v>14</v>
      </c>
      <c r="I15" s="3" t="str">
        <f t="shared" si="4"/>
        <v>W</v>
      </c>
      <c r="K15" s="4" t="s">
        <v>184</v>
      </c>
      <c r="L15" s="5">
        <f xml:space="preserve"> (L10+L11) / (2 * (1 + ((O12-1)/(P7-1))))</f>
        <v>1.0719607164511213</v>
      </c>
    </row>
    <row r="16" spans="1:16" ht="15.75" thickBot="1" x14ac:dyDescent="0.3">
      <c r="A16" t="s">
        <v>32</v>
      </c>
      <c r="B16" t="s">
        <v>343</v>
      </c>
      <c r="C16" t="s">
        <v>83</v>
      </c>
      <c r="E16" s="1" t="str">
        <f t="shared" si="1"/>
        <v>Home</v>
      </c>
      <c r="F16" s="3">
        <f t="shared" si="2"/>
        <v>4</v>
      </c>
      <c r="G16" s="3">
        <f t="shared" si="3"/>
        <v>7</v>
      </c>
      <c r="H16" s="3">
        <f t="shared" si="0"/>
        <v>11</v>
      </c>
      <c r="I16" s="3" t="str">
        <f t="shared" si="4"/>
        <v>L</v>
      </c>
    </row>
    <row r="17" spans="1:14" x14ac:dyDescent="0.25">
      <c r="A17" t="s">
        <v>34</v>
      </c>
      <c r="B17" t="s">
        <v>5</v>
      </c>
      <c r="C17" t="s">
        <v>348</v>
      </c>
      <c r="E17" s="1" t="str">
        <f t="shared" si="1"/>
        <v>Home</v>
      </c>
      <c r="F17" s="3">
        <f t="shared" si="2"/>
        <v>13</v>
      </c>
      <c r="G17" s="3">
        <f t="shared" si="3"/>
        <v>11</v>
      </c>
      <c r="H17" s="3">
        <f t="shared" si="0"/>
        <v>24</v>
      </c>
      <c r="I17" s="3" t="str">
        <f t="shared" si="4"/>
        <v>W</v>
      </c>
      <c r="K17" s="9" t="s">
        <v>185</v>
      </c>
      <c r="L17" s="10">
        <f>L14*100</f>
        <v>107.64896652458256</v>
      </c>
    </row>
    <row r="18" spans="1:14" ht="15.75" thickBot="1" x14ac:dyDescent="0.3">
      <c r="A18" t="s">
        <v>37</v>
      </c>
      <c r="B18" t="s">
        <v>5</v>
      </c>
      <c r="C18" t="s">
        <v>264</v>
      </c>
      <c r="E18" s="1" t="str">
        <f t="shared" si="1"/>
        <v>Home</v>
      </c>
      <c r="F18" s="3">
        <f t="shared" si="2"/>
        <v>6</v>
      </c>
      <c r="G18" s="3">
        <f t="shared" si="3"/>
        <v>2</v>
      </c>
      <c r="H18" s="3">
        <f t="shared" si="0"/>
        <v>8</v>
      </c>
      <c r="I18" s="3" t="str">
        <f t="shared" si="4"/>
        <v>W</v>
      </c>
      <c r="K18" s="11" t="s">
        <v>186</v>
      </c>
      <c r="L18" s="12">
        <f>L15*100</f>
        <v>107.19607164511214</v>
      </c>
    </row>
    <row r="19" spans="1:14" x14ac:dyDescent="0.25">
      <c r="A19" t="s">
        <v>39</v>
      </c>
      <c r="B19" t="s">
        <v>10</v>
      </c>
      <c r="C19" t="s">
        <v>50</v>
      </c>
      <c r="E19" s="1" t="str">
        <f t="shared" si="1"/>
        <v>Away</v>
      </c>
      <c r="F19" s="3">
        <f t="shared" si="2"/>
        <v>3</v>
      </c>
      <c r="G19" s="3">
        <f t="shared" si="3"/>
        <v>4</v>
      </c>
      <c r="H19" s="3">
        <f t="shared" si="0"/>
        <v>7</v>
      </c>
      <c r="I19" s="3" t="str">
        <f t="shared" si="4"/>
        <v>L</v>
      </c>
    </row>
    <row r="20" spans="1:14" x14ac:dyDescent="0.25">
      <c r="A20" t="s">
        <v>41</v>
      </c>
      <c r="B20" t="s">
        <v>10</v>
      </c>
      <c r="C20" t="s">
        <v>205</v>
      </c>
      <c r="E20" s="1" t="str">
        <f t="shared" si="1"/>
        <v>Away</v>
      </c>
      <c r="F20" s="3">
        <f t="shared" si="2"/>
        <v>5</v>
      </c>
      <c r="G20" s="3">
        <f t="shared" si="3"/>
        <v>6</v>
      </c>
      <c r="H20" s="3">
        <f t="shared" si="0"/>
        <v>11</v>
      </c>
      <c r="I20" s="3" t="str">
        <f t="shared" si="4"/>
        <v>L</v>
      </c>
    </row>
    <row r="21" spans="1:14" x14ac:dyDescent="0.25">
      <c r="A21" t="s">
        <v>43</v>
      </c>
      <c r="B21" t="s">
        <v>343</v>
      </c>
      <c r="C21" t="s">
        <v>349</v>
      </c>
      <c r="E21" s="1" t="str">
        <f t="shared" si="1"/>
        <v>Home</v>
      </c>
      <c r="F21" s="3">
        <f t="shared" si="2"/>
        <v>12</v>
      </c>
      <c r="G21" s="3">
        <f t="shared" si="3"/>
        <v>2</v>
      </c>
      <c r="H21" s="3">
        <f t="shared" si="0"/>
        <v>14</v>
      </c>
      <c r="I21" s="3" t="str">
        <f t="shared" si="4"/>
        <v>W</v>
      </c>
    </row>
    <row r="22" spans="1:14" x14ac:dyDescent="0.25">
      <c r="A22" t="s">
        <v>45</v>
      </c>
      <c r="B22" t="s">
        <v>343</v>
      </c>
      <c r="C22" t="s">
        <v>232</v>
      </c>
      <c r="E22" s="1" t="str">
        <f t="shared" si="1"/>
        <v>Home</v>
      </c>
      <c r="F22" s="3">
        <f t="shared" si="2"/>
        <v>8</v>
      </c>
      <c r="G22" s="3">
        <f t="shared" si="3"/>
        <v>6</v>
      </c>
      <c r="H22" s="3">
        <f t="shared" si="0"/>
        <v>14</v>
      </c>
      <c r="I22" s="3" t="str">
        <f t="shared" si="4"/>
        <v>W</v>
      </c>
      <c r="K22" s="1" t="s">
        <v>578</v>
      </c>
      <c r="L22" s="1" t="s">
        <v>579</v>
      </c>
      <c r="M22" s="1" t="s">
        <v>580</v>
      </c>
      <c r="N22" s="1" t="s">
        <v>581</v>
      </c>
    </row>
    <row r="23" spans="1:14" x14ac:dyDescent="0.25">
      <c r="A23" t="s">
        <v>47</v>
      </c>
      <c r="B23" t="s">
        <v>40</v>
      </c>
      <c r="C23" t="s">
        <v>298</v>
      </c>
      <c r="E23" s="1" t="str">
        <f t="shared" si="1"/>
        <v>Away</v>
      </c>
      <c r="F23" s="3">
        <f t="shared" si="2"/>
        <v>1</v>
      </c>
      <c r="G23" s="3">
        <f t="shared" si="3"/>
        <v>2</v>
      </c>
      <c r="H23" s="3">
        <f t="shared" si="0"/>
        <v>3</v>
      </c>
      <c r="I23" s="3" t="str">
        <f t="shared" si="4"/>
        <v>L</v>
      </c>
      <c r="K23" s="1">
        <f>COUNTIFS(Table8[At], "Home",Table8[Result], "W")</f>
        <v>19</v>
      </c>
      <c r="L23" s="1">
        <f>COUNTIFS(Table8[At], "Home",Table8[Result], "L")</f>
        <v>17</v>
      </c>
      <c r="M23" s="1">
        <f>COUNTIFS(Table8[At], "Away",Table8[Result], "W")</f>
        <v>14</v>
      </c>
      <c r="N23" s="1">
        <f>COUNTIFS(Table8[At], "Away",Table8[Result], "L")</f>
        <v>21</v>
      </c>
    </row>
    <row r="24" spans="1:14" x14ac:dyDescent="0.25">
      <c r="A24" t="s">
        <v>49</v>
      </c>
      <c r="B24" t="s">
        <v>40</v>
      </c>
      <c r="C24" t="s">
        <v>264</v>
      </c>
      <c r="E24" s="1" t="str">
        <f t="shared" si="1"/>
        <v>Away</v>
      </c>
      <c r="F24" s="3">
        <f t="shared" si="2"/>
        <v>6</v>
      </c>
      <c r="G24" s="3">
        <f t="shared" si="3"/>
        <v>2</v>
      </c>
      <c r="H24" s="3">
        <f t="shared" si="0"/>
        <v>8</v>
      </c>
      <c r="I24" s="3" t="str">
        <f t="shared" si="4"/>
        <v>W</v>
      </c>
      <c r="K24" s="1"/>
      <c r="M24" s="1"/>
      <c r="N24" s="1"/>
    </row>
    <row r="25" spans="1:14" x14ac:dyDescent="0.25">
      <c r="A25" t="s">
        <v>51</v>
      </c>
      <c r="B25" t="s">
        <v>341</v>
      </c>
      <c r="C25" t="s">
        <v>276</v>
      </c>
      <c r="E25" s="1" t="str">
        <f t="shared" si="1"/>
        <v>Away</v>
      </c>
      <c r="F25" s="3">
        <f t="shared" si="2"/>
        <v>2</v>
      </c>
      <c r="G25" s="3">
        <f t="shared" si="3"/>
        <v>4</v>
      </c>
      <c r="H25" s="3">
        <f t="shared" si="0"/>
        <v>6</v>
      </c>
      <c r="I25" s="3" t="str">
        <f t="shared" si="4"/>
        <v>L</v>
      </c>
      <c r="K25" s="1" t="s">
        <v>582</v>
      </c>
      <c r="L25" s="1" t="s">
        <v>583</v>
      </c>
      <c r="M25" s="1" t="s">
        <v>584</v>
      </c>
      <c r="N25" s="1" t="s">
        <v>585</v>
      </c>
    </row>
    <row r="26" spans="1:14" x14ac:dyDescent="0.25">
      <c r="A26" t="s">
        <v>53</v>
      </c>
      <c r="B26" t="s">
        <v>341</v>
      </c>
      <c r="C26" t="s">
        <v>254</v>
      </c>
      <c r="E26" s="1" t="str">
        <f t="shared" si="1"/>
        <v>Away</v>
      </c>
      <c r="F26" s="3">
        <f t="shared" si="2"/>
        <v>5</v>
      </c>
      <c r="G26" s="3">
        <f t="shared" si="3"/>
        <v>4</v>
      </c>
      <c r="H26" s="3">
        <f t="shared" si="0"/>
        <v>9</v>
      </c>
      <c r="I26" s="3" t="str">
        <f t="shared" si="4"/>
        <v>W</v>
      </c>
      <c r="K26" s="1">
        <f>COUNTIFS(Table8[oR/G], "&gt;0",Table8[Result], "W")</f>
        <v>21</v>
      </c>
      <c r="L26" s="1">
        <f>COUNTIFS(Table8[oR/G], "&gt;0",Table8[Result], "l")</f>
        <v>26</v>
      </c>
      <c r="M26" s="1">
        <f>COUNTIFS(Table8[oR/G], "&lt;0",Table8[Result], "W")</f>
        <v>12</v>
      </c>
      <c r="N26" s="1">
        <f>COUNTIFS(Table8[oR/G], "&lt;0",Table8[Result], "l")</f>
        <v>12</v>
      </c>
    </row>
    <row r="27" spans="1:14" x14ac:dyDescent="0.25">
      <c r="A27" t="s">
        <v>247</v>
      </c>
      <c r="B27" t="s">
        <v>5</v>
      </c>
      <c r="C27" t="s">
        <v>94</v>
      </c>
      <c r="E27" s="1" t="str">
        <f t="shared" si="1"/>
        <v>Home</v>
      </c>
      <c r="F27" s="3">
        <f t="shared" si="2"/>
        <v>4</v>
      </c>
      <c r="G27" s="3">
        <f t="shared" si="3"/>
        <v>8</v>
      </c>
      <c r="H27" s="3">
        <f t="shared" si="0"/>
        <v>12</v>
      </c>
      <c r="I27" s="3" t="str">
        <f t="shared" si="4"/>
        <v>L</v>
      </c>
    </row>
    <row r="28" spans="1:14" x14ac:dyDescent="0.25">
      <c r="A28" t="s">
        <v>54</v>
      </c>
      <c r="B28" t="s">
        <v>5</v>
      </c>
      <c r="C28" t="s">
        <v>350</v>
      </c>
      <c r="E28" s="1" t="str">
        <f t="shared" si="1"/>
        <v>Home</v>
      </c>
      <c r="F28" s="3">
        <f t="shared" si="2"/>
        <v>17</v>
      </c>
      <c r="G28" s="3">
        <f t="shared" si="3"/>
        <v>7</v>
      </c>
      <c r="H28" s="3">
        <f t="shared" si="0"/>
        <v>24</v>
      </c>
      <c r="I28" s="3" t="str">
        <f t="shared" si="4"/>
        <v>W</v>
      </c>
    </row>
    <row r="29" spans="1:14" x14ac:dyDescent="0.25">
      <c r="A29" t="s">
        <v>60</v>
      </c>
      <c r="B29" t="s">
        <v>23</v>
      </c>
      <c r="C29" t="s">
        <v>244</v>
      </c>
      <c r="E29" s="1" t="str">
        <f t="shared" si="1"/>
        <v>Home</v>
      </c>
      <c r="F29" s="3">
        <f t="shared" si="2"/>
        <v>6</v>
      </c>
      <c r="G29" s="3">
        <f t="shared" si="3"/>
        <v>3</v>
      </c>
      <c r="H29" s="3">
        <f t="shared" si="0"/>
        <v>9</v>
      </c>
      <c r="I29" s="3" t="str">
        <f t="shared" si="4"/>
        <v>W</v>
      </c>
    </row>
    <row r="30" spans="1:14" x14ac:dyDescent="0.25">
      <c r="A30" t="s">
        <v>60</v>
      </c>
      <c r="B30" t="s">
        <v>23</v>
      </c>
      <c r="C30" t="s">
        <v>240</v>
      </c>
      <c r="E30" s="1" t="str">
        <f t="shared" si="1"/>
        <v>Home</v>
      </c>
      <c r="F30" s="3">
        <f t="shared" si="2"/>
        <v>1</v>
      </c>
      <c r="G30" s="3">
        <f t="shared" si="3"/>
        <v>3</v>
      </c>
      <c r="H30" s="3">
        <f t="shared" si="0"/>
        <v>4</v>
      </c>
      <c r="I30" s="3" t="str">
        <f t="shared" si="4"/>
        <v>L</v>
      </c>
    </row>
    <row r="31" spans="1:14" x14ac:dyDescent="0.25">
      <c r="A31" t="s">
        <v>62</v>
      </c>
      <c r="B31" t="s">
        <v>10</v>
      </c>
      <c r="C31" t="s">
        <v>61</v>
      </c>
      <c r="E31" s="1" t="str">
        <f t="shared" si="1"/>
        <v>Away</v>
      </c>
      <c r="F31" s="3">
        <f t="shared" si="2"/>
        <v>7</v>
      </c>
      <c r="G31" s="3">
        <f t="shared" si="3"/>
        <v>3</v>
      </c>
      <c r="H31" s="3">
        <f t="shared" si="0"/>
        <v>10</v>
      </c>
      <c r="I31" s="3" t="str">
        <f t="shared" si="4"/>
        <v>W</v>
      </c>
    </row>
    <row r="32" spans="1:14" x14ac:dyDescent="0.25">
      <c r="A32" t="s">
        <v>64</v>
      </c>
      <c r="B32" t="s">
        <v>10</v>
      </c>
      <c r="C32" t="s">
        <v>275</v>
      </c>
      <c r="E32" s="1" t="str">
        <f t="shared" si="1"/>
        <v>Away</v>
      </c>
      <c r="F32" s="3">
        <f t="shared" si="2"/>
        <v>12</v>
      </c>
      <c r="G32" s="3">
        <f t="shared" si="3"/>
        <v>6</v>
      </c>
      <c r="H32" s="3">
        <f t="shared" si="0"/>
        <v>18</v>
      </c>
      <c r="I32" s="3" t="str">
        <f t="shared" si="4"/>
        <v>W</v>
      </c>
    </row>
    <row r="33" spans="1:9" x14ac:dyDescent="0.25">
      <c r="A33" t="s">
        <v>66</v>
      </c>
      <c r="B33" t="s">
        <v>40</v>
      </c>
      <c r="C33" t="s">
        <v>254</v>
      </c>
      <c r="E33" s="1" t="str">
        <f t="shared" si="1"/>
        <v>Away</v>
      </c>
      <c r="F33" s="3">
        <f t="shared" si="2"/>
        <v>5</v>
      </c>
      <c r="G33" s="3">
        <f t="shared" si="3"/>
        <v>4</v>
      </c>
      <c r="H33" s="3">
        <f t="shared" si="0"/>
        <v>9</v>
      </c>
      <c r="I33" s="3" t="str">
        <f t="shared" si="4"/>
        <v>W</v>
      </c>
    </row>
    <row r="34" spans="1:9" x14ac:dyDescent="0.25">
      <c r="A34" t="s">
        <v>67</v>
      </c>
      <c r="B34" t="s">
        <v>40</v>
      </c>
      <c r="C34" t="s">
        <v>351</v>
      </c>
      <c r="E34" s="1" t="str">
        <f t="shared" si="1"/>
        <v>Away</v>
      </c>
      <c r="F34" s="3">
        <f t="shared" si="2"/>
        <v>2</v>
      </c>
      <c r="G34" s="3">
        <f t="shared" si="3"/>
        <v>1</v>
      </c>
      <c r="H34" s="3">
        <f t="shared" si="0"/>
        <v>3</v>
      </c>
      <c r="I34" s="3" t="str">
        <f t="shared" si="4"/>
        <v>W</v>
      </c>
    </row>
    <row r="35" spans="1:9" x14ac:dyDescent="0.25">
      <c r="A35" t="s">
        <v>68</v>
      </c>
      <c r="B35" t="s">
        <v>319</v>
      </c>
      <c r="C35" t="s">
        <v>50</v>
      </c>
      <c r="E35" s="1" t="str">
        <f t="shared" si="1"/>
        <v>Away</v>
      </c>
      <c r="F35" s="3">
        <f t="shared" si="2"/>
        <v>3</v>
      </c>
      <c r="G35" s="3">
        <f t="shared" si="3"/>
        <v>4</v>
      </c>
      <c r="H35" s="3">
        <f t="shared" si="0"/>
        <v>7</v>
      </c>
      <c r="I35" s="3" t="str">
        <f t="shared" si="4"/>
        <v>L</v>
      </c>
    </row>
    <row r="36" spans="1:9" x14ac:dyDescent="0.25">
      <c r="A36" t="s">
        <v>71</v>
      </c>
      <c r="B36" t="s">
        <v>319</v>
      </c>
      <c r="C36" t="s">
        <v>269</v>
      </c>
      <c r="E36" s="1" t="str">
        <f t="shared" si="1"/>
        <v>Away</v>
      </c>
      <c r="F36" s="3">
        <f t="shared" si="2"/>
        <v>2</v>
      </c>
      <c r="G36" s="3">
        <f t="shared" si="3"/>
        <v>3</v>
      </c>
      <c r="H36" s="3">
        <f t="shared" si="0"/>
        <v>5</v>
      </c>
      <c r="I36" s="3" t="str">
        <f t="shared" si="4"/>
        <v>L</v>
      </c>
    </row>
    <row r="37" spans="1:9" x14ac:dyDescent="0.25">
      <c r="A37" t="s">
        <v>73</v>
      </c>
      <c r="B37" t="s">
        <v>20</v>
      </c>
      <c r="C37" t="s">
        <v>308</v>
      </c>
      <c r="E37" s="1" t="str">
        <f t="shared" si="1"/>
        <v>Home</v>
      </c>
      <c r="F37" s="3">
        <f t="shared" si="2"/>
        <v>11</v>
      </c>
      <c r="G37" s="3">
        <f t="shared" si="3"/>
        <v>10</v>
      </c>
      <c r="H37" s="3">
        <f t="shared" si="0"/>
        <v>21</v>
      </c>
      <c r="I37" s="3" t="str">
        <f t="shared" si="4"/>
        <v>W</v>
      </c>
    </row>
    <row r="38" spans="1:9" x14ac:dyDescent="0.25">
      <c r="A38" t="s">
        <v>209</v>
      </c>
      <c r="B38" t="s">
        <v>20</v>
      </c>
      <c r="C38" t="s">
        <v>33</v>
      </c>
      <c r="E38" s="1" t="str">
        <f t="shared" si="1"/>
        <v>Home</v>
      </c>
      <c r="F38" s="3">
        <f t="shared" si="2"/>
        <v>7</v>
      </c>
      <c r="G38" s="3">
        <f t="shared" si="3"/>
        <v>4</v>
      </c>
      <c r="H38" s="3">
        <f t="shared" si="0"/>
        <v>11</v>
      </c>
      <c r="I38" s="3" t="str">
        <f t="shared" si="4"/>
        <v>W</v>
      </c>
    </row>
    <row r="39" spans="1:9" x14ac:dyDescent="0.25">
      <c r="A39" t="s">
        <v>76</v>
      </c>
      <c r="B39" t="s">
        <v>115</v>
      </c>
      <c r="C39" t="s">
        <v>352</v>
      </c>
      <c r="E39" s="1" t="str">
        <f t="shared" si="1"/>
        <v>Away</v>
      </c>
      <c r="F39" s="3">
        <f t="shared" si="2"/>
        <v>5</v>
      </c>
      <c r="G39" s="3">
        <f t="shared" si="3"/>
        <v>13</v>
      </c>
      <c r="H39" s="3">
        <f t="shared" si="0"/>
        <v>18</v>
      </c>
      <c r="I39" s="3" t="str">
        <f t="shared" si="4"/>
        <v>L</v>
      </c>
    </row>
    <row r="40" spans="1:9" x14ac:dyDescent="0.25">
      <c r="A40" t="s">
        <v>78</v>
      </c>
      <c r="B40" t="s">
        <v>115</v>
      </c>
      <c r="C40" t="s">
        <v>304</v>
      </c>
      <c r="E40" s="1" t="str">
        <f t="shared" si="1"/>
        <v>Away</v>
      </c>
      <c r="F40" s="3">
        <f t="shared" si="2"/>
        <v>2</v>
      </c>
      <c r="G40" s="3">
        <f t="shared" si="3"/>
        <v>0</v>
      </c>
      <c r="H40" s="3">
        <f t="shared" si="0"/>
        <v>2</v>
      </c>
      <c r="I40" s="3" t="str">
        <f t="shared" si="4"/>
        <v>W</v>
      </c>
    </row>
    <row r="41" spans="1:9" x14ac:dyDescent="0.25">
      <c r="A41" t="s">
        <v>80</v>
      </c>
      <c r="B41" t="s">
        <v>332</v>
      </c>
      <c r="C41" t="s">
        <v>274</v>
      </c>
      <c r="E41" s="1" t="str">
        <f t="shared" si="1"/>
        <v>Away</v>
      </c>
      <c r="F41" s="3">
        <f t="shared" si="2"/>
        <v>9</v>
      </c>
      <c r="G41" s="3">
        <f t="shared" si="3"/>
        <v>10</v>
      </c>
      <c r="H41" s="3">
        <f t="shared" si="0"/>
        <v>19</v>
      </c>
      <c r="I41" s="3" t="str">
        <f t="shared" si="4"/>
        <v>L</v>
      </c>
    </row>
    <row r="42" spans="1:9" x14ac:dyDescent="0.25">
      <c r="A42" t="s">
        <v>81</v>
      </c>
      <c r="B42" t="s">
        <v>333</v>
      </c>
      <c r="C42" t="s">
        <v>113</v>
      </c>
      <c r="E42" s="1" t="str">
        <f t="shared" si="1"/>
        <v>Home</v>
      </c>
      <c r="F42" s="3">
        <f t="shared" si="2"/>
        <v>7</v>
      </c>
      <c r="G42" s="3">
        <f t="shared" si="3"/>
        <v>9</v>
      </c>
      <c r="H42" s="3">
        <f t="shared" si="0"/>
        <v>16</v>
      </c>
      <c r="I42" s="3" t="str">
        <f t="shared" si="4"/>
        <v>L</v>
      </c>
    </row>
    <row r="43" spans="1:9" x14ac:dyDescent="0.25">
      <c r="A43" t="s">
        <v>82</v>
      </c>
      <c r="B43" t="s">
        <v>341</v>
      </c>
      <c r="C43" t="s">
        <v>33</v>
      </c>
      <c r="E43" s="1" t="str">
        <f t="shared" si="1"/>
        <v>Away</v>
      </c>
      <c r="F43" s="3">
        <f t="shared" si="2"/>
        <v>7</v>
      </c>
      <c r="G43" s="3">
        <f t="shared" si="3"/>
        <v>4</v>
      </c>
      <c r="H43" s="3">
        <f t="shared" si="0"/>
        <v>11</v>
      </c>
      <c r="I43" s="3" t="str">
        <f t="shared" si="4"/>
        <v>W</v>
      </c>
    </row>
    <row r="44" spans="1:9" x14ac:dyDescent="0.25">
      <c r="A44" t="s">
        <v>84</v>
      </c>
      <c r="B44" t="s">
        <v>341</v>
      </c>
      <c r="C44" t="s">
        <v>33</v>
      </c>
      <c r="E44" s="1" t="str">
        <f t="shared" si="1"/>
        <v>Away</v>
      </c>
      <c r="F44" s="3">
        <f t="shared" si="2"/>
        <v>7</v>
      </c>
      <c r="G44" s="3">
        <f t="shared" si="3"/>
        <v>4</v>
      </c>
      <c r="H44" s="3">
        <f t="shared" si="0"/>
        <v>11</v>
      </c>
      <c r="I44" s="3" t="str">
        <f t="shared" si="4"/>
        <v>W</v>
      </c>
    </row>
    <row r="45" spans="1:9" x14ac:dyDescent="0.25">
      <c r="A45" t="s">
        <v>84</v>
      </c>
      <c r="B45" t="s">
        <v>341</v>
      </c>
      <c r="C45" t="s">
        <v>38</v>
      </c>
      <c r="E45" s="1" t="str">
        <f t="shared" si="1"/>
        <v>Away</v>
      </c>
      <c r="F45" s="3">
        <f t="shared" si="2"/>
        <v>3</v>
      </c>
      <c r="G45" s="3">
        <f t="shared" si="3"/>
        <v>5</v>
      </c>
      <c r="H45" s="3">
        <f t="shared" si="0"/>
        <v>8</v>
      </c>
      <c r="I45" s="3" t="str">
        <f t="shared" si="4"/>
        <v>L</v>
      </c>
    </row>
    <row r="46" spans="1:9" x14ac:dyDescent="0.25">
      <c r="A46" t="s">
        <v>86</v>
      </c>
      <c r="B46" t="s">
        <v>69</v>
      </c>
      <c r="C46" t="s">
        <v>226</v>
      </c>
      <c r="E46" s="1" t="str">
        <f t="shared" si="1"/>
        <v>Home</v>
      </c>
      <c r="F46" s="3">
        <f t="shared" si="2"/>
        <v>3</v>
      </c>
      <c r="G46" s="3">
        <f t="shared" si="3"/>
        <v>2</v>
      </c>
      <c r="H46" s="3">
        <f t="shared" si="0"/>
        <v>5</v>
      </c>
      <c r="I46" s="3" t="str">
        <f t="shared" si="4"/>
        <v>W</v>
      </c>
    </row>
    <row r="47" spans="1:9" x14ac:dyDescent="0.25">
      <c r="A47" t="s">
        <v>88</v>
      </c>
      <c r="B47" t="s">
        <v>69</v>
      </c>
      <c r="C47" t="s">
        <v>217</v>
      </c>
      <c r="E47" s="1" t="str">
        <f t="shared" si="1"/>
        <v>Home</v>
      </c>
      <c r="F47" s="3">
        <f t="shared" si="2"/>
        <v>3</v>
      </c>
      <c r="G47" s="3">
        <f t="shared" si="3"/>
        <v>0</v>
      </c>
      <c r="H47" s="3">
        <f t="shared" si="0"/>
        <v>3</v>
      </c>
      <c r="I47" s="3" t="str">
        <f t="shared" si="4"/>
        <v>W</v>
      </c>
    </row>
    <row r="48" spans="1:9" x14ac:dyDescent="0.25">
      <c r="A48" t="s">
        <v>88</v>
      </c>
      <c r="B48" t="s">
        <v>69</v>
      </c>
      <c r="C48" t="s">
        <v>8</v>
      </c>
      <c r="E48" s="1" t="str">
        <f t="shared" si="1"/>
        <v>Home</v>
      </c>
      <c r="F48" s="3">
        <f t="shared" si="2"/>
        <v>1</v>
      </c>
      <c r="G48" s="3">
        <f t="shared" si="3"/>
        <v>13</v>
      </c>
      <c r="H48" s="3">
        <f t="shared" si="0"/>
        <v>14</v>
      </c>
      <c r="I48" s="3" t="str">
        <f t="shared" si="4"/>
        <v>L</v>
      </c>
    </row>
    <row r="49" spans="1:9" x14ac:dyDescent="0.25">
      <c r="A49" t="s">
        <v>91</v>
      </c>
      <c r="B49" t="s">
        <v>69</v>
      </c>
      <c r="C49" t="s">
        <v>113</v>
      </c>
      <c r="E49" s="1" t="str">
        <f t="shared" si="1"/>
        <v>Home</v>
      </c>
      <c r="F49" s="3">
        <f t="shared" si="2"/>
        <v>7</v>
      </c>
      <c r="G49" s="3">
        <f t="shared" si="3"/>
        <v>9</v>
      </c>
      <c r="H49" s="3">
        <f t="shared" si="0"/>
        <v>16</v>
      </c>
      <c r="I49" s="3" t="str">
        <f t="shared" si="4"/>
        <v>L</v>
      </c>
    </row>
    <row r="50" spans="1:9" x14ac:dyDescent="0.25">
      <c r="A50" t="s">
        <v>93</v>
      </c>
      <c r="B50" t="s">
        <v>343</v>
      </c>
      <c r="C50" t="s">
        <v>336</v>
      </c>
      <c r="E50" s="1" t="str">
        <f t="shared" si="1"/>
        <v>Home</v>
      </c>
      <c r="F50" s="3">
        <f t="shared" si="2"/>
        <v>8</v>
      </c>
      <c r="G50" s="3">
        <f t="shared" si="3"/>
        <v>4</v>
      </c>
      <c r="H50" s="3">
        <f t="shared" si="0"/>
        <v>12</v>
      </c>
      <c r="I50" s="3" t="str">
        <f t="shared" si="4"/>
        <v>W</v>
      </c>
    </row>
    <row r="51" spans="1:9" x14ac:dyDescent="0.25">
      <c r="A51" t="s">
        <v>93</v>
      </c>
      <c r="B51" t="s">
        <v>341</v>
      </c>
      <c r="C51" t="s">
        <v>353</v>
      </c>
      <c r="E51" s="1" t="str">
        <f t="shared" si="1"/>
        <v>Away</v>
      </c>
      <c r="F51" s="3">
        <f t="shared" si="2"/>
        <v>17</v>
      </c>
      <c r="G51" s="3">
        <f t="shared" si="3"/>
        <v>5</v>
      </c>
      <c r="H51" s="3">
        <f t="shared" si="0"/>
        <v>22</v>
      </c>
      <c r="I51" s="3" t="str">
        <f t="shared" si="4"/>
        <v>W</v>
      </c>
    </row>
    <row r="52" spans="1:9" x14ac:dyDescent="0.25">
      <c r="A52" t="s">
        <v>96</v>
      </c>
      <c r="B52" t="s">
        <v>343</v>
      </c>
      <c r="C52" t="s">
        <v>276</v>
      </c>
      <c r="E52" s="1" t="str">
        <f t="shared" si="1"/>
        <v>Home</v>
      </c>
      <c r="F52" s="3">
        <f t="shared" si="2"/>
        <v>2</v>
      </c>
      <c r="G52" s="3">
        <f t="shared" si="3"/>
        <v>4</v>
      </c>
      <c r="H52" s="3">
        <f t="shared" si="0"/>
        <v>6</v>
      </c>
      <c r="I52" s="3" t="str">
        <f t="shared" si="4"/>
        <v>L</v>
      </c>
    </row>
    <row r="53" spans="1:9" x14ac:dyDescent="0.25">
      <c r="A53" t="s">
        <v>97</v>
      </c>
      <c r="B53" t="s">
        <v>58</v>
      </c>
      <c r="C53" t="s">
        <v>228</v>
      </c>
      <c r="E53" s="1" t="str">
        <f t="shared" si="1"/>
        <v>Away</v>
      </c>
      <c r="F53" s="3">
        <f t="shared" si="2"/>
        <v>10</v>
      </c>
      <c r="G53" s="3">
        <f t="shared" si="3"/>
        <v>3</v>
      </c>
      <c r="H53" s="3">
        <f t="shared" si="0"/>
        <v>13</v>
      </c>
      <c r="I53" s="3" t="str">
        <f t="shared" si="4"/>
        <v>W</v>
      </c>
    </row>
    <row r="54" spans="1:9" x14ac:dyDescent="0.25">
      <c r="A54" t="s">
        <v>100</v>
      </c>
      <c r="B54" t="s">
        <v>58</v>
      </c>
      <c r="C54" t="s">
        <v>302</v>
      </c>
      <c r="E54" s="1" t="str">
        <f t="shared" si="1"/>
        <v>Away</v>
      </c>
      <c r="F54" s="3">
        <f t="shared" si="2"/>
        <v>2</v>
      </c>
      <c r="G54" s="3">
        <f t="shared" si="3"/>
        <v>9</v>
      </c>
      <c r="H54" s="3">
        <f t="shared" si="0"/>
        <v>11</v>
      </c>
      <c r="I54" s="3" t="str">
        <f t="shared" si="4"/>
        <v>L</v>
      </c>
    </row>
    <row r="55" spans="1:9" x14ac:dyDescent="0.25">
      <c r="A55" t="s">
        <v>215</v>
      </c>
      <c r="B55" t="s">
        <v>98</v>
      </c>
      <c r="C55" t="s">
        <v>26</v>
      </c>
      <c r="E55" s="1" t="str">
        <f t="shared" si="1"/>
        <v>Home</v>
      </c>
      <c r="F55" s="3">
        <f t="shared" si="2"/>
        <v>10</v>
      </c>
      <c r="G55" s="3">
        <f t="shared" si="3"/>
        <v>6</v>
      </c>
      <c r="H55" s="3">
        <f t="shared" si="0"/>
        <v>16</v>
      </c>
      <c r="I55" s="3" t="str">
        <f t="shared" si="4"/>
        <v>W</v>
      </c>
    </row>
    <row r="56" spans="1:9" x14ac:dyDescent="0.25">
      <c r="A56" t="s">
        <v>102</v>
      </c>
      <c r="B56" t="s">
        <v>98</v>
      </c>
      <c r="C56" t="s">
        <v>326</v>
      </c>
      <c r="E56" s="1" t="str">
        <f t="shared" si="1"/>
        <v>Home</v>
      </c>
      <c r="F56" s="3">
        <f t="shared" si="2"/>
        <v>10</v>
      </c>
      <c r="G56" s="3">
        <f t="shared" si="3"/>
        <v>9</v>
      </c>
      <c r="H56" s="3">
        <f t="shared" si="0"/>
        <v>19</v>
      </c>
      <c r="I56" s="3" t="str">
        <f t="shared" si="4"/>
        <v>W</v>
      </c>
    </row>
    <row r="57" spans="1:9" x14ac:dyDescent="0.25">
      <c r="A57" t="s">
        <v>105</v>
      </c>
      <c r="B57" t="s">
        <v>40</v>
      </c>
      <c r="C57" t="s">
        <v>125</v>
      </c>
      <c r="E57" s="1" t="str">
        <f t="shared" si="1"/>
        <v>Away</v>
      </c>
      <c r="F57" s="3">
        <f t="shared" si="2"/>
        <v>0</v>
      </c>
      <c r="G57" s="3">
        <f t="shared" si="3"/>
        <v>4</v>
      </c>
      <c r="H57" s="3">
        <f t="shared" si="0"/>
        <v>4</v>
      </c>
      <c r="I57" s="3" t="str">
        <f t="shared" si="4"/>
        <v>L</v>
      </c>
    </row>
    <row r="58" spans="1:9" x14ac:dyDescent="0.25">
      <c r="A58" t="s">
        <v>107</v>
      </c>
      <c r="B58" t="s">
        <v>40</v>
      </c>
      <c r="C58" t="s">
        <v>322</v>
      </c>
      <c r="E58" s="1" t="str">
        <f t="shared" si="1"/>
        <v>Away</v>
      </c>
      <c r="F58" s="3">
        <f t="shared" si="2"/>
        <v>6</v>
      </c>
      <c r="G58" s="3">
        <f t="shared" si="3"/>
        <v>7</v>
      </c>
      <c r="H58" s="3">
        <f t="shared" si="0"/>
        <v>13</v>
      </c>
      <c r="I58" s="3" t="str">
        <f t="shared" si="4"/>
        <v>L</v>
      </c>
    </row>
    <row r="59" spans="1:9" x14ac:dyDescent="0.25">
      <c r="A59" t="s">
        <v>108</v>
      </c>
      <c r="B59" t="s">
        <v>23</v>
      </c>
      <c r="C59" t="s">
        <v>298</v>
      </c>
      <c r="E59" s="1" t="str">
        <f t="shared" si="1"/>
        <v>Home</v>
      </c>
      <c r="F59" s="3">
        <f t="shared" si="2"/>
        <v>1</v>
      </c>
      <c r="G59" s="3">
        <f t="shared" si="3"/>
        <v>2</v>
      </c>
      <c r="H59" s="3">
        <f t="shared" si="0"/>
        <v>3</v>
      </c>
      <c r="I59" s="3" t="str">
        <f t="shared" si="4"/>
        <v>L</v>
      </c>
    </row>
    <row r="60" spans="1:9" x14ac:dyDescent="0.25">
      <c r="A60" t="s">
        <v>110</v>
      </c>
      <c r="B60" t="s">
        <v>23</v>
      </c>
      <c r="C60" t="s">
        <v>213</v>
      </c>
      <c r="E60" s="1" t="str">
        <f t="shared" si="1"/>
        <v>Home</v>
      </c>
      <c r="F60" s="3">
        <f t="shared" si="2"/>
        <v>12</v>
      </c>
      <c r="G60" s="3">
        <f t="shared" si="3"/>
        <v>0</v>
      </c>
      <c r="H60" s="3">
        <f t="shared" si="0"/>
        <v>12</v>
      </c>
      <c r="I60" s="3" t="str">
        <f t="shared" si="4"/>
        <v>W</v>
      </c>
    </row>
    <row r="61" spans="1:9" x14ac:dyDescent="0.25">
      <c r="A61" t="s">
        <v>111</v>
      </c>
      <c r="B61" t="s">
        <v>5</v>
      </c>
      <c r="C61" t="s">
        <v>118</v>
      </c>
      <c r="E61" s="1" t="str">
        <f t="shared" si="1"/>
        <v>Home</v>
      </c>
      <c r="F61" s="3">
        <f t="shared" si="2"/>
        <v>9</v>
      </c>
      <c r="G61" s="3">
        <f t="shared" si="3"/>
        <v>8</v>
      </c>
      <c r="H61" s="3">
        <f t="shared" si="0"/>
        <v>17</v>
      </c>
      <c r="I61" s="3" t="str">
        <f t="shared" si="4"/>
        <v>W</v>
      </c>
    </row>
    <row r="62" spans="1:9" x14ac:dyDescent="0.25">
      <c r="A62" t="s">
        <v>112</v>
      </c>
      <c r="B62" t="s">
        <v>5</v>
      </c>
      <c r="C62" t="s">
        <v>316</v>
      </c>
      <c r="E62" s="1" t="str">
        <f t="shared" si="1"/>
        <v>Home</v>
      </c>
      <c r="F62" s="3">
        <f t="shared" si="2"/>
        <v>9</v>
      </c>
      <c r="G62" s="3">
        <f t="shared" si="3"/>
        <v>6</v>
      </c>
      <c r="H62" s="3">
        <f t="shared" si="0"/>
        <v>15</v>
      </c>
      <c r="I62" s="3" t="str">
        <f t="shared" si="4"/>
        <v>W</v>
      </c>
    </row>
    <row r="63" spans="1:9" x14ac:dyDescent="0.25">
      <c r="A63" t="s">
        <v>114</v>
      </c>
      <c r="B63" t="s">
        <v>69</v>
      </c>
      <c r="C63" t="s">
        <v>283</v>
      </c>
      <c r="E63" s="1" t="str">
        <f t="shared" si="1"/>
        <v>Home</v>
      </c>
      <c r="F63" s="3">
        <f t="shared" si="2"/>
        <v>10</v>
      </c>
      <c r="G63" s="3">
        <f t="shared" si="3"/>
        <v>8</v>
      </c>
      <c r="H63" s="3">
        <f t="shared" si="0"/>
        <v>18</v>
      </c>
      <c r="I63" s="3" t="str">
        <f t="shared" si="4"/>
        <v>W</v>
      </c>
    </row>
    <row r="64" spans="1:9" x14ac:dyDescent="0.25">
      <c r="A64" t="s">
        <v>117</v>
      </c>
      <c r="B64" t="s">
        <v>69</v>
      </c>
      <c r="C64" t="s">
        <v>306</v>
      </c>
      <c r="E64" s="1" t="str">
        <f t="shared" si="1"/>
        <v>Home</v>
      </c>
      <c r="F64" s="3">
        <f t="shared" si="2"/>
        <v>1</v>
      </c>
      <c r="G64" s="3">
        <f t="shared" si="3"/>
        <v>10</v>
      </c>
      <c r="H64" s="3">
        <f t="shared" si="0"/>
        <v>11</v>
      </c>
      <c r="I64" s="3" t="str">
        <f t="shared" si="4"/>
        <v>L</v>
      </c>
    </row>
    <row r="65" spans="1:10" x14ac:dyDescent="0.25">
      <c r="A65" t="s">
        <v>119</v>
      </c>
      <c r="B65" t="s">
        <v>17</v>
      </c>
      <c r="C65" t="s">
        <v>330</v>
      </c>
      <c r="E65" s="1" t="str">
        <f t="shared" si="1"/>
        <v>Away</v>
      </c>
      <c r="F65" s="3">
        <f t="shared" si="2"/>
        <v>1</v>
      </c>
      <c r="G65" s="3">
        <f t="shared" si="3"/>
        <v>11</v>
      </c>
      <c r="H65" s="3">
        <f t="shared" si="0"/>
        <v>12</v>
      </c>
      <c r="I65" s="3" t="str">
        <f t="shared" si="4"/>
        <v>L</v>
      </c>
    </row>
    <row r="66" spans="1:10" x14ac:dyDescent="0.25">
      <c r="A66" t="s">
        <v>122</v>
      </c>
      <c r="B66" t="s">
        <v>17</v>
      </c>
      <c r="C66" t="s">
        <v>259</v>
      </c>
      <c r="E66" s="1" t="str">
        <f t="shared" si="1"/>
        <v>Away</v>
      </c>
      <c r="F66" s="3">
        <f t="shared" si="2"/>
        <v>0</v>
      </c>
      <c r="G66" s="3">
        <f t="shared" si="3"/>
        <v>5</v>
      </c>
      <c r="H66" s="3">
        <f t="shared" si="0"/>
        <v>5</v>
      </c>
      <c r="I66" s="3" t="str">
        <f t="shared" si="4"/>
        <v>L</v>
      </c>
    </row>
    <row r="67" spans="1:10" x14ac:dyDescent="0.25">
      <c r="A67" t="s">
        <v>218</v>
      </c>
      <c r="B67" t="s">
        <v>17</v>
      </c>
      <c r="C67" t="s">
        <v>354</v>
      </c>
      <c r="E67" s="1" t="str">
        <f t="shared" si="1"/>
        <v>Away</v>
      </c>
      <c r="F67" s="3">
        <f t="shared" si="2"/>
        <v>13</v>
      </c>
      <c r="G67" s="3">
        <f t="shared" si="3"/>
        <v>6</v>
      </c>
      <c r="H67" s="3">
        <f t="shared" ref="H67:H74" si="6">F67+G67</f>
        <v>19</v>
      </c>
      <c r="I67" s="3" t="str">
        <f t="shared" si="4"/>
        <v>W</v>
      </c>
    </row>
    <row r="68" spans="1:10" x14ac:dyDescent="0.25">
      <c r="A68" t="s">
        <v>123</v>
      </c>
      <c r="B68" t="s">
        <v>17</v>
      </c>
      <c r="C68" t="s">
        <v>24</v>
      </c>
      <c r="E68" s="1" t="str">
        <f t="shared" ref="E68:E74" si="7">IF(LEFT(B68,1)="@","Away","Home")</f>
        <v>Away</v>
      </c>
      <c r="F68" s="3">
        <f t="shared" ref="F68:F74" si="8">_xlfn.NUMBERVALUE(MID(LEFT(C68,FIND("-",C68)-1),FIND(" ",C68)+1,LEN(C68)))</f>
        <v>10</v>
      </c>
      <c r="G68" s="3">
        <f t="shared" ref="G68:G74" si="9">_xlfn.NUMBERVALUE(RIGHT(C68,LEN(C68)-FIND("-",C68)))</f>
        <v>5</v>
      </c>
      <c r="H68" s="3">
        <f t="shared" si="6"/>
        <v>15</v>
      </c>
      <c r="I68" s="3" t="str">
        <f t="shared" ref="I68:I74" si="10">LEFT(C68,1)</f>
        <v>W</v>
      </c>
    </row>
    <row r="69" spans="1:10" x14ac:dyDescent="0.25">
      <c r="A69" t="s">
        <v>126</v>
      </c>
      <c r="B69" t="s">
        <v>10</v>
      </c>
      <c r="C69" t="s">
        <v>70</v>
      </c>
      <c r="E69" s="1" t="str">
        <f t="shared" si="7"/>
        <v>Away</v>
      </c>
      <c r="F69" s="3">
        <f t="shared" si="8"/>
        <v>2</v>
      </c>
      <c r="G69" s="3">
        <f t="shared" si="9"/>
        <v>14</v>
      </c>
      <c r="H69" s="3">
        <f t="shared" si="6"/>
        <v>16</v>
      </c>
      <c r="I69" s="3" t="str">
        <f t="shared" si="10"/>
        <v>L</v>
      </c>
    </row>
    <row r="70" spans="1:10" x14ac:dyDescent="0.25">
      <c r="A70" t="s">
        <v>127</v>
      </c>
      <c r="B70" t="s">
        <v>10</v>
      </c>
      <c r="C70" t="s">
        <v>322</v>
      </c>
      <c r="E70" s="1" t="str">
        <f t="shared" si="7"/>
        <v>Away</v>
      </c>
      <c r="F70" s="3">
        <f t="shared" si="8"/>
        <v>6</v>
      </c>
      <c r="G70" s="3">
        <f t="shared" si="9"/>
        <v>7</v>
      </c>
      <c r="H70" s="3">
        <f t="shared" si="6"/>
        <v>13</v>
      </c>
      <c r="I70" s="3" t="str">
        <f t="shared" si="10"/>
        <v>L</v>
      </c>
    </row>
    <row r="71" spans="1:10" x14ac:dyDescent="0.25">
      <c r="A71" t="s">
        <v>129</v>
      </c>
      <c r="B71" t="s">
        <v>20</v>
      </c>
      <c r="C71" t="s">
        <v>322</v>
      </c>
      <c r="E71" s="1" t="str">
        <f t="shared" si="7"/>
        <v>Home</v>
      </c>
      <c r="F71" s="3">
        <f t="shared" si="8"/>
        <v>6</v>
      </c>
      <c r="G71" s="3">
        <f t="shared" si="9"/>
        <v>7</v>
      </c>
      <c r="H71" s="3">
        <f t="shared" si="6"/>
        <v>13</v>
      </c>
      <c r="I71" s="3" t="str">
        <f t="shared" si="10"/>
        <v>L</v>
      </c>
    </row>
    <row r="72" spans="1:10" x14ac:dyDescent="0.25">
      <c r="A72" t="s">
        <v>131</v>
      </c>
      <c r="B72" t="s">
        <v>20</v>
      </c>
      <c r="C72" t="s">
        <v>349</v>
      </c>
      <c r="E72" s="1" t="str">
        <f t="shared" si="7"/>
        <v>Home</v>
      </c>
      <c r="F72" s="3">
        <f t="shared" si="8"/>
        <v>12</v>
      </c>
      <c r="G72" s="3">
        <f t="shared" si="9"/>
        <v>2</v>
      </c>
      <c r="H72" s="3">
        <f t="shared" si="6"/>
        <v>14</v>
      </c>
      <c r="I72" s="3" t="str">
        <f t="shared" si="10"/>
        <v>W</v>
      </c>
    </row>
    <row r="73" spans="1:10" x14ac:dyDescent="0.25">
      <c r="A73" t="s">
        <v>133</v>
      </c>
      <c r="B73" t="s">
        <v>58</v>
      </c>
      <c r="C73" t="s">
        <v>355</v>
      </c>
      <c r="E73" s="1" t="str">
        <f t="shared" si="7"/>
        <v>Away</v>
      </c>
      <c r="F73" s="3">
        <f t="shared" si="8"/>
        <v>5</v>
      </c>
      <c r="G73" s="3">
        <f t="shared" si="9"/>
        <v>15</v>
      </c>
      <c r="H73" s="3">
        <f t="shared" si="6"/>
        <v>20</v>
      </c>
      <c r="I73" s="3" t="str">
        <f t="shared" si="10"/>
        <v>L</v>
      </c>
    </row>
    <row r="74" spans="1:10" x14ac:dyDescent="0.25">
      <c r="A74" t="s">
        <v>134</v>
      </c>
      <c r="B74" t="s">
        <v>58</v>
      </c>
      <c r="C74" t="s">
        <v>356</v>
      </c>
      <c r="E74" s="1" t="str">
        <f t="shared" si="7"/>
        <v>Away</v>
      </c>
      <c r="F74" s="3">
        <f t="shared" si="8"/>
        <v>16</v>
      </c>
      <c r="G74" s="3">
        <f t="shared" si="9"/>
        <v>4</v>
      </c>
      <c r="H74" s="3">
        <f t="shared" si="6"/>
        <v>20</v>
      </c>
      <c r="I74" s="3" t="str">
        <f t="shared" si="10"/>
        <v>W</v>
      </c>
    </row>
    <row r="76" spans="1:10" x14ac:dyDescent="0.25">
      <c r="A76" t="s">
        <v>1</v>
      </c>
      <c r="B76" t="s">
        <v>2</v>
      </c>
      <c r="C76" t="s">
        <v>469</v>
      </c>
      <c r="D76" t="s">
        <v>135</v>
      </c>
      <c r="E76" t="s">
        <v>136</v>
      </c>
      <c r="F76" t="s">
        <v>137</v>
      </c>
      <c r="G76" t="s">
        <v>138</v>
      </c>
      <c r="H76" t="s">
        <v>3</v>
      </c>
      <c r="I76" t="s">
        <v>494</v>
      </c>
      <c r="J76" t="s">
        <v>495</v>
      </c>
    </row>
    <row r="77" spans="1:10" x14ac:dyDescent="0.25">
      <c r="A77" t="s">
        <v>448</v>
      </c>
      <c r="B77" t="s">
        <v>5</v>
      </c>
      <c r="C77" t="s">
        <v>327</v>
      </c>
      <c r="D77" t="str">
        <f>IF(LEFT(Table8[[#This Row],[Opponent]],1)="@","Away","Home")</f>
        <v>Home</v>
      </c>
      <c r="E77">
        <f>_xlfn.NUMBERVALUE(MID(LEFT(Table8[[#This Row],[Score]],FIND("-",Table8[[#This Row],[Score]])-1),FIND(" ",Table8[[#This Row],[Score]])+1,LEN(Table8[[#This Row],[Score]])))</f>
        <v>9</v>
      </c>
      <c r="F77">
        <f>_xlfn.NUMBERVALUE(RIGHT(Table8[[#This Row],[Score]],LEN(Table8[[#This Row],[Score]])-FIND("-",Table8[[#This Row],[Score]])))</f>
        <v>7</v>
      </c>
      <c r="G77">
        <f t="shared" ref="G77" si="11">E77+F77</f>
        <v>16</v>
      </c>
      <c r="H77" t="str">
        <f>LEFT(Table8[[#This Row],[Score]],1)</f>
        <v>W</v>
      </c>
      <c r="I77" s="17" t="str">
        <f>VLOOKUP(IF(Table8[[#This Row],[At]]="Home",Table8[[#This Row],[Opponent]],RIGHT(Table8[[#This Row],[Opponent]],LEN(Table8[[#This Row],[Opponent]])-1)),CHOOSE({1,2},[1]StandingsRAW!$J$1:$J$22,[1]StandingsRAW!$L$1:$L$22),2,FALSE)</f>
        <v>KZO</v>
      </c>
      <c r="J77" s="33">
        <f>VLOOKUP(Table8[[#This Row],[OPP]],Raw!$L$2:$S$23,7,FALSE)-Raw!$U$2</f>
        <v>0.53189121448478383</v>
      </c>
    </row>
    <row r="78" spans="1:10" x14ac:dyDescent="0.25">
      <c r="A78" t="s">
        <v>449</v>
      </c>
      <c r="B78" t="s">
        <v>5</v>
      </c>
      <c r="C78" t="s">
        <v>336</v>
      </c>
      <c r="D78" t="str">
        <f>IF(LEFT(Table8[[#This Row],[Opponent]],1)="@","Away","Home")</f>
        <v>Home</v>
      </c>
      <c r="E78">
        <f>_xlfn.NUMBERVALUE(MID(LEFT(Table8[[#This Row],[Score]],FIND("-",Table8[[#This Row],[Score]])-1),FIND(" ",Table8[[#This Row],[Score]])+1,LEN(Table8[[#This Row],[Score]])))</f>
        <v>8</v>
      </c>
      <c r="F78">
        <f>_xlfn.NUMBERVALUE(RIGHT(Table8[[#This Row],[Score]],LEN(Table8[[#This Row],[Score]])-FIND("-",Table8[[#This Row],[Score]])))</f>
        <v>4</v>
      </c>
      <c r="G78">
        <f t="shared" ref="G78:G99" si="12">E78+F78</f>
        <v>12</v>
      </c>
      <c r="H78" t="str">
        <f>LEFT(Table8[[#This Row],[Score]],1)</f>
        <v>W</v>
      </c>
      <c r="I78" s="17" t="str">
        <f>VLOOKUP(IF(Table8[[#This Row],[At]]="Home",Table8[[#This Row],[Opponent]],RIGHT(Table8[[#This Row],[Opponent]],LEN(Table8[[#This Row],[Opponent]])-1)),CHOOSE({1,2},[1]StandingsRAW!$J$1:$J$22,[1]StandingsRAW!$L$1:$L$22),2,FALSE)</f>
        <v>KZO</v>
      </c>
      <c r="J78" s="33">
        <f>VLOOKUP(Table8[[#This Row],[OPP]],Raw!$L$2:$S$23,7,FALSE)-Raw!$U$2</f>
        <v>0.53189121448478383</v>
      </c>
    </row>
    <row r="79" spans="1:10" x14ac:dyDescent="0.25">
      <c r="A79" t="s">
        <v>450</v>
      </c>
      <c r="B79" t="s">
        <v>10</v>
      </c>
      <c r="C79" t="s">
        <v>46</v>
      </c>
      <c r="D79" t="str">
        <f>IF(LEFT(Table8[[#This Row],[Opponent]],1)="@","Away","Home")</f>
        <v>Away</v>
      </c>
      <c r="E79">
        <f>_xlfn.NUMBERVALUE(MID(LEFT(Table8[[#This Row],[Score]],FIND("-",Table8[[#This Row],[Score]])-1),FIND(" ",Table8[[#This Row],[Score]])+1,LEN(Table8[[#This Row],[Score]])))</f>
        <v>6</v>
      </c>
      <c r="F79">
        <f>_xlfn.NUMBERVALUE(RIGHT(Table8[[#This Row],[Score]],LEN(Table8[[#This Row],[Score]])-FIND("-",Table8[[#This Row],[Score]])))</f>
        <v>8</v>
      </c>
      <c r="G79">
        <f t="shared" si="12"/>
        <v>14</v>
      </c>
      <c r="H79" t="str">
        <f>LEFT(Table8[[#This Row],[Score]],1)</f>
        <v>L</v>
      </c>
      <c r="I79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79" s="33">
        <f>VLOOKUP(Table8[[#This Row],[OPP]],Raw!$L$2:$S$23,7,FALSE)-Raw!$U$2</f>
        <v>-3.1019116024166244</v>
      </c>
    </row>
    <row r="80" spans="1:10" x14ac:dyDescent="0.25">
      <c r="A80" t="s">
        <v>451</v>
      </c>
      <c r="B80" t="s">
        <v>10</v>
      </c>
      <c r="C80" t="s">
        <v>267</v>
      </c>
      <c r="D80" t="str">
        <f>IF(LEFT(Table8[[#This Row],[Opponent]],1)="@","Away","Home")</f>
        <v>Away</v>
      </c>
      <c r="E80">
        <f>_xlfn.NUMBERVALUE(MID(LEFT(Table8[[#This Row],[Score]],FIND("-",Table8[[#This Row],[Score]])-1),FIND(" ",Table8[[#This Row],[Score]])+1,LEN(Table8[[#This Row],[Score]])))</f>
        <v>8</v>
      </c>
      <c r="F80">
        <f>_xlfn.NUMBERVALUE(RIGHT(Table8[[#This Row],[Score]],LEN(Table8[[#This Row],[Score]])-FIND("-",Table8[[#This Row],[Score]])))</f>
        <v>7</v>
      </c>
      <c r="G80">
        <f t="shared" si="12"/>
        <v>15</v>
      </c>
      <c r="H80" t="str">
        <f>LEFT(Table8[[#This Row],[Score]],1)</f>
        <v>W</v>
      </c>
      <c r="I80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80" s="33">
        <f>VLOOKUP(Table8[[#This Row],[OPP]],Raw!$L$2:$S$23,7,FALSE)-Raw!$U$2</f>
        <v>-3.1019116024166244</v>
      </c>
    </row>
    <row r="81" spans="1:10" x14ac:dyDescent="0.25">
      <c r="A81" t="s">
        <v>453</v>
      </c>
      <c r="B81" t="s">
        <v>69</v>
      </c>
      <c r="C81" t="s">
        <v>106</v>
      </c>
      <c r="D81" t="str">
        <f>IF(LEFT(Table8[[#This Row],[Opponent]],1)="@","Away","Home")</f>
        <v>Home</v>
      </c>
      <c r="E81">
        <f>_xlfn.NUMBERVALUE(MID(LEFT(Table8[[#This Row],[Score]],FIND("-",Table8[[#This Row],[Score]])-1),FIND(" ",Table8[[#This Row],[Score]])+1,LEN(Table8[[#This Row],[Score]])))</f>
        <v>12</v>
      </c>
      <c r="F81">
        <f>_xlfn.NUMBERVALUE(RIGHT(Table8[[#This Row],[Score]],LEN(Table8[[#This Row],[Score]])-FIND("-",Table8[[#This Row],[Score]])))</f>
        <v>5</v>
      </c>
      <c r="G81">
        <f t="shared" si="12"/>
        <v>17</v>
      </c>
      <c r="H81" t="str">
        <f>LEFT(Table8[[#This Row],[Score]],1)</f>
        <v>W</v>
      </c>
      <c r="I81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81" s="33">
        <f>VLOOKUP(Table8[[#This Row],[OPP]],Raw!$L$2:$S$23,7,FALSE)-Raw!$U$2</f>
        <v>-3.1019116024166244</v>
      </c>
    </row>
    <row r="82" spans="1:10" x14ac:dyDescent="0.25">
      <c r="A82" t="s">
        <v>454</v>
      </c>
      <c r="B82" t="s">
        <v>69</v>
      </c>
      <c r="C82" t="s">
        <v>295</v>
      </c>
      <c r="D82" t="str">
        <f>IF(LEFT(Table8[[#This Row],[Opponent]],1)="@","Away","Home")</f>
        <v>Home</v>
      </c>
      <c r="E82">
        <f>_xlfn.NUMBERVALUE(MID(LEFT(Table8[[#This Row],[Score]],FIND("-",Table8[[#This Row],[Score]])-1),FIND(" ",Table8[[#This Row],[Score]])+1,LEN(Table8[[#This Row],[Score]])))</f>
        <v>1</v>
      </c>
      <c r="F82">
        <f>_xlfn.NUMBERVALUE(RIGHT(Table8[[#This Row],[Score]],LEN(Table8[[#This Row],[Score]])-FIND("-",Table8[[#This Row],[Score]])))</f>
        <v>0</v>
      </c>
      <c r="G82">
        <f t="shared" si="12"/>
        <v>1</v>
      </c>
      <c r="H82" t="str">
        <f>LEFT(Table8[[#This Row],[Score]],1)</f>
        <v>W</v>
      </c>
      <c r="I82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82" s="33">
        <f>VLOOKUP(Table8[[#This Row],[OPP]],Raw!$L$2:$S$23,7,FALSE)-Raw!$U$2</f>
        <v>-3.1019116024166244</v>
      </c>
    </row>
    <row r="83" spans="1:10" x14ac:dyDescent="0.25">
      <c r="A83" t="s">
        <v>455</v>
      </c>
      <c r="B83" t="s">
        <v>341</v>
      </c>
      <c r="C83" t="s">
        <v>277</v>
      </c>
      <c r="D83" t="str">
        <f>IF(LEFT(Table8[[#This Row],[Opponent]],1)="@","Away","Home")</f>
        <v>Away</v>
      </c>
      <c r="E83">
        <f>_xlfn.NUMBERVALUE(MID(LEFT(Table8[[#This Row],[Score]],FIND("-",Table8[[#This Row],[Score]])-1),FIND(" ",Table8[[#This Row],[Score]])+1,LEN(Table8[[#This Row],[Score]])))</f>
        <v>5</v>
      </c>
      <c r="F83">
        <f>_xlfn.NUMBERVALUE(RIGHT(Table8[[#This Row],[Score]],LEN(Table8[[#This Row],[Score]])-FIND("-",Table8[[#This Row],[Score]])))</f>
        <v>8</v>
      </c>
      <c r="G83">
        <f t="shared" si="12"/>
        <v>13</v>
      </c>
      <c r="H83" t="str">
        <f>LEFT(Table8[[#This Row],[Score]],1)</f>
        <v>L</v>
      </c>
      <c r="I83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83" s="33">
        <f>VLOOKUP(Table8[[#This Row],[OPP]],Raw!$L$2:$S$23,7,FALSE)-Raw!$U$2</f>
        <v>-0.61443116423196109</v>
      </c>
    </row>
    <row r="84" spans="1:10" x14ac:dyDescent="0.25">
      <c r="A84" t="s">
        <v>456</v>
      </c>
      <c r="B84" t="s">
        <v>341</v>
      </c>
      <c r="C84" t="s">
        <v>89</v>
      </c>
      <c r="D84" t="str">
        <f>IF(LEFT(Table8[[#This Row],[Opponent]],1)="@","Away","Home")</f>
        <v>Away</v>
      </c>
      <c r="E84">
        <f>_xlfn.NUMBERVALUE(MID(LEFT(Table8[[#This Row],[Score]],FIND("-",Table8[[#This Row],[Score]])-1),FIND(" ",Table8[[#This Row],[Score]])+1,LEN(Table8[[#This Row],[Score]])))</f>
        <v>1</v>
      </c>
      <c r="F84">
        <f>_xlfn.NUMBERVALUE(RIGHT(Table8[[#This Row],[Score]],LEN(Table8[[#This Row],[Score]])-FIND("-",Table8[[#This Row],[Score]])))</f>
        <v>6</v>
      </c>
      <c r="G84">
        <f t="shared" si="12"/>
        <v>7</v>
      </c>
      <c r="H84" t="str">
        <f>LEFT(Table8[[#This Row],[Score]],1)</f>
        <v>L</v>
      </c>
      <c r="I84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84" s="33">
        <f>VLOOKUP(Table8[[#This Row],[OPP]],Raw!$L$2:$S$23,7,FALSE)-Raw!$U$2</f>
        <v>-0.61443116423196109</v>
      </c>
    </row>
    <row r="85" spans="1:10" x14ac:dyDescent="0.25">
      <c r="A85" t="s">
        <v>470</v>
      </c>
      <c r="B85" t="s">
        <v>20</v>
      </c>
      <c r="C85" t="s">
        <v>384</v>
      </c>
      <c r="D85" t="str">
        <f>IF(LEFT(Table8[[#This Row],[Opponent]],1)="@","Away","Home")</f>
        <v>Home</v>
      </c>
      <c r="E85">
        <f>_xlfn.NUMBERVALUE(MID(LEFT(Table8[[#This Row],[Score]],FIND("-",Table8[[#This Row],[Score]])-1),FIND(" ",Table8[[#This Row],[Score]])+1,LEN(Table8[[#This Row],[Score]])))</f>
        <v>7</v>
      </c>
      <c r="F85">
        <f>_xlfn.NUMBERVALUE(RIGHT(Table8[[#This Row],[Score]],LEN(Table8[[#This Row],[Score]])-FIND("-",Table8[[#This Row],[Score]])))</f>
        <v>5</v>
      </c>
      <c r="G85">
        <f t="shared" si="12"/>
        <v>12</v>
      </c>
      <c r="H85" t="str">
        <f>LEFT(Table8[[#This Row],[Score]],1)</f>
        <v>W</v>
      </c>
      <c r="I85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85" s="33">
        <f>VLOOKUP(Table8[[#This Row],[OPP]],Raw!$L$2:$S$23,7,FALSE)-Raw!$U$2</f>
        <v>0.83001328021248344</v>
      </c>
    </row>
    <row r="86" spans="1:10" x14ac:dyDescent="0.25">
      <c r="A86" t="s">
        <v>457</v>
      </c>
      <c r="B86" t="s">
        <v>20</v>
      </c>
      <c r="C86" t="s">
        <v>197</v>
      </c>
      <c r="D86" t="str">
        <f>IF(LEFT(Table8[[#This Row],[Opponent]],1)="@","Away","Home")</f>
        <v>Home</v>
      </c>
      <c r="E86">
        <f>_xlfn.NUMBERVALUE(MID(LEFT(Table8[[#This Row],[Score]],FIND("-",Table8[[#This Row],[Score]])-1),FIND(" ",Table8[[#This Row],[Score]])+1,LEN(Table8[[#This Row],[Score]])))</f>
        <v>0</v>
      </c>
      <c r="F86">
        <f>_xlfn.NUMBERVALUE(RIGHT(Table8[[#This Row],[Score]],LEN(Table8[[#This Row],[Score]])-FIND("-",Table8[[#This Row],[Score]])))</f>
        <v>1</v>
      </c>
      <c r="G86">
        <f t="shared" si="12"/>
        <v>1</v>
      </c>
      <c r="H86" t="str">
        <f>LEFT(Table8[[#This Row],[Score]],1)</f>
        <v>L</v>
      </c>
      <c r="I86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86" s="33">
        <f>VLOOKUP(Table8[[#This Row],[OPP]],Raw!$L$2:$S$23,7,FALSE)-Raw!$U$2</f>
        <v>0.83001328021248344</v>
      </c>
    </row>
    <row r="87" spans="1:10" x14ac:dyDescent="0.25">
      <c r="A87" t="s">
        <v>458</v>
      </c>
      <c r="B87" t="s">
        <v>343</v>
      </c>
      <c r="C87" t="s">
        <v>349</v>
      </c>
      <c r="D87" t="str">
        <f>IF(LEFT(Table8[[#This Row],[Opponent]],1)="@","Away","Home")</f>
        <v>Home</v>
      </c>
      <c r="E87">
        <f>_xlfn.NUMBERVALUE(MID(LEFT(Table8[[#This Row],[Score]],FIND("-",Table8[[#This Row],[Score]])-1),FIND(" ",Table8[[#This Row],[Score]])+1,LEN(Table8[[#This Row],[Score]])))</f>
        <v>12</v>
      </c>
      <c r="F87">
        <f>_xlfn.NUMBERVALUE(RIGHT(Table8[[#This Row],[Score]],LEN(Table8[[#This Row],[Score]])-FIND("-",Table8[[#This Row],[Score]])))</f>
        <v>2</v>
      </c>
      <c r="G87">
        <f t="shared" si="12"/>
        <v>14</v>
      </c>
      <c r="H87" t="str">
        <f>LEFT(Table8[[#This Row],[Score]],1)</f>
        <v>W</v>
      </c>
      <c r="I87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87" s="33">
        <f>VLOOKUP(Table8[[#This Row],[OPP]],Raw!$L$2:$S$23,7,FALSE)-Raw!$U$2</f>
        <v>-0.61443116423196109</v>
      </c>
    </row>
    <row r="88" spans="1:10" x14ac:dyDescent="0.25">
      <c r="A88" t="s">
        <v>459</v>
      </c>
      <c r="B88" t="s">
        <v>343</v>
      </c>
      <c r="C88" t="s">
        <v>255</v>
      </c>
      <c r="D88" t="str">
        <f>IF(LEFT(Table8[[#This Row],[Opponent]],1)="@","Away","Home")</f>
        <v>Home</v>
      </c>
      <c r="E88">
        <f>_xlfn.NUMBERVALUE(MID(LEFT(Table8[[#This Row],[Score]],FIND("-",Table8[[#This Row],[Score]])-1),FIND(" ",Table8[[#This Row],[Score]])+1,LEN(Table8[[#This Row],[Score]])))</f>
        <v>4</v>
      </c>
      <c r="F88">
        <f>_xlfn.NUMBERVALUE(RIGHT(Table8[[#This Row],[Score]],LEN(Table8[[#This Row],[Score]])-FIND("-",Table8[[#This Row],[Score]])))</f>
        <v>10</v>
      </c>
      <c r="G88">
        <f t="shared" si="12"/>
        <v>14</v>
      </c>
      <c r="H88" t="str">
        <f>LEFT(Table8[[#This Row],[Score]],1)</f>
        <v>L</v>
      </c>
      <c r="I88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88" s="33">
        <f>VLOOKUP(Table8[[#This Row],[OPP]],Raw!$L$2:$S$23,7,FALSE)-Raw!$U$2</f>
        <v>-0.61443116423196109</v>
      </c>
    </row>
    <row r="89" spans="1:10" x14ac:dyDescent="0.25">
      <c r="A89" t="s">
        <v>460</v>
      </c>
      <c r="B89" t="s">
        <v>124</v>
      </c>
      <c r="C89" t="s">
        <v>298</v>
      </c>
      <c r="D89" t="str">
        <f>IF(LEFT(Table8[[#This Row],[Opponent]],1)="@","Away","Home")</f>
        <v>Away</v>
      </c>
      <c r="E89">
        <f>_xlfn.NUMBERVALUE(MID(LEFT(Table8[[#This Row],[Score]],FIND("-",Table8[[#This Row],[Score]])-1),FIND(" ",Table8[[#This Row],[Score]])+1,LEN(Table8[[#This Row],[Score]])))</f>
        <v>1</v>
      </c>
      <c r="F89">
        <f>_xlfn.NUMBERVALUE(RIGHT(Table8[[#This Row],[Score]],LEN(Table8[[#This Row],[Score]])-FIND("-",Table8[[#This Row],[Score]])))</f>
        <v>2</v>
      </c>
      <c r="G89">
        <f t="shared" si="12"/>
        <v>3</v>
      </c>
      <c r="H89" t="str">
        <f>LEFT(Table8[[#This Row],[Score]],1)</f>
        <v>L</v>
      </c>
      <c r="I89" s="17" t="str">
        <f>VLOOKUP(IF(Table8[[#This Row],[At]]="Home",Table8[[#This Row],[Opponent]],RIGHT(Table8[[#This Row],[Opponent]],LEN(Table8[[#This Row],[Opponent]])-1)),CHOOSE({1,2},[1]StandingsRAW!$J$1:$J$22,[1]StandingsRAW!$L$1:$L$22),2,FALSE)</f>
        <v>WIR</v>
      </c>
      <c r="J89" s="33">
        <f>VLOOKUP(Table8[[#This Row],[OPP]],Raw!$L$2:$S$23,7,FALSE)-Raw!$U$2</f>
        <v>2.7744577246569277</v>
      </c>
    </row>
    <row r="90" spans="1:10" x14ac:dyDescent="0.25">
      <c r="A90" t="s">
        <v>471</v>
      </c>
      <c r="B90" t="s">
        <v>124</v>
      </c>
      <c r="C90" t="s">
        <v>205</v>
      </c>
      <c r="D90" t="str">
        <f>IF(LEFT(Table8[[#This Row],[Opponent]],1)="@","Away","Home")</f>
        <v>Away</v>
      </c>
      <c r="E90">
        <f>_xlfn.NUMBERVALUE(MID(LEFT(Table8[[#This Row],[Score]],FIND("-",Table8[[#This Row],[Score]])-1),FIND(" ",Table8[[#This Row],[Score]])+1,LEN(Table8[[#This Row],[Score]])))</f>
        <v>5</v>
      </c>
      <c r="F90">
        <f>_xlfn.NUMBERVALUE(RIGHT(Table8[[#This Row],[Score]],LEN(Table8[[#This Row],[Score]])-FIND("-",Table8[[#This Row],[Score]])))</f>
        <v>6</v>
      </c>
      <c r="G90">
        <f t="shared" si="12"/>
        <v>11</v>
      </c>
      <c r="H90" t="str">
        <f>LEFT(Table8[[#This Row],[Score]],1)</f>
        <v>L</v>
      </c>
      <c r="I90" s="17" t="str">
        <f>VLOOKUP(IF(Table8[[#This Row],[At]]="Home",Table8[[#This Row],[Opponent]],RIGHT(Table8[[#This Row],[Opponent]],LEN(Table8[[#This Row],[Opponent]])-1)),CHOOSE({1,2},[1]StandingsRAW!$J$1:$J$22,[1]StandingsRAW!$L$1:$L$22),2,FALSE)</f>
        <v>WIR</v>
      </c>
      <c r="J90" s="33">
        <f>VLOOKUP(Table8[[#This Row],[OPP]],Raw!$L$2:$S$23,7,FALSE)-Raw!$U$2</f>
        <v>2.7744577246569277</v>
      </c>
    </row>
    <row r="91" spans="1:10" x14ac:dyDescent="0.25">
      <c r="A91" t="s">
        <v>461</v>
      </c>
      <c r="B91" t="s">
        <v>23</v>
      </c>
      <c r="C91" t="s">
        <v>327</v>
      </c>
      <c r="D91" t="str">
        <f>IF(LEFT(Table8[[#This Row],[Opponent]],1)="@","Away","Home")</f>
        <v>Home</v>
      </c>
      <c r="E91">
        <f>_xlfn.NUMBERVALUE(MID(LEFT(Table8[[#This Row],[Score]],FIND("-",Table8[[#This Row],[Score]])-1),FIND(" ",Table8[[#This Row],[Score]])+1,LEN(Table8[[#This Row],[Score]])))</f>
        <v>9</v>
      </c>
      <c r="F91">
        <f>_xlfn.NUMBERVALUE(RIGHT(Table8[[#This Row],[Score]],LEN(Table8[[#This Row],[Score]])-FIND("-",Table8[[#This Row],[Score]])))</f>
        <v>7</v>
      </c>
      <c r="G91">
        <f t="shared" si="12"/>
        <v>16</v>
      </c>
      <c r="H91" t="str">
        <f>LEFT(Table8[[#This Row],[Score]],1)</f>
        <v>W</v>
      </c>
      <c r="I91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91" s="33">
        <f>VLOOKUP(Table8[[#This Row],[OPP]],Raw!$L$2:$S$23,7,FALSE)-Raw!$U$2</f>
        <v>1.4411243913235945</v>
      </c>
    </row>
    <row r="92" spans="1:10" x14ac:dyDescent="0.25">
      <c r="A92" t="s">
        <v>462</v>
      </c>
      <c r="B92" t="s">
        <v>23</v>
      </c>
      <c r="C92" t="s">
        <v>253</v>
      </c>
      <c r="D92" t="str">
        <f>IF(LEFT(Table8[[#This Row],[Opponent]],1)="@","Away","Home")</f>
        <v>Home</v>
      </c>
      <c r="E92">
        <f>_xlfn.NUMBERVALUE(MID(LEFT(Table8[[#This Row],[Score]],FIND("-",Table8[[#This Row],[Score]])-1),FIND(" ",Table8[[#This Row],[Score]])+1,LEN(Table8[[#This Row],[Score]])))</f>
        <v>4</v>
      </c>
      <c r="F92">
        <f>_xlfn.NUMBERVALUE(RIGHT(Table8[[#This Row],[Score]],LEN(Table8[[#This Row],[Score]])-FIND("-",Table8[[#This Row],[Score]])))</f>
        <v>0</v>
      </c>
      <c r="G92">
        <f t="shared" si="12"/>
        <v>4</v>
      </c>
      <c r="H92" t="str">
        <f>LEFT(Table8[[#This Row],[Score]],1)</f>
        <v>W</v>
      </c>
      <c r="I92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92" s="33">
        <f>VLOOKUP(Table8[[#This Row],[OPP]],Raw!$L$2:$S$23,7,FALSE)-Raw!$U$2</f>
        <v>1.4411243913235945</v>
      </c>
    </row>
    <row r="93" spans="1:10" x14ac:dyDescent="0.25">
      <c r="A93" t="s">
        <v>462</v>
      </c>
      <c r="B93" t="s">
        <v>23</v>
      </c>
      <c r="C93" t="s">
        <v>323</v>
      </c>
      <c r="D93" t="str">
        <f>IF(LEFT(Table8[[#This Row],[Opponent]],1)="@","Away","Home")</f>
        <v>Home</v>
      </c>
      <c r="E93">
        <f>_xlfn.NUMBERVALUE(MID(LEFT(Table8[[#This Row],[Score]],FIND("-",Table8[[#This Row],[Score]])-1),FIND(" ",Table8[[#This Row],[Score]])+1,LEN(Table8[[#This Row],[Score]])))</f>
        <v>7</v>
      </c>
      <c r="F93">
        <f>_xlfn.NUMBERVALUE(RIGHT(Table8[[#This Row],[Score]],LEN(Table8[[#This Row],[Score]])-FIND("-",Table8[[#This Row],[Score]])))</f>
        <v>6</v>
      </c>
      <c r="G93">
        <f t="shared" si="12"/>
        <v>13</v>
      </c>
      <c r="H93" t="str">
        <f>LEFT(Table8[[#This Row],[Score]],1)</f>
        <v>W</v>
      </c>
      <c r="I93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93" s="33">
        <f>VLOOKUP(Table8[[#This Row],[OPP]],Raw!$L$2:$S$23,7,FALSE)-Raw!$U$2</f>
        <v>1.4411243913235945</v>
      </c>
    </row>
    <row r="94" spans="1:10" x14ac:dyDescent="0.25">
      <c r="A94" t="s">
        <v>463</v>
      </c>
      <c r="B94" t="s">
        <v>23</v>
      </c>
      <c r="C94" t="s">
        <v>326</v>
      </c>
      <c r="D94" t="str">
        <f>IF(LEFT(Table8[[#This Row],[Opponent]],1)="@","Away","Home")</f>
        <v>Home</v>
      </c>
      <c r="E94">
        <f>_xlfn.NUMBERVALUE(MID(LEFT(Table8[[#This Row],[Score]],FIND("-",Table8[[#This Row],[Score]])-1),FIND(" ",Table8[[#This Row],[Score]])+1,LEN(Table8[[#This Row],[Score]])))</f>
        <v>10</v>
      </c>
      <c r="F94">
        <f>_xlfn.NUMBERVALUE(RIGHT(Table8[[#This Row],[Score]],LEN(Table8[[#This Row],[Score]])-FIND("-",Table8[[#This Row],[Score]])))</f>
        <v>9</v>
      </c>
      <c r="G94">
        <f t="shared" si="12"/>
        <v>19</v>
      </c>
      <c r="H94" t="str">
        <f>LEFT(Table8[[#This Row],[Score]],1)</f>
        <v>W</v>
      </c>
      <c r="I94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94" s="33">
        <f>VLOOKUP(Table8[[#This Row],[OPP]],Raw!$L$2:$S$23,7,FALSE)-Raw!$U$2</f>
        <v>1.4411243913235945</v>
      </c>
    </row>
    <row r="95" spans="1:10" x14ac:dyDescent="0.25">
      <c r="A95" t="s">
        <v>464</v>
      </c>
      <c r="B95" t="s">
        <v>10</v>
      </c>
      <c r="C95" t="s">
        <v>475</v>
      </c>
      <c r="D95" t="str">
        <f>IF(LEFT(Table8[[#This Row],[Opponent]],1)="@","Away","Home")</f>
        <v>Away</v>
      </c>
      <c r="E95">
        <f>_xlfn.NUMBERVALUE(MID(LEFT(Table8[[#This Row],[Score]],FIND("-",Table8[[#This Row],[Score]])-1),FIND(" ",Table8[[#This Row],[Score]])+1,LEN(Table8[[#This Row],[Score]])))</f>
        <v>11</v>
      </c>
      <c r="F95">
        <f>_xlfn.NUMBERVALUE(RIGHT(Table8[[#This Row],[Score]],LEN(Table8[[#This Row],[Score]])-FIND("-",Table8[[#This Row],[Score]])))</f>
        <v>3</v>
      </c>
      <c r="G95">
        <f t="shared" si="12"/>
        <v>14</v>
      </c>
      <c r="H95" t="str">
        <f>LEFT(Table8[[#This Row],[Score]],1)</f>
        <v>L</v>
      </c>
      <c r="I95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95" s="33">
        <f>VLOOKUP(Table8[[#This Row],[OPP]],Raw!$L$2:$S$23,7,FALSE)-Raw!$U$2</f>
        <v>-3.1019116024166244</v>
      </c>
    </row>
    <row r="96" spans="1:10" x14ac:dyDescent="0.25">
      <c r="A96" t="s">
        <v>465</v>
      </c>
      <c r="B96" t="s">
        <v>10</v>
      </c>
      <c r="C96" t="s">
        <v>269</v>
      </c>
      <c r="D96" t="str">
        <f>IF(LEFT(Table8[[#This Row],[Opponent]],1)="@","Away","Home")</f>
        <v>Away</v>
      </c>
      <c r="E96">
        <f>_xlfn.NUMBERVALUE(MID(LEFT(Table8[[#This Row],[Score]],FIND("-",Table8[[#This Row],[Score]])-1),FIND(" ",Table8[[#This Row],[Score]])+1,LEN(Table8[[#This Row],[Score]])))</f>
        <v>2</v>
      </c>
      <c r="F96">
        <f>_xlfn.NUMBERVALUE(RIGHT(Table8[[#This Row],[Score]],LEN(Table8[[#This Row],[Score]])-FIND("-",Table8[[#This Row],[Score]])))</f>
        <v>3</v>
      </c>
      <c r="G96">
        <f t="shared" si="12"/>
        <v>5</v>
      </c>
      <c r="H96" t="str">
        <f>LEFT(Table8[[#This Row],[Score]],1)</f>
        <v>L</v>
      </c>
      <c r="I96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96" s="33">
        <f>VLOOKUP(Table8[[#This Row],[OPP]],Raw!$L$2:$S$23,7,FALSE)-Raw!$U$2</f>
        <v>-3.1019116024166244</v>
      </c>
    </row>
    <row r="97" spans="1:10" x14ac:dyDescent="0.25">
      <c r="A97" t="s">
        <v>466</v>
      </c>
      <c r="B97" t="s">
        <v>5</v>
      </c>
      <c r="C97" t="s">
        <v>379</v>
      </c>
      <c r="D97" t="str">
        <f>IF(LEFT(Table8[[#This Row],[Opponent]],1)="@","Away","Home")</f>
        <v>Home</v>
      </c>
      <c r="E97">
        <f>_xlfn.NUMBERVALUE(MID(LEFT(Table8[[#This Row],[Score]],FIND("-",Table8[[#This Row],[Score]])-1),FIND(" ",Table8[[#This Row],[Score]])+1,LEN(Table8[[#This Row],[Score]])))</f>
        <v>7</v>
      </c>
      <c r="F97">
        <f>_xlfn.NUMBERVALUE(RIGHT(Table8[[#This Row],[Score]],LEN(Table8[[#This Row],[Score]])-FIND("-",Table8[[#This Row],[Score]])))</f>
        <v>12</v>
      </c>
      <c r="G97">
        <f t="shared" si="12"/>
        <v>19</v>
      </c>
      <c r="H97" t="str">
        <f>LEFT(Table8[[#This Row],[Score]],1)</f>
        <v>L</v>
      </c>
      <c r="I97" s="17" t="str">
        <f>VLOOKUP(IF(Table8[[#This Row],[At]]="Home",Table8[[#This Row],[Opponent]],RIGHT(Table8[[#This Row],[Opponent]],LEN(Table8[[#This Row],[Opponent]])-1)),CHOOSE({1,2},[1]StandingsRAW!$J$1:$J$22,[1]StandingsRAW!$L$1:$L$22),2,FALSE)</f>
        <v>KZO</v>
      </c>
      <c r="J97" s="33">
        <f>VLOOKUP(Table8[[#This Row],[OPP]],Raw!$L$2:$S$23,7,FALSE)-Raw!$U$2</f>
        <v>0.53189121448478383</v>
      </c>
    </row>
    <row r="98" spans="1:10" x14ac:dyDescent="0.25">
      <c r="A98" t="s">
        <v>467</v>
      </c>
      <c r="B98" t="s">
        <v>5</v>
      </c>
      <c r="C98" t="s">
        <v>94</v>
      </c>
      <c r="D98" t="str">
        <f>IF(LEFT(Table8[[#This Row],[Opponent]],1)="@","Away","Home")</f>
        <v>Home</v>
      </c>
      <c r="E98">
        <f>_xlfn.NUMBERVALUE(MID(LEFT(Table8[[#This Row],[Score]],FIND("-",Table8[[#This Row],[Score]])-1),FIND(" ",Table8[[#This Row],[Score]])+1,LEN(Table8[[#This Row],[Score]])))</f>
        <v>4</v>
      </c>
      <c r="F98">
        <f>_xlfn.NUMBERVALUE(RIGHT(Table8[[#This Row],[Score]],LEN(Table8[[#This Row],[Score]])-FIND("-",Table8[[#This Row],[Score]])))</f>
        <v>8</v>
      </c>
      <c r="G98">
        <f t="shared" si="12"/>
        <v>12</v>
      </c>
      <c r="H98" t="str">
        <f>LEFT(Table8[[#This Row],[Score]],1)</f>
        <v>L</v>
      </c>
      <c r="I98" s="17" t="str">
        <f>VLOOKUP(IF(Table8[[#This Row],[At]]="Home",Table8[[#This Row],[Opponent]],RIGHT(Table8[[#This Row],[Opponent]],LEN(Table8[[#This Row],[Opponent]])-1)),CHOOSE({1,2},[1]StandingsRAW!$J$1:$J$22,[1]StandingsRAW!$L$1:$L$22),2,FALSE)</f>
        <v>KZO</v>
      </c>
      <c r="J98" s="33">
        <f>VLOOKUP(Table8[[#This Row],[OPP]],Raw!$L$2:$S$23,7,FALSE)-Raw!$U$2</f>
        <v>0.53189121448478383</v>
      </c>
    </row>
    <row r="99" spans="1:10" x14ac:dyDescent="0.25">
      <c r="A99" t="s">
        <v>468</v>
      </c>
      <c r="B99" t="s">
        <v>341</v>
      </c>
      <c r="C99" t="s">
        <v>21</v>
      </c>
      <c r="D99" t="str">
        <f>IF(LEFT(Table8[[#This Row],[Opponent]],1)="@","Away","Home")</f>
        <v>Away</v>
      </c>
      <c r="E99">
        <f>_xlfn.NUMBERVALUE(MID(LEFT(Table8[[#This Row],[Score]],FIND("-",Table8[[#This Row],[Score]])-1),FIND(" ",Table8[[#This Row],[Score]])+1,LEN(Table8[[#This Row],[Score]])))</f>
        <v>6</v>
      </c>
      <c r="F99">
        <f>_xlfn.NUMBERVALUE(RIGHT(Table8[[#This Row],[Score]],LEN(Table8[[#This Row],[Score]])-FIND("-",Table8[[#This Row],[Score]])))</f>
        <v>1</v>
      </c>
      <c r="G99">
        <f t="shared" si="12"/>
        <v>7</v>
      </c>
      <c r="H99" t="str">
        <f>LEFT(Table8[[#This Row],[Score]],1)</f>
        <v>W</v>
      </c>
      <c r="I99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99" s="33">
        <f>VLOOKUP(Table8[[#This Row],[OPP]],Raw!$L$2:$S$23,7,FALSE)-Raw!$U$2</f>
        <v>-0.61443116423196109</v>
      </c>
    </row>
    <row r="100" spans="1:10" x14ac:dyDescent="0.25">
      <c r="A100" t="s">
        <v>498</v>
      </c>
      <c r="B100" t="s">
        <v>341</v>
      </c>
      <c r="C100" t="s">
        <v>329</v>
      </c>
      <c r="D100" t="str">
        <f>IF(LEFT(Table8[[#This Row],[Opponent]],1)="@","Away","Home")</f>
        <v>Away</v>
      </c>
      <c r="E100">
        <f>_xlfn.NUMBERVALUE(MID(LEFT(Table8[[#This Row],[Score]],FIND("-",Table8[[#This Row],[Score]])-1),FIND(" ",Table8[[#This Row],[Score]])+1,LEN(Table8[[#This Row],[Score]])))</f>
        <v>5</v>
      </c>
      <c r="F100">
        <f>_xlfn.NUMBERVALUE(RIGHT(Table8[[#This Row],[Score]],LEN(Table8[[#This Row],[Score]])-FIND("-",Table8[[#This Row],[Score]])))</f>
        <v>2</v>
      </c>
      <c r="G100">
        <f t="shared" ref="G100:G102" si="13">E100+F100</f>
        <v>7</v>
      </c>
      <c r="H100" t="str">
        <f>LEFT(Table8[[#This Row],[Score]],1)</f>
        <v>W</v>
      </c>
      <c r="I100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100" s="33">
        <f>VLOOKUP(Table8[[#This Row],[OPP]],Raw!$L$2:$S$23,7,FALSE)-Raw!$U$2</f>
        <v>-0.61443116423196109</v>
      </c>
    </row>
    <row r="101" spans="1:10" x14ac:dyDescent="0.25">
      <c r="A101" t="s">
        <v>499</v>
      </c>
      <c r="B101" t="s">
        <v>20</v>
      </c>
      <c r="C101" t="s">
        <v>293</v>
      </c>
      <c r="D101" t="str">
        <f>IF(LEFT(Table8[[#This Row],[Opponent]],1)="@","Away","Home")</f>
        <v>Home</v>
      </c>
      <c r="E101">
        <f>_xlfn.NUMBERVALUE(MID(LEFT(Table8[[#This Row],[Score]],FIND("-",Table8[[#This Row],[Score]])-1),FIND(" ",Table8[[#This Row],[Score]])+1,LEN(Table8[[#This Row],[Score]])))</f>
        <v>13</v>
      </c>
      <c r="F101">
        <f>_xlfn.NUMBERVALUE(RIGHT(Table8[[#This Row],[Score]],LEN(Table8[[#This Row],[Score]])-FIND("-",Table8[[#This Row],[Score]])))</f>
        <v>3</v>
      </c>
      <c r="G101">
        <f t="shared" si="13"/>
        <v>16</v>
      </c>
      <c r="H101" t="str">
        <f>LEFT(Table8[[#This Row],[Score]],1)</f>
        <v>W</v>
      </c>
      <c r="I101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101" s="33">
        <f>VLOOKUP(Table8[[#This Row],[OPP]],Raw!$L$2:$S$23,7,FALSE)-Raw!$U$2</f>
        <v>0.83001328021248344</v>
      </c>
    </row>
    <row r="102" spans="1:10" x14ac:dyDescent="0.25">
      <c r="A102" t="s">
        <v>500</v>
      </c>
      <c r="B102" t="s">
        <v>58</v>
      </c>
      <c r="C102" t="s">
        <v>240</v>
      </c>
      <c r="D102" t="str">
        <f>IF(LEFT(Table8[[#This Row],[Opponent]],1)="@","Away","Home")</f>
        <v>Away</v>
      </c>
      <c r="E102">
        <f>_xlfn.NUMBERVALUE(MID(LEFT(Table8[[#This Row],[Score]],FIND("-",Table8[[#This Row],[Score]])-1),FIND(" ",Table8[[#This Row],[Score]])+1,LEN(Table8[[#This Row],[Score]])))</f>
        <v>1</v>
      </c>
      <c r="F102">
        <f>_xlfn.NUMBERVALUE(RIGHT(Table8[[#This Row],[Score]],LEN(Table8[[#This Row],[Score]])-FIND("-",Table8[[#This Row],[Score]])))</f>
        <v>3</v>
      </c>
      <c r="G102">
        <f t="shared" si="13"/>
        <v>4</v>
      </c>
      <c r="H102" t="str">
        <f>LEFT(Table8[[#This Row],[Score]],1)</f>
        <v>L</v>
      </c>
      <c r="I102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102" s="33">
        <f>VLOOKUP(Table8[[#This Row],[OPP]],Raw!$L$2:$S$23,7,FALSE)-Raw!$U$2</f>
        <v>0.83001328021248344</v>
      </c>
    </row>
    <row r="103" spans="1:10" x14ac:dyDescent="0.25">
      <c r="A103" t="s">
        <v>501</v>
      </c>
      <c r="B103" t="s">
        <v>314</v>
      </c>
      <c r="C103" t="s">
        <v>322</v>
      </c>
      <c r="D103" t="str">
        <f>IF(LEFT(Table8[[#This Row],[Opponent]],1)="@","Away","Home")</f>
        <v>Home</v>
      </c>
      <c r="E103">
        <f>_xlfn.NUMBERVALUE(MID(LEFT(Table8[[#This Row],[Score]],FIND("-",Table8[[#This Row],[Score]])-1),FIND(" ",Table8[[#This Row],[Score]])+1,LEN(Table8[[#This Row],[Score]])))</f>
        <v>6</v>
      </c>
      <c r="F103">
        <f>_xlfn.NUMBERVALUE(RIGHT(Table8[[#This Row],[Score]],LEN(Table8[[#This Row],[Score]])-FIND("-",Table8[[#This Row],[Score]])))</f>
        <v>7</v>
      </c>
      <c r="G103">
        <f t="shared" ref="G103:G104" si="14">E103+F103</f>
        <v>13</v>
      </c>
      <c r="H103" t="str">
        <f>LEFT(Table8[[#This Row],[Score]],1)</f>
        <v>L</v>
      </c>
      <c r="I103" s="17" t="str">
        <f>VLOOKUP(IF(Table8[[#This Row],[At]]="Home",Table8[[#This Row],[Opponent]],RIGHT(Table8[[#This Row],[Opponent]],LEN(Table8[[#This Row],[Opponent]])-1)),CHOOSE({1,2},[1]StandingsRAW!$J$1:$J$22,[1]StandingsRAW!$L$1:$L$22),2,FALSE)</f>
        <v>LAK</v>
      </c>
      <c r="J103" s="33">
        <f>VLOOKUP(Table8[[#This Row],[OPP]],Raw!$L$2:$S$23,7,FALSE)-Raw!$U$2</f>
        <v>0.13556883576803896</v>
      </c>
    </row>
    <row r="104" spans="1:10" x14ac:dyDescent="0.25">
      <c r="A104" t="s">
        <v>502</v>
      </c>
      <c r="B104" t="s">
        <v>315</v>
      </c>
      <c r="C104" t="s">
        <v>503</v>
      </c>
      <c r="D104" t="str">
        <f>IF(LEFT(Table8[[#This Row],[Opponent]],1)="@","Away","Home")</f>
        <v>Away</v>
      </c>
      <c r="E104">
        <f>_xlfn.NUMBERVALUE(MID(LEFT(Table8[[#This Row],[Score]],FIND("-",Table8[[#This Row],[Score]])-1),FIND(" ",Table8[[#This Row],[Score]])+1,LEN(Table8[[#This Row],[Score]])))</f>
        <v>0</v>
      </c>
      <c r="F104">
        <f>_xlfn.NUMBERVALUE(RIGHT(Table8[[#This Row],[Score]],LEN(Table8[[#This Row],[Score]])-FIND("-",Table8[[#This Row],[Score]])))</f>
        <v>16</v>
      </c>
      <c r="G104">
        <f t="shared" si="14"/>
        <v>16</v>
      </c>
      <c r="H104" t="str">
        <f>LEFT(Table8[[#This Row],[Score]],1)</f>
        <v>L</v>
      </c>
      <c r="I104" s="17" t="str">
        <f>VLOOKUP(IF(Table8[[#This Row],[At]]="Home",Table8[[#This Row],[Opponent]],RIGHT(Table8[[#This Row],[Opponent]],LEN(Table8[[#This Row],[Opponent]])-1)),CHOOSE({1,2},[1]StandingsRAW!$J$1:$J$22,[1]StandingsRAW!$L$1:$L$22),2,FALSE)</f>
        <v>LAK</v>
      </c>
      <c r="J104" s="33">
        <f>VLOOKUP(Table8[[#This Row],[OPP]],Raw!$L$2:$S$23,7,FALSE)-Raw!$U$2</f>
        <v>0.13556883576803896</v>
      </c>
    </row>
    <row r="105" spans="1:10" x14ac:dyDescent="0.25">
      <c r="A105" t="s">
        <v>505</v>
      </c>
      <c r="B105" t="s">
        <v>103</v>
      </c>
      <c r="C105" t="s">
        <v>55</v>
      </c>
      <c r="D105" t="str">
        <f>IF(LEFT(Table8[[#This Row],[Opponent]],1)="@","Away","Home")</f>
        <v>Home</v>
      </c>
      <c r="E105">
        <f>_xlfn.NUMBERVALUE(MID(LEFT(Table8[[#This Row],[Score]],FIND("-",Table8[[#This Row],[Score]])-1),FIND(" ",Table8[[#This Row],[Score]])+1,LEN(Table8[[#This Row],[Score]])))</f>
        <v>5</v>
      </c>
      <c r="F105">
        <f>_xlfn.NUMBERVALUE(RIGHT(Table8[[#This Row],[Score]],LEN(Table8[[#This Row],[Score]])-FIND("-",Table8[[#This Row],[Score]])))</f>
        <v>7</v>
      </c>
      <c r="G105">
        <f>E105+F105</f>
        <v>12</v>
      </c>
      <c r="H105" t="str">
        <f>LEFT(Table8[[#This Row],[Score]],1)</f>
        <v>L</v>
      </c>
      <c r="I105" s="17" t="str">
        <f>VLOOKUP(IF(Table8[[#This Row],[At]]="Home",Table8[[#This Row],[Opponent]],RIGHT(Table8[[#This Row],[Opponent]],LEN(Table8[[#This Row],[Opponent]])-1)),CHOOSE({1,2},[1]StandingsRAW!$J$1:$J$22,[1]StandingsRAW!$L$1:$L$22),2,FALSE)</f>
        <v>WIR</v>
      </c>
      <c r="J105" s="33">
        <f>VLOOKUP(Table8[[#This Row],[OPP]],Raw!$L$2:$S$23,7,FALSE)-Raw!$U$2</f>
        <v>2.7744577246569277</v>
      </c>
    </row>
    <row r="106" spans="1:10" x14ac:dyDescent="0.25">
      <c r="A106" t="s">
        <v>508</v>
      </c>
      <c r="B106" t="s">
        <v>103</v>
      </c>
      <c r="C106" t="s">
        <v>513</v>
      </c>
      <c r="D106" t="str">
        <f>IF(LEFT(Table8[[#This Row],[Opponent]],1)="@","Away","Home")</f>
        <v>Home</v>
      </c>
      <c r="E106">
        <f>_xlfn.NUMBERVALUE(MID(LEFT(Table8[[#This Row],[Score]],FIND("-",Table8[[#This Row],[Score]])-1),FIND(" ",Table8[[#This Row],[Score]])+1,LEN(Table8[[#This Row],[Score]])))</f>
        <v>3</v>
      </c>
      <c r="F106">
        <f>_xlfn.NUMBERVALUE(RIGHT(Table8[[#This Row],[Score]],LEN(Table8[[#This Row],[Score]])-FIND("-",Table8[[#This Row],[Score]])))</f>
        <v>15</v>
      </c>
      <c r="G106">
        <f t="shared" ref="G106:G108" si="15">E106+F106</f>
        <v>18</v>
      </c>
      <c r="H106" t="str">
        <f>LEFT(Table8[[#This Row],[Score]],1)</f>
        <v>L</v>
      </c>
      <c r="I106" s="17" t="str">
        <f>VLOOKUP(IF(Table8[[#This Row],[At]]="Home",Table8[[#This Row],[Opponent]],RIGHT(Table8[[#This Row],[Opponent]],LEN(Table8[[#This Row],[Opponent]])-1)),CHOOSE({1,2},[1]StandingsRAW!$J$1:$J$22,[1]StandingsRAW!$L$1:$L$22),2,FALSE)</f>
        <v>WIR</v>
      </c>
      <c r="J106" s="33">
        <f>VLOOKUP(Table8[[#This Row],[OPP]],Raw!$L$2:$S$23,7,FALSE)-Raw!$U$2</f>
        <v>2.7744577246569277</v>
      </c>
    </row>
    <row r="107" spans="1:10" x14ac:dyDescent="0.25">
      <c r="A107" t="s">
        <v>509</v>
      </c>
      <c r="B107" t="s">
        <v>40</v>
      </c>
      <c r="C107" t="s">
        <v>234</v>
      </c>
      <c r="D107" t="str">
        <f>IF(LEFT(Table8[[#This Row],[Opponent]],1)="@","Away","Home")</f>
        <v>Away</v>
      </c>
      <c r="E107">
        <f>_xlfn.NUMBERVALUE(MID(LEFT(Table8[[#This Row],[Score]],FIND("-",Table8[[#This Row],[Score]])-1),FIND(" ",Table8[[#This Row],[Score]])+1,LEN(Table8[[#This Row],[Score]])))</f>
        <v>2</v>
      </c>
      <c r="F107">
        <f>_xlfn.NUMBERVALUE(RIGHT(Table8[[#This Row],[Score]],LEN(Table8[[#This Row],[Score]])-FIND("-",Table8[[#This Row],[Score]])))</f>
        <v>5</v>
      </c>
      <c r="G107">
        <f t="shared" si="15"/>
        <v>7</v>
      </c>
      <c r="H107" t="str">
        <f>LEFT(Table8[[#This Row],[Score]],1)</f>
        <v>L</v>
      </c>
      <c r="I107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107" s="33">
        <f>VLOOKUP(Table8[[#This Row],[OPP]],Raw!$L$2:$S$23,7,FALSE)-Raw!$U$2</f>
        <v>1.4411243913235945</v>
      </c>
    </row>
    <row r="108" spans="1:10" x14ac:dyDescent="0.25">
      <c r="A108" t="s">
        <v>510</v>
      </c>
      <c r="B108" t="s">
        <v>40</v>
      </c>
      <c r="C108" t="s">
        <v>329</v>
      </c>
      <c r="D108" t="str">
        <f>IF(LEFT(Table8[[#This Row],[Opponent]],1)="@","Away","Home")</f>
        <v>Away</v>
      </c>
      <c r="E108">
        <f>_xlfn.NUMBERVALUE(MID(LEFT(Table8[[#This Row],[Score]],FIND("-",Table8[[#This Row],[Score]])-1),FIND(" ",Table8[[#This Row],[Score]])+1,LEN(Table8[[#This Row],[Score]])))</f>
        <v>5</v>
      </c>
      <c r="F108">
        <f>_xlfn.NUMBERVALUE(RIGHT(Table8[[#This Row],[Score]],LEN(Table8[[#This Row],[Score]])-FIND("-",Table8[[#This Row],[Score]])))</f>
        <v>2</v>
      </c>
      <c r="G108">
        <f t="shared" si="15"/>
        <v>7</v>
      </c>
      <c r="H108" t="str">
        <f>LEFT(Table8[[#This Row],[Score]],1)</f>
        <v>W</v>
      </c>
      <c r="I108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108" s="33">
        <f>VLOOKUP(Table8[[#This Row],[OPP]],Raw!$L$2:$S$23,7,FALSE)-Raw!$U$2</f>
        <v>1.4411243913235945</v>
      </c>
    </row>
    <row r="109" spans="1:10" x14ac:dyDescent="0.25">
      <c r="A109" t="s">
        <v>515</v>
      </c>
      <c r="B109" t="s">
        <v>17</v>
      </c>
      <c r="C109" t="s">
        <v>48</v>
      </c>
      <c r="D109" t="str">
        <f>IF(LEFT(Table8[[#This Row],[Opponent]],1)="@","Away","Home")</f>
        <v>Away</v>
      </c>
      <c r="E109">
        <f>_xlfn.NUMBERVALUE(MID(LEFT(Table8[[#This Row],[Score]],FIND("-",Table8[[#This Row],[Score]])-1),FIND(" ",Table8[[#This Row],[Score]])+1,LEN(Table8[[#This Row],[Score]])))</f>
        <v>4</v>
      </c>
      <c r="F109">
        <f>_xlfn.NUMBERVALUE(RIGHT(Table8[[#This Row],[Score]],LEN(Table8[[#This Row],[Score]])-FIND("-",Table8[[#This Row],[Score]])))</f>
        <v>5</v>
      </c>
      <c r="G109">
        <f>E109+F109</f>
        <v>9</v>
      </c>
      <c r="H109" t="str">
        <f>LEFT(Table8[[#This Row],[Score]],1)</f>
        <v>L</v>
      </c>
      <c r="I109" s="17" t="str">
        <f>VLOOKUP(IF(Table8[[#This Row],[At]]="Home",Table8[[#This Row],[Opponent]],RIGHT(Table8[[#This Row],[Opponent]],LEN(Table8[[#This Row],[Opponent]])-1)),CHOOSE({1,2},[1]StandingsRAW!$J$1:$J$22,[1]StandingsRAW!$L$1:$L$22),2,FALSE)</f>
        <v>KZO</v>
      </c>
      <c r="J109" s="33">
        <f>VLOOKUP(Table8[[#This Row],[OPP]],Raw!$L$2:$S$23,7,FALSE)-Raw!$U$2</f>
        <v>0.53189121448478383</v>
      </c>
    </row>
    <row r="110" spans="1:10" x14ac:dyDescent="0.25">
      <c r="A110" t="s">
        <v>518</v>
      </c>
      <c r="B110" t="s">
        <v>17</v>
      </c>
      <c r="C110" t="s">
        <v>232</v>
      </c>
      <c r="D110" t="str">
        <f>IF(LEFT(Table8[[#This Row],[Opponent]],1)="@","Away","Home")</f>
        <v>Away</v>
      </c>
      <c r="E110">
        <f>_xlfn.NUMBERVALUE(MID(LEFT(Table8[[#This Row],[Score]],FIND("-",Table8[[#This Row],[Score]])-1),FIND(" ",Table8[[#This Row],[Score]])+1,LEN(Table8[[#This Row],[Score]])))</f>
        <v>8</v>
      </c>
      <c r="F110">
        <f>_xlfn.NUMBERVALUE(RIGHT(Table8[[#This Row],[Score]],LEN(Table8[[#This Row],[Score]])-FIND("-",Table8[[#This Row],[Score]])))</f>
        <v>6</v>
      </c>
      <c r="G110">
        <f t="shared" ref="G110:G113" si="16">E110+F110</f>
        <v>14</v>
      </c>
      <c r="H110" t="str">
        <f>LEFT(Table8[[#This Row],[Score]],1)</f>
        <v>W</v>
      </c>
      <c r="I110" s="17" t="str">
        <f>VLOOKUP(IF(Table8[[#This Row],[At]]="Home",Table8[[#This Row],[Opponent]],RIGHT(Table8[[#This Row],[Opponent]],LEN(Table8[[#This Row],[Opponent]])-1)),CHOOSE({1,2},[1]StandingsRAW!$J$1:$J$22,[1]StandingsRAW!$L$1:$L$22),2,FALSE)</f>
        <v>KZO</v>
      </c>
      <c r="J110" s="33">
        <f>VLOOKUP(Table8[[#This Row],[OPP]],Raw!$L$2:$S$23,7,FALSE)-Raw!$U$2</f>
        <v>0.53189121448478383</v>
      </c>
    </row>
    <row r="111" spans="1:10" x14ac:dyDescent="0.25">
      <c r="A111" t="s">
        <v>519</v>
      </c>
      <c r="B111" t="s">
        <v>314</v>
      </c>
      <c r="C111" t="s">
        <v>244</v>
      </c>
      <c r="D111" t="str">
        <f>IF(LEFT(Table8[[#This Row],[Opponent]],1)="@","Away","Home")</f>
        <v>Home</v>
      </c>
      <c r="E111">
        <f>_xlfn.NUMBERVALUE(MID(LEFT(Table8[[#This Row],[Score]],FIND("-",Table8[[#This Row],[Score]])-1),FIND(" ",Table8[[#This Row],[Score]])+1,LEN(Table8[[#This Row],[Score]])))</f>
        <v>6</v>
      </c>
      <c r="F111">
        <f>_xlfn.NUMBERVALUE(RIGHT(Table8[[#This Row],[Score]],LEN(Table8[[#This Row],[Score]])-FIND("-",Table8[[#This Row],[Score]])))</f>
        <v>3</v>
      </c>
      <c r="G111">
        <f t="shared" si="16"/>
        <v>9</v>
      </c>
      <c r="H111" t="str">
        <f>LEFT(Table8[[#This Row],[Score]],1)</f>
        <v>W</v>
      </c>
      <c r="I111" s="17" t="str">
        <f>VLOOKUP(IF(Table8[[#This Row],[At]]="Home",Table8[[#This Row],[Opponent]],RIGHT(Table8[[#This Row],[Opponent]],LEN(Table8[[#This Row],[Opponent]])-1)),CHOOSE({1,2},[1]StandingsRAW!$J$1:$J$22,[1]StandingsRAW!$L$1:$L$22),2,FALSE)</f>
        <v>LAK</v>
      </c>
      <c r="J111" s="33">
        <f>VLOOKUP(Table8[[#This Row],[OPP]],Raw!$L$2:$S$23,7,FALSE)-Raw!$U$2</f>
        <v>0.13556883576803896</v>
      </c>
    </row>
    <row r="112" spans="1:10" x14ac:dyDescent="0.25">
      <c r="A112" t="s">
        <v>520</v>
      </c>
      <c r="B112" t="s">
        <v>315</v>
      </c>
      <c r="C112" t="s">
        <v>36</v>
      </c>
      <c r="D112" t="str">
        <f>IF(LEFT(Table8[[#This Row],[Opponent]],1)="@","Away","Home")</f>
        <v>Away</v>
      </c>
      <c r="E112">
        <f>_xlfn.NUMBERVALUE(MID(LEFT(Table8[[#This Row],[Score]],FIND("-",Table8[[#This Row],[Score]])-1),FIND(" ",Table8[[#This Row],[Score]])+1,LEN(Table8[[#This Row],[Score]])))</f>
        <v>1</v>
      </c>
      <c r="F112">
        <f>_xlfn.NUMBERVALUE(RIGHT(Table8[[#This Row],[Score]],LEN(Table8[[#This Row],[Score]])-FIND("-",Table8[[#This Row],[Score]])))</f>
        <v>5</v>
      </c>
      <c r="G112">
        <f t="shared" si="16"/>
        <v>6</v>
      </c>
      <c r="H112" t="str">
        <f>LEFT(Table8[[#This Row],[Score]],1)</f>
        <v>L</v>
      </c>
      <c r="I112" s="17" t="str">
        <f>VLOOKUP(IF(Table8[[#This Row],[At]]="Home",Table8[[#This Row],[Opponent]],RIGHT(Table8[[#This Row],[Opponent]],LEN(Table8[[#This Row],[Opponent]])-1)),CHOOSE({1,2},[1]StandingsRAW!$J$1:$J$22,[1]StandingsRAW!$L$1:$L$22),2,FALSE)</f>
        <v>LAK</v>
      </c>
      <c r="J112" s="33">
        <f>VLOOKUP(Table8[[#This Row],[OPP]],Raw!$L$2:$S$23,7,FALSE)-Raw!$U$2</f>
        <v>0.13556883576803896</v>
      </c>
    </row>
    <row r="113" spans="1:10" x14ac:dyDescent="0.25">
      <c r="A113" t="s">
        <v>521</v>
      </c>
      <c r="B113" t="s">
        <v>58</v>
      </c>
      <c r="C113" t="s">
        <v>6</v>
      </c>
      <c r="D113" t="str">
        <f>IF(LEFT(Table8[[#This Row],[Opponent]],1)="@","Away","Home")</f>
        <v>Away</v>
      </c>
      <c r="E113">
        <f>_xlfn.NUMBERVALUE(MID(LEFT(Table8[[#This Row],[Score]],FIND("-",Table8[[#This Row],[Score]])-1),FIND(" ",Table8[[#This Row],[Score]])+1,LEN(Table8[[#This Row],[Score]])))</f>
        <v>2</v>
      </c>
      <c r="F113">
        <f>_xlfn.NUMBERVALUE(RIGHT(Table8[[#This Row],[Score]],LEN(Table8[[#This Row],[Score]])-FIND("-",Table8[[#This Row],[Score]])))</f>
        <v>6</v>
      </c>
      <c r="G113">
        <f t="shared" si="16"/>
        <v>8</v>
      </c>
      <c r="H113" t="str">
        <f>LEFT(Table8[[#This Row],[Score]],1)</f>
        <v>L</v>
      </c>
      <c r="I113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113" s="33">
        <f>VLOOKUP(Table8[[#This Row],[OPP]],Raw!$L$2:$S$23,7,FALSE)-Raw!$U$2</f>
        <v>0.83001328021248344</v>
      </c>
    </row>
    <row r="114" spans="1:10" x14ac:dyDescent="0.25">
      <c r="A114" t="s">
        <v>524</v>
      </c>
      <c r="B114" t="s">
        <v>58</v>
      </c>
      <c r="C114" t="s">
        <v>416</v>
      </c>
      <c r="D114" t="str">
        <f>IF(LEFT(Table8[[#This Row],[Opponent]],1)="@","Away","Home")</f>
        <v>Away</v>
      </c>
      <c r="E114">
        <f>_xlfn.NUMBERVALUE(MID(LEFT(Table8[[#This Row],[Score]],FIND("-",Table8[[#This Row],[Score]])-1),FIND(" ",Table8[[#This Row],[Score]])+1,LEN(Table8[[#This Row],[Score]])))</f>
        <v>12</v>
      </c>
      <c r="F114">
        <f>_xlfn.NUMBERVALUE(RIGHT(Table8[[#This Row],[Score]],LEN(Table8[[#This Row],[Score]])-FIND("-",Table8[[#This Row],[Score]])))</f>
        <v>10</v>
      </c>
      <c r="G114">
        <f t="shared" ref="G114:G120" si="17">E114+F114</f>
        <v>22</v>
      </c>
      <c r="H114" t="str">
        <f>LEFT(Table8[[#This Row],[Score]],1)</f>
        <v>W</v>
      </c>
      <c r="I114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114" s="33">
        <f>VLOOKUP(Table8[[#This Row],[OPP]],Raw!$L$2:$S$23,7,FALSE)-Raw!$U$2</f>
        <v>0.83001328021248344</v>
      </c>
    </row>
    <row r="115" spans="1:10" x14ac:dyDescent="0.25">
      <c r="A115" t="s">
        <v>525</v>
      </c>
      <c r="B115" t="s">
        <v>343</v>
      </c>
      <c r="C115" t="s">
        <v>65</v>
      </c>
      <c r="D115" t="str">
        <f>IF(LEFT(Table8[[#This Row],[Opponent]],1)="@","Away","Home")</f>
        <v>Home</v>
      </c>
      <c r="E115">
        <f>_xlfn.NUMBERVALUE(MID(LEFT(Table8[[#This Row],[Score]],FIND("-",Table8[[#This Row],[Score]])-1),FIND(" ",Table8[[#This Row],[Score]])+1,LEN(Table8[[#This Row],[Score]])))</f>
        <v>1</v>
      </c>
      <c r="F115">
        <f>_xlfn.NUMBERVALUE(RIGHT(Table8[[#This Row],[Score]],LEN(Table8[[#This Row],[Score]])-FIND("-",Table8[[#This Row],[Score]])))</f>
        <v>4</v>
      </c>
      <c r="G115">
        <f t="shared" si="17"/>
        <v>5</v>
      </c>
      <c r="H115" t="str">
        <f>LEFT(Table8[[#This Row],[Score]],1)</f>
        <v>L</v>
      </c>
      <c r="I115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115" s="33">
        <f>VLOOKUP(Table8[[#This Row],[OPP]],Raw!$L$2:$S$23,7,FALSE)-Raw!$U$2</f>
        <v>-0.61443116423196109</v>
      </c>
    </row>
    <row r="116" spans="1:10" x14ac:dyDescent="0.25">
      <c r="A116" t="s">
        <v>526</v>
      </c>
      <c r="B116" t="s">
        <v>343</v>
      </c>
      <c r="C116" t="s">
        <v>6</v>
      </c>
      <c r="D116" t="str">
        <f>IF(LEFT(Table8[[#This Row],[Opponent]],1)="@","Away","Home")</f>
        <v>Home</v>
      </c>
      <c r="E116">
        <f>_xlfn.NUMBERVALUE(MID(LEFT(Table8[[#This Row],[Score]],FIND("-",Table8[[#This Row],[Score]])-1),FIND(" ",Table8[[#This Row],[Score]])+1,LEN(Table8[[#This Row],[Score]])))</f>
        <v>2</v>
      </c>
      <c r="F116">
        <f>_xlfn.NUMBERVALUE(RIGHT(Table8[[#This Row],[Score]],LEN(Table8[[#This Row],[Score]])-FIND("-",Table8[[#This Row],[Score]])))</f>
        <v>6</v>
      </c>
      <c r="G116">
        <f t="shared" si="17"/>
        <v>8</v>
      </c>
      <c r="H116" t="str">
        <f>LEFT(Table8[[#This Row],[Score]],1)</f>
        <v>L</v>
      </c>
      <c r="I116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116" s="33">
        <f>VLOOKUP(Table8[[#This Row],[OPP]],Raw!$L$2:$S$23,7,FALSE)-Raw!$U$2</f>
        <v>-0.61443116423196109</v>
      </c>
    </row>
    <row r="117" spans="1:10" x14ac:dyDescent="0.25">
      <c r="A117" t="s">
        <v>527</v>
      </c>
      <c r="B117" t="s">
        <v>343</v>
      </c>
      <c r="C117" t="s">
        <v>318</v>
      </c>
      <c r="D117" t="str">
        <f>IF(LEFT(Table8[[#This Row],[Opponent]],1)="@","Away","Home")</f>
        <v>Home</v>
      </c>
      <c r="E117">
        <f>_xlfn.NUMBERVALUE(MID(LEFT(Table8[[#This Row],[Score]],FIND("-",Table8[[#This Row],[Score]])-1),FIND(" ",Table8[[#This Row],[Score]])+1,LEN(Table8[[#This Row],[Score]])))</f>
        <v>11</v>
      </c>
      <c r="F117">
        <f>_xlfn.NUMBERVALUE(RIGHT(Table8[[#This Row],[Score]],LEN(Table8[[#This Row],[Score]])-FIND("-",Table8[[#This Row],[Score]])))</f>
        <v>4</v>
      </c>
      <c r="G117">
        <f t="shared" si="17"/>
        <v>15</v>
      </c>
      <c r="H117" t="str">
        <f>LEFT(Table8[[#This Row],[Score]],1)</f>
        <v>W</v>
      </c>
      <c r="I117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117" s="33">
        <f>VLOOKUP(Table8[[#This Row],[OPP]],Raw!$L$2:$S$23,7,FALSE)-Raw!$U$2</f>
        <v>-0.61443116423196109</v>
      </c>
    </row>
    <row r="118" spans="1:10" x14ac:dyDescent="0.25">
      <c r="A118" t="s">
        <v>528</v>
      </c>
      <c r="B118" t="s">
        <v>343</v>
      </c>
      <c r="C118" t="s">
        <v>287</v>
      </c>
      <c r="D118" t="str">
        <f>IF(LEFT(Table8[[#This Row],[Opponent]],1)="@","Away","Home")</f>
        <v>Home</v>
      </c>
      <c r="E118">
        <f>_xlfn.NUMBERVALUE(MID(LEFT(Table8[[#This Row],[Score]],FIND("-",Table8[[#This Row],[Score]])-1),FIND(" ",Table8[[#This Row],[Score]])+1,LEN(Table8[[#This Row],[Score]])))</f>
        <v>11</v>
      </c>
      <c r="F118">
        <f>_xlfn.NUMBERVALUE(RIGHT(Table8[[#This Row],[Score]],LEN(Table8[[#This Row],[Score]])-FIND("-",Table8[[#This Row],[Score]])))</f>
        <v>2</v>
      </c>
      <c r="G118">
        <f t="shared" si="17"/>
        <v>13</v>
      </c>
      <c r="H118" t="str">
        <f>LEFT(Table8[[#This Row],[Score]],1)</f>
        <v>W</v>
      </c>
      <c r="I118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118" s="33">
        <f>VLOOKUP(Table8[[#This Row],[OPP]],Raw!$L$2:$S$23,7,FALSE)-Raw!$U$2</f>
        <v>-0.61443116423196109</v>
      </c>
    </row>
    <row r="119" spans="1:10" x14ac:dyDescent="0.25">
      <c r="A119" t="s">
        <v>529</v>
      </c>
      <c r="B119" t="s">
        <v>17</v>
      </c>
      <c r="C119" t="s">
        <v>290</v>
      </c>
      <c r="D119" t="str">
        <f>IF(LEFT(Table8[[#This Row],[Opponent]],1)="@","Away","Home")</f>
        <v>Away</v>
      </c>
      <c r="E119">
        <f>_xlfn.NUMBERVALUE(MID(LEFT(Table8[[#This Row],[Score]],FIND("-",Table8[[#This Row],[Score]])-1),FIND(" ",Table8[[#This Row],[Score]])+1,LEN(Table8[[#This Row],[Score]])))</f>
        <v>5</v>
      </c>
      <c r="F119">
        <f>_xlfn.NUMBERVALUE(RIGHT(Table8[[#This Row],[Score]],LEN(Table8[[#This Row],[Score]])-FIND("-",Table8[[#This Row],[Score]])))</f>
        <v>0</v>
      </c>
      <c r="G119">
        <f t="shared" si="17"/>
        <v>5</v>
      </c>
      <c r="H119" t="str">
        <f>LEFT(Table8[[#This Row],[Score]],1)</f>
        <v>W</v>
      </c>
      <c r="I119" s="17" t="str">
        <f>VLOOKUP(IF(Table8[[#This Row],[At]]="Home",Table8[[#This Row],[Opponent]],RIGHT(Table8[[#This Row],[Opponent]],LEN(Table8[[#This Row],[Opponent]])-1)),CHOOSE({1,2},[1]StandingsRAW!$J$1:$J$22,[1]StandingsRAW!$L$1:$L$22),2,FALSE)</f>
        <v>KZO</v>
      </c>
      <c r="J119" s="33">
        <f>VLOOKUP(Table8[[#This Row],[OPP]],Raw!$L$2:$S$23,7,FALSE)-Raw!$U$2</f>
        <v>0.53189121448478383</v>
      </c>
    </row>
    <row r="120" spans="1:10" x14ac:dyDescent="0.25">
      <c r="A120" t="s">
        <v>530</v>
      </c>
      <c r="B120" t="s">
        <v>17</v>
      </c>
      <c r="C120" t="s">
        <v>372</v>
      </c>
      <c r="D120" t="str">
        <f>IF(LEFT(Table8[[#This Row],[Opponent]],1)="@","Away","Home")</f>
        <v>Away</v>
      </c>
      <c r="E120">
        <f>_xlfn.NUMBERVALUE(MID(LEFT(Table8[[#This Row],[Score]],FIND("-",Table8[[#This Row],[Score]])-1),FIND(" ",Table8[[#This Row],[Score]])+1,LEN(Table8[[#This Row],[Score]])))</f>
        <v>9</v>
      </c>
      <c r="F120">
        <f>_xlfn.NUMBERVALUE(RIGHT(Table8[[#This Row],[Score]],LEN(Table8[[#This Row],[Score]])-FIND("-",Table8[[#This Row],[Score]])))</f>
        <v>1</v>
      </c>
      <c r="G120">
        <f t="shared" si="17"/>
        <v>10</v>
      </c>
      <c r="H120" t="str">
        <f>LEFT(Table8[[#This Row],[Score]],1)</f>
        <v>W</v>
      </c>
      <c r="I120" s="17" t="str">
        <f>VLOOKUP(IF(Table8[[#This Row],[At]]="Home",Table8[[#This Row],[Opponent]],RIGHT(Table8[[#This Row],[Opponent]],LEN(Table8[[#This Row],[Opponent]])-1)),CHOOSE({1,2},[1]StandingsRAW!$J$1:$J$22,[1]StandingsRAW!$L$1:$L$22),2,FALSE)</f>
        <v>KZO</v>
      </c>
      <c r="J120" s="33">
        <f>VLOOKUP(Table8[[#This Row],[OPP]],Raw!$L$2:$S$23,7,FALSE)-Raw!$U$2</f>
        <v>0.53189121448478383</v>
      </c>
    </row>
    <row r="121" spans="1:10" x14ac:dyDescent="0.25">
      <c r="A121" t="s">
        <v>541</v>
      </c>
      <c r="B121" t="s">
        <v>20</v>
      </c>
      <c r="C121" t="s">
        <v>207</v>
      </c>
      <c r="D121" t="str">
        <f>IF(LEFT(Table8[[#This Row],[Opponent]],1)="@","Away","Home")</f>
        <v>Home</v>
      </c>
      <c r="E121">
        <f>_xlfn.NUMBERVALUE(MID(LEFT(Table8[[#This Row],[Score]],FIND("-",Table8[[#This Row],[Score]])-1),FIND(" ",Table8[[#This Row],[Score]])+1,LEN(Table8[[#This Row],[Score]])))</f>
        <v>3</v>
      </c>
      <c r="F121">
        <f>_xlfn.NUMBERVALUE(RIGHT(Table8[[#This Row],[Score]],LEN(Table8[[#This Row],[Score]])-FIND("-",Table8[[#This Row],[Score]])))</f>
        <v>8</v>
      </c>
      <c r="G121">
        <f>E121+F121</f>
        <v>11</v>
      </c>
      <c r="H121" t="str">
        <f>LEFT(Table8[[#This Row],[Score]],1)</f>
        <v>L</v>
      </c>
      <c r="I121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121" s="33">
        <f>VLOOKUP(Table8[[#This Row],[OPP]],Raw!$L$2:$S$23,7,FALSE)-Raw!$U$2</f>
        <v>0.83001328021248344</v>
      </c>
    </row>
    <row r="122" spans="1:10" x14ac:dyDescent="0.25">
      <c r="A122" t="s">
        <v>542</v>
      </c>
      <c r="B122" t="s">
        <v>58</v>
      </c>
      <c r="C122" t="s">
        <v>254</v>
      </c>
      <c r="D122" t="str">
        <f>IF(LEFT(Table8[[#This Row],[Opponent]],1)="@","Away","Home")</f>
        <v>Away</v>
      </c>
      <c r="E122">
        <f>_xlfn.NUMBERVALUE(MID(LEFT(Table8[[#This Row],[Score]],FIND("-",Table8[[#This Row],[Score]])-1),FIND(" ",Table8[[#This Row],[Score]])+1,LEN(Table8[[#This Row],[Score]])))</f>
        <v>5</v>
      </c>
      <c r="F122">
        <f>_xlfn.NUMBERVALUE(RIGHT(Table8[[#This Row],[Score]],LEN(Table8[[#This Row],[Score]])-FIND("-",Table8[[#This Row],[Score]])))</f>
        <v>4</v>
      </c>
      <c r="G122">
        <f>E122+F122</f>
        <v>9</v>
      </c>
      <c r="H122" t="str">
        <f>LEFT(Table8[[#This Row],[Score]],1)</f>
        <v>W</v>
      </c>
      <c r="I122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122" s="33">
        <f>VLOOKUP(Table8[[#This Row],[OPP]],Raw!$L$2:$S$23,7,FALSE)-Raw!$U$2</f>
        <v>0.83001328021248344</v>
      </c>
    </row>
    <row r="123" spans="1:10" x14ac:dyDescent="0.25">
      <c r="A123" t="s">
        <v>543</v>
      </c>
      <c r="B123" t="s">
        <v>10</v>
      </c>
      <c r="C123" t="s">
        <v>238</v>
      </c>
      <c r="D123" t="str">
        <f>IF(LEFT(Table8[[#This Row],[Opponent]],1)="@","Away","Home")</f>
        <v>Away</v>
      </c>
      <c r="E123">
        <f>_xlfn.NUMBERVALUE(MID(LEFT(Table8[[#This Row],[Score]],FIND("-",Table8[[#This Row],[Score]])-1),FIND(" ",Table8[[#This Row],[Score]])+1,LEN(Table8[[#This Row],[Score]])))</f>
        <v>10</v>
      </c>
      <c r="F123">
        <f>_xlfn.NUMBERVALUE(RIGHT(Table8[[#This Row],[Score]],LEN(Table8[[#This Row],[Score]])-FIND("-",Table8[[#This Row],[Score]])))</f>
        <v>2</v>
      </c>
      <c r="G123">
        <f>E123+F123</f>
        <v>12</v>
      </c>
      <c r="H123" t="str">
        <f>LEFT(Table8[[#This Row],[Score]],1)</f>
        <v>W</v>
      </c>
      <c r="I123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123" s="33">
        <f>VLOOKUP(Table8[[#This Row],[OPP]],Raw!$L$2:$S$23,7,FALSE)-Raw!$U$2</f>
        <v>-3.1019116024166244</v>
      </c>
    </row>
    <row r="124" spans="1:10" x14ac:dyDescent="0.25">
      <c r="A124" t="s">
        <v>546</v>
      </c>
      <c r="B124" t="s">
        <v>10</v>
      </c>
      <c r="C124" t="s">
        <v>48</v>
      </c>
      <c r="D124" t="str">
        <f>IF(LEFT(Table8[[#This Row],[Opponent]],1)="@","Away","Home")</f>
        <v>Away</v>
      </c>
      <c r="E124">
        <f>_xlfn.NUMBERVALUE(MID(LEFT(Table8[[#This Row],[Score]],FIND("-",Table8[[#This Row],[Score]])-1),FIND(" ",Table8[[#This Row],[Score]])+1,LEN(Table8[[#This Row],[Score]])))</f>
        <v>4</v>
      </c>
      <c r="F124">
        <f>_xlfn.NUMBERVALUE(RIGHT(Table8[[#This Row],[Score]],LEN(Table8[[#This Row],[Score]])-FIND("-",Table8[[#This Row],[Score]])))</f>
        <v>5</v>
      </c>
      <c r="G124">
        <f>E124+F124</f>
        <v>9</v>
      </c>
      <c r="H124" t="str">
        <f>LEFT(Table8[[#This Row],[Score]],1)</f>
        <v>L</v>
      </c>
      <c r="I124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124" s="33">
        <f>VLOOKUP(Table8[[#This Row],[OPP]],Raw!$L$2:$S$23,7,FALSE)-Raw!$U$2</f>
        <v>-3.1019116024166244</v>
      </c>
    </row>
    <row r="125" spans="1:10" x14ac:dyDescent="0.25">
      <c r="A125" t="s">
        <v>549</v>
      </c>
      <c r="B125" t="s">
        <v>74</v>
      </c>
      <c r="C125" t="s">
        <v>116</v>
      </c>
      <c r="D125" t="str">
        <f>IF(LEFT(Table8[[#This Row],[Opponent]],1)="@","Away","Home")</f>
        <v>Home</v>
      </c>
      <c r="E125">
        <f>_xlfn.NUMBERVALUE(MID(LEFT(Table8[[#This Row],[Score]],FIND("-",Table8[[#This Row],[Score]])-1),FIND(" ",Table8[[#This Row],[Score]])+1,LEN(Table8[[#This Row],[Score]])))</f>
        <v>9</v>
      </c>
      <c r="F125">
        <f>_xlfn.NUMBERVALUE(RIGHT(Table8[[#This Row],[Score]],LEN(Table8[[#This Row],[Score]])-FIND("-",Table8[[#This Row],[Score]])))</f>
        <v>3</v>
      </c>
      <c r="G125">
        <f t="shared" ref="G125:G128" si="18">E125+F125</f>
        <v>12</v>
      </c>
      <c r="H125" t="str">
        <f>LEFT(Table8[[#This Row],[Score]],1)</f>
        <v>W</v>
      </c>
      <c r="I125" s="17" t="str">
        <f>VLOOKUP(IF(Table8[[#This Row],[At]]="Home",Table8[[#This Row],[Opponent]],RIGHT(Table8[[#This Row],[Opponent]],LEN(Table8[[#This Row],[Opponent]])-1)),CHOOSE({1,2},[1]StandingsRAW!$J$1:$J$22,[1]StandingsRAW!$L$1:$L$22),2,FALSE)</f>
        <v>WAU</v>
      </c>
      <c r="J125" s="33">
        <f>VLOOKUP(Table8[[#This Row],[OPP]],Raw!$L$2:$S$23,7,FALSE)-Raw!$U$2</f>
        <v>0.17977853842844585</v>
      </c>
    </row>
    <row r="126" spans="1:10" x14ac:dyDescent="0.25">
      <c r="A126" t="s">
        <v>550</v>
      </c>
      <c r="B126" t="s">
        <v>74</v>
      </c>
      <c r="C126" t="s">
        <v>252</v>
      </c>
      <c r="D126" t="str">
        <f>IF(LEFT(Table8[[#This Row],[Opponent]],1)="@","Away","Home")</f>
        <v>Home</v>
      </c>
      <c r="E126">
        <f>_xlfn.NUMBERVALUE(MID(LEFT(Table8[[#This Row],[Score]],FIND("-",Table8[[#This Row],[Score]])-1),FIND(" ",Table8[[#This Row],[Score]])+1,LEN(Table8[[#This Row],[Score]])))</f>
        <v>2</v>
      </c>
      <c r="F126">
        <f>_xlfn.NUMBERVALUE(RIGHT(Table8[[#This Row],[Score]],LEN(Table8[[#This Row],[Score]])-FIND("-",Table8[[#This Row],[Score]])))</f>
        <v>8</v>
      </c>
      <c r="G126">
        <f t="shared" si="18"/>
        <v>10</v>
      </c>
      <c r="H126" t="str">
        <f>LEFT(Table8[[#This Row],[Score]],1)</f>
        <v>L</v>
      </c>
      <c r="I126" s="17" t="str">
        <f>VLOOKUP(IF(Table8[[#This Row],[At]]="Home",Table8[[#This Row],[Opponent]],RIGHT(Table8[[#This Row],[Opponent]],LEN(Table8[[#This Row],[Opponent]])-1)),CHOOSE({1,2},[1]StandingsRAW!$J$1:$J$22,[1]StandingsRAW!$L$1:$L$22),2,FALSE)</f>
        <v>WAU</v>
      </c>
      <c r="J126" s="33">
        <f>VLOOKUP(Table8[[#This Row],[OPP]],Raw!$L$2:$S$23,7,FALSE)-Raw!$U$2</f>
        <v>0.17977853842844585</v>
      </c>
    </row>
    <row r="127" spans="1:10" x14ac:dyDescent="0.25">
      <c r="A127" t="s">
        <v>551</v>
      </c>
      <c r="B127" t="s">
        <v>69</v>
      </c>
      <c r="C127" t="s">
        <v>234</v>
      </c>
      <c r="D127" t="str">
        <f>IF(LEFT(Table8[[#This Row],[Opponent]],1)="@","Away","Home")</f>
        <v>Home</v>
      </c>
      <c r="E127">
        <f>_xlfn.NUMBERVALUE(MID(LEFT(Table8[[#This Row],[Score]],FIND("-",Table8[[#This Row],[Score]])-1),FIND(" ",Table8[[#This Row],[Score]])+1,LEN(Table8[[#This Row],[Score]])))</f>
        <v>2</v>
      </c>
      <c r="F127">
        <f>_xlfn.NUMBERVALUE(RIGHT(Table8[[#This Row],[Score]],LEN(Table8[[#This Row],[Score]])-FIND("-",Table8[[#This Row],[Score]])))</f>
        <v>5</v>
      </c>
      <c r="G127">
        <f t="shared" si="18"/>
        <v>7</v>
      </c>
      <c r="H127" t="str">
        <f>LEFT(Table8[[#This Row],[Score]],1)</f>
        <v>L</v>
      </c>
      <c r="I127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127" s="33">
        <f>VLOOKUP(Table8[[#This Row],[OPP]],Raw!$L$2:$S$23,7,FALSE)-Raw!$U$2</f>
        <v>-3.1019116024166244</v>
      </c>
    </row>
    <row r="128" spans="1:10" x14ac:dyDescent="0.25">
      <c r="A128" t="s">
        <v>552</v>
      </c>
      <c r="B128" t="s">
        <v>69</v>
      </c>
      <c r="C128" t="s">
        <v>367</v>
      </c>
      <c r="D128" t="str">
        <f>IF(LEFT(Table8[[#This Row],[Opponent]],1)="@","Away","Home")</f>
        <v>Home</v>
      </c>
      <c r="E128">
        <f>_xlfn.NUMBERVALUE(MID(LEFT(Table8[[#This Row],[Score]],FIND("-",Table8[[#This Row],[Score]])-1),FIND(" ",Table8[[#This Row],[Score]])+1,LEN(Table8[[#This Row],[Score]])))</f>
        <v>9</v>
      </c>
      <c r="F128">
        <f>_xlfn.NUMBERVALUE(RIGHT(Table8[[#This Row],[Score]],LEN(Table8[[#This Row],[Score]])-FIND("-",Table8[[#This Row],[Score]])))</f>
        <v>13</v>
      </c>
      <c r="G128">
        <f t="shared" si="18"/>
        <v>22</v>
      </c>
      <c r="H128" t="str">
        <f>LEFT(Table8[[#This Row],[Score]],1)</f>
        <v>L</v>
      </c>
      <c r="I128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128" s="33">
        <f>VLOOKUP(Table8[[#This Row],[OPP]],Raw!$L$2:$S$23,7,FALSE)-Raw!$U$2</f>
        <v>-3.1019116024166244</v>
      </c>
    </row>
    <row r="129" spans="1:10" x14ac:dyDescent="0.25">
      <c r="A129" t="s">
        <v>555</v>
      </c>
      <c r="B129" t="s">
        <v>341</v>
      </c>
      <c r="C129" t="s">
        <v>24</v>
      </c>
      <c r="D129" t="str">
        <f>IF(LEFT(Table8[[#This Row],[Opponent]],1)="@","Away","Home")</f>
        <v>Away</v>
      </c>
      <c r="E129">
        <f>_xlfn.NUMBERVALUE(MID(LEFT(Table8[[#This Row],[Score]],FIND("-",Table8[[#This Row],[Score]])-1),FIND(" ",Table8[[#This Row],[Score]])+1,LEN(Table8[[#This Row],[Score]])))</f>
        <v>10</v>
      </c>
      <c r="F129">
        <f>_xlfn.NUMBERVALUE(RIGHT(Table8[[#This Row],[Score]],LEN(Table8[[#This Row],[Score]])-FIND("-",Table8[[#This Row],[Score]])))</f>
        <v>5</v>
      </c>
      <c r="G129">
        <f>E129+F129</f>
        <v>15</v>
      </c>
      <c r="H129" t="str">
        <f>LEFT(Table8[[#This Row],[Score]],1)</f>
        <v>W</v>
      </c>
      <c r="I129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129" s="33">
        <f>VLOOKUP(Table8[[#This Row],[OPP]],Raw!$L$2:$S$23,7,FALSE)-Raw!$U$2</f>
        <v>-0.61443116423196109</v>
      </c>
    </row>
    <row r="130" spans="1:10" x14ac:dyDescent="0.25">
      <c r="A130" t="s">
        <v>557</v>
      </c>
      <c r="B130" t="s">
        <v>341</v>
      </c>
      <c r="C130" t="s">
        <v>48</v>
      </c>
      <c r="D130" t="str">
        <f>IF(LEFT(Table8[[#This Row],[Opponent]],1)="@","Away","Home")</f>
        <v>Away</v>
      </c>
      <c r="E130">
        <f>_xlfn.NUMBERVALUE(MID(LEFT(Table8[[#This Row],[Score]],FIND("-",Table8[[#This Row],[Score]])-1),FIND(" ",Table8[[#This Row],[Score]])+1,LEN(Table8[[#This Row],[Score]])))</f>
        <v>4</v>
      </c>
      <c r="F130">
        <f>_xlfn.NUMBERVALUE(RIGHT(Table8[[#This Row],[Score]],LEN(Table8[[#This Row],[Score]])-FIND("-",Table8[[#This Row],[Score]])))</f>
        <v>5</v>
      </c>
      <c r="G130">
        <f>E130+F130</f>
        <v>9</v>
      </c>
      <c r="H130" t="str">
        <f>LEFT(Table8[[#This Row],[Score]],1)</f>
        <v>L</v>
      </c>
      <c r="I130" s="17" t="str">
        <f>VLOOKUP(IF(Table8[[#This Row],[At]]="Home",Table8[[#This Row],[Opponent]],RIGHT(Table8[[#This Row],[Opponent]],LEN(Table8[[#This Row],[Opponent]])-1)),CHOOSE({1,2},[1]StandingsRAW!$J$1:$J$22,[1]StandingsRAW!$L$1:$L$22),2,FALSE)</f>
        <v>BC</v>
      </c>
      <c r="J130" s="33">
        <f>VLOOKUP(Table8[[#This Row],[OPP]],Raw!$L$2:$S$23,7,FALSE)-Raw!$U$2</f>
        <v>-0.61443116423196109</v>
      </c>
    </row>
    <row r="131" spans="1:10" x14ac:dyDescent="0.25">
      <c r="A131" t="s">
        <v>558</v>
      </c>
      <c r="B131" t="s">
        <v>40</v>
      </c>
      <c r="C131" t="s">
        <v>205</v>
      </c>
      <c r="D131" t="str">
        <f>IF(LEFT(Table8[[#This Row],[Opponent]],1)="@","Away","Home")</f>
        <v>Away</v>
      </c>
      <c r="E131">
        <f>_xlfn.NUMBERVALUE(MID(LEFT(Table8[[#This Row],[Score]],FIND("-",Table8[[#This Row],[Score]])-1),FIND(" ",Table8[[#This Row],[Score]])+1,LEN(Table8[[#This Row],[Score]])))</f>
        <v>5</v>
      </c>
      <c r="F131">
        <f>_xlfn.NUMBERVALUE(RIGHT(Table8[[#This Row],[Score]],LEN(Table8[[#This Row],[Score]])-FIND("-",Table8[[#This Row],[Score]])))</f>
        <v>6</v>
      </c>
      <c r="G131">
        <f>E131+F131</f>
        <v>11</v>
      </c>
      <c r="H131" t="str">
        <f>LEFT(Table8[[#This Row],[Score]],1)</f>
        <v>L</v>
      </c>
      <c r="I131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131" s="33">
        <f>VLOOKUP(Table8[[#This Row],[OPP]],Raw!$L$2:$S$23,7,FALSE)-Raw!$U$2</f>
        <v>1.4411243913235945</v>
      </c>
    </row>
    <row r="132" spans="1:10" x14ac:dyDescent="0.25">
      <c r="A132" t="s">
        <v>563</v>
      </c>
      <c r="B132" t="s">
        <v>40</v>
      </c>
      <c r="C132" t="s">
        <v>48</v>
      </c>
      <c r="D132" t="str">
        <f>IF(LEFT(Table8[[#This Row],[Opponent]],1)="@","Away","Home")</f>
        <v>Away</v>
      </c>
      <c r="E132">
        <f>_xlfn.NUMBERVALUE(MID(LEFT(Table8[[#This Row],[Score]],FIND("-",Table8[[#This Row],[Score]])-1),FIND(" ",Table8[[#This Row],[Score]])+1,LEN(Table8[[#This Row],[Score]])))</f>
        <v>4</v>
      </c>
      <c r="F132">
        <f>_xlfn.NUMBERVALUE(RIGHT(Table8[[#This Row],[Score]],LEN(Table8[[#This Row],[Score]])-FIND("-",Table8[[#This Row],[Score]])))</f>
        <v>5</v>
      </c>
      <c r="G132">
        <f t="shared" ref="G132:G133" si="19">E132+F132</f>
        <v>9</v>
      </c>
      <c r="H132" t="str">
        <f>LEFT(Table8[[#This Row],[Score]],1)</f>
        <v>L</v>
      </c>
      <c r="I132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132" s="33">
        <f>VLOOKUP(Table8[[#This Row],[OPP]],Raw!$L$2:$S$23,7,FALSE)-Raw!$U$2</f>
        <v>1.4411243913235945</v>
      </c>
    </row>
    <row r="133" spans="1:10" x14ac:dyDescent="0.25">
      <c r="A133" t="s">
        <v>563</v>
      </c>
      <c r="B133" t="s">
        <v>40</v>
      </c>
      <c r="C133" t="s">
        <v>6</v>
      </c>
      <c r="D133" t="str">
        <f>IF(LEFT(Table8[[#This Row],[Opponent]],1)="@","Away","Home")</f>
        <v>Away</v>
      </c>
      <c r="E133">
        <f>_xlfn.NUMBERVALUE(MID(LEFT(Table8[[#This Row],[Score]],FIND("-",Table8[[#This Row],[Score]])-1),FIND(" ",Table8[[#This Row],[Score]])+1,LEN(Table8[[#This Row],[Score]])))</f>
        <v>2</v>
      </c>
      <c r="F133">
        <f>_xlfn.NUMBERVALUE(RIGHT(Table8[[#This Row],[Score]],LEN(Table8[[#This Row],[Score]])-FIND("-",Table8[[#This Row],[Score]])))</f>
        <v>6</v>
      </c>
      <c r="G133">
        <f t="shared" si="19"/>
        <v>8</v>
      </c>
      <c r="H133" t="str">
        <f>LEFT(Table8[[#This Row],[Score]],1)</f>
        <v>L</v>
      </c>
      <c r="I133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133" s="33">
        <f>VLOOKUP(Table8[[#This Row],[OPP]],Raw!$L$2:$S$23,7,FALSE)-Raw!$U$2</f>
        <v>1.4411243913235945</v>
      </c>
    </row>
    <row r="134" spans="1:10" x14ac:dyDescent="0.25">
      <c r="A134" t="s">
        <v>564</v>
      </c>
      <c r="B134" t="s">
        <v>40</v>
      </c>
      <c r="C134" t="s">
        <v>338</v>
      </c>
      <c r="D134" t="str">
        <f>IF(LEFT(Table8[[#This Row],[Opponent]],1)="@","Away","Home")</f>
        <v>Away</v>
      </c>
      <c r="E134">
        <f>_xlfn.NUMBERVALUE(MID(LEFT(Table8[[#This Row],[Score]],FIND("-",Table8[[#This Row],[Score]])-1),FIND(" ",Table8[[#This Row],[Score]])+1,LEN(Table8[[#This Row],[Score]])))</f>
        <v>0</v>
      </c>
      <c r="F134">
        <f>_xlfn.NUMBERVALUE(RIGHT(Table8[[#This Row],[Score]],LEN(Table8[[#This Row],[Score]])-FIND("-",Table8[[#This Row],[Score]])))</f>
        <v>11</v>
      </c>
      <c r="G134">
        <f t="shared" ref="G134:G137" si="20">E134+F134</f>
        <v>11</v>
      </c>
      <c r="H134" t="str">
        <f>LEFT(Table8[[#This Row],[Score]],1)</f>
        <v>L</v>
      </c>
      <c r="I134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134" s="33">
        <f>VLOOKUP(Table8[[#This Row],[OPP]],Raw!$L$2:$S$23,7,FALSE)-Raw!$U$2</f>
        <v>1.4411243913235945</v>
      </c>
    </row>
    <row r="135" spans="1:10" x14ac:dyDescent="0.25">
      <c r="A135" t="s">
        <v>565</v>
      </c>
      <c r="B135" t="s">
        <v>69</v>
      </c>
      <c r="C135" t="s">
        <v>559</v>
      </c>
      <c r="D135" t="str">
        <f>IF(LEFT(Table8[[#This Row],[Opponent]],1)="@","Away","Home")</f>
        <v>Home</v>
      </c>
      <c r="E135">
        <f>_xlfn.NUMBERVALUE(MID(LEFT(Table8[[#This Row],[Score]],FIND("-",Table8[[#This Row],[Score]])-1),FIND(" ",Table8[[#This Row],[Score]])+1,LEN(Table8[[#This Row],[Score]])))</f>
        <v>14</v>
      </c>
      <c r="F135">
        <f>_xlfn.NUMBERVALUE(RIGHT(Table8[[#This Row],[Score]],LEN(Table8[[#This Row],[Score]])-FIND("-",Table8[[#This Row],[Score]])))</f>
        <v>3</v>
      </c>
      <c r="G135">
        <f t="shared" si="20"/>
        <v>17</v>
      </c>
      <c r="H135" t="str">
        <f>LEFT(Table8[[#This Row],[Score]],1)</f>
        <v>W</v>
      </c>
      <c r="I135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135" s="33">
        <f>VLOOKUP(Table8[[#This Row],[OPP]],Raw!$L$2:$S$23,7,FALSE)-Raw!$U$2</f>
        <v>-3.1019116024166244</v>
      </c>
    </row>
    <row r="136" spans="1:10" x14ac:dyDescent="0.25">
      <c r="A136" t="s">
        <v>566</v>
      </c>
      <c r="B136" t="s">
        <v>69</v>
      </c>
      <c r="C136" t="s">
        <v>61</v>
      </c>
      <c r="D136" t="str">
        <f>IF(LEFT(Table8[[#This Row],[Opponent]],1)="@","Away","Home")</f>
        <v>Home</v>
      </c>
      <c r="E136">
        <f>_xlfn.NUMBERVALUE(MID(LEFT(Table8[[#This Row],[Score]],FIND("-",Table8[[#This Row],[Score]])-1),FIND(" ",Table8[[#This Row],[Score]])+1,LEN(Table8[[#This Row],[Score]])))</f>
        <v>7</v>
      </c>
      <c r="F136">
        <f>_xlfn.NUMBERVALUE(RIGHT(Table8[[#This Row],[Score]],LEN(Table8[[#This Row],[Score]])-FIND("-",Table8[[#This Row],[Score]])))</f>
        <v>3</v>
      </c>
      <c r="G136">
        <f t="shared" si="20"/>
        <v>10</v>
      </c>
      <c r="H136" t="str">
        <f>LEFT(Table8[[#This Row],[Score]],1)</f>
        <v>W</v>
      </c>
      <c r="I136" s="17" t="str">
        <f>VLOOKUP(IF(Table8[[#This Row],[At]]="Home",Table8[[#This Row],[Opponent]],RIGHT(Table8[[#This Row],[Opponent]],LEN(Table8[[#This Row],[Opponent]])-1)),CHOOSE({1,2},[1]StandingsRAW!$J$1:$J$22,[1]StandingsRAW!$L$1:$L$22),2,FALSE)</f>
        <v>KMO</v>
      </c>
      <c r="J136" s="33">
        <f>VLOOKUP(Table8[[#This Row],[OPP]],Raw!$L$2:$S$23,7,FALSE)-Raw!$U$2</f>
        <v>-3.1019116024166244</v>
      </c>
    </row>
    <row r="137" spans="1:10" x14ac:dyDescent="0.25">
      <c r="A137" t="s">
        <v>568</v>
      </c>
      <c r="B137" t="s">
        <v>120</v>
      </c>
      <c r="C137" t="s">
        <v>348</v>
      </c>
      <c r="D137" t="str">
        <f>IF(LEFT(Table8[[#This Row],[Opponent]],1)="@","Away","Home")</f>
        <v>Away</v>
      </c>
      <c r="E137">
        <f>_xlfn.NUMBERVALUE(MID(LEFT(Table8[[#This Row],[Score]],FIND("-",Table8[[#This Row],[Score]])-1),FIND(" ",Table8[[#This Row],[Score]])+1,LEN(Table8[[#This Row],[Score]])))</f>
        <v>13</v>
      </c>
      <c r="F137">
        <f>_xlfn.NUMBERVALUE(RIGHT(Table8[[#This Row],[Score]],LEN(Table8[[#This Row],[Score]])-FIND("-",Table8[[#This Row],[Score]])))</f>
        <v>11</v>
      </c>
      <c r="G137">
        <f t="shared" si="20"/>
        <v>24</v>
      </c>
      <c r="H137" t="str">
        <f>LEFT(Table8[[#This Row],[Score]],1)</f>
        <v>W</v>
      </c>
      <c r="I137" s="17" t="str">
        <f>VLOOKUP(IF(Table8[[#This Row],[At]]="Home",Table8[[#This Row],[Opponent]],RIGHT(Table8[[#This Row],[Opponent]],LEN(Table8[[#This Row],[Opponent]])-1)),CHOOSE({1,2},[1]StandingsRAW!$J$1:$J$22,[1]StandingsRAW!$L$1:$L$22),2,FALSE)</f>
        <v>WAU</v>
      </c>
      <c r="J137" s="33">
        <f>VLOOKUP(Table8[[#This Row],[OPP]],Raw!$L$2:$S$23,7,FALSE)-Raw!$U$2</f>
        <v>0.17977853842844585</v>
      </c>
    </row>
    <row r="138" spans="1:10" x14ac:dyDescent="0.25">
      <c r="A138" t="s">
        <v>589</v>
      </c>
      <c r="B138" t="s">
        <v>120</v>
      </c>
      <c r="C138" t="s">
        <v>46</v>
      </c>
      <c r="D138" t="str">
        <f>IF(LEFT(Table8[[#This Row],[Opponent]],1)="@","Away","Home")</f>
        <v>Away</v>
      </c>
      <c r="E138">
        <f>_xlfn.NUMBERVALUE(MID(LEFT(Table8[[#This Row],[Score]],FIND("-",Table8[[#This Row],[Score]])-1),FIND(" ",Table8[[#This Row],[Score]])+1,LEN(Table8[[#This Row],[Score]])))</f>
        <v>6</v>
      </c>
      <c r="F138">
        <f>_xlfn.NUMBERVALUE(RIGHT(Table8[[#This Row],[Score]],LEN(Table8[[#This Row],[Score]])-FIND("-",Table8[[#This Row],[Score]])))</f>
        <v>8</v>
      </c>
      <c r="G138">
        <f>E138+F138</f>
        <v>14</v>
      </c>
      <c r="H138" t="str">
        <f>LEFT(Table8[[#This Row],[Score]],1)</f>
        <v>L</v>
      </c>
      <c r="I138" s="17" t="str">
        <f>VLOOKUP(IF(Table8[[#This Row],[At]]="Home",Table8[[#This Row],[Opponent]],RIGHT(Table8[[#This Row],[Opponent]],LEN(Table8[[#This Row],[Opponent]])-1)),CHOOSE({1,2},[1]StandingsRAW!$J$1:$J$22,[1]StandingsRAW!$L$1:$L$22),2,FALSE)</f>
        <v>WAU</v>
      </c>
      <c r="J138" s="33">
        <f>VLOOKUP(Table8[[#This Row],[OPP]],Raw!$L$2:$S$23,7,FALSE)-Raw!$U$2</f>
        <v>0.17977853842844585</v>
      </c>
    </row>
    <row r="139" spans="1:10" x14ac:dyDescent="0.25">
      <c r="A139" t="s">
        <v>592</v>
      </c>
      <c r="B139" t="s">
        <v>5</v>
      </c>
      <c r="C139" t="s">
        <v>104</v>
      </c>
      <c r="D139" t="str">
        <f>IF(LEFT(Table8[[#This Row],[Opponent]],1)="@","Away","Home")</f>
        <v>Home</v>
      </c>
      <c r="E139">
        <f>_xlfn.NUMBERVALUE(MID(LEFT(Table8[[#This Row],[Score]],FIND("-",Table8[[#This Row],[Score]])-1),FIND(" ",Table8[[#This Row],[Score]])+1,LEN(Table8[[#This Row],[Score]])))</f>
        <v>0</v>
      </c>
      <c r="F139">
        <f>_xlfn.NUMBERVALUE(RIGHT(Table8[[#This Row],[Score]],LEN(Table8[[#This Row],[Score]])-FIND("-",Table8[[#This Row],[Score]])))</f>
        <v>9</v>
      </c>
      <c r="G139">
        <f>E139+F139</f>
        <v>9</v>
      </c>
      <c r="H139" t="str">
        <f>LEFT(Table8[[#This Row],[Score]],1)</f>
        <v>L</v>
      </c>
      <c r="I139" s="17" t="str">
        <f>VLOOKUP(IF(Table8[[#This Row],[At]]="Home",Table8[[#This Row],[Opponent]],RIGHT(Table8[[#This Row],[Opponent]],LEN(Table8[[#This Row],[Opponent]])-1)),CHOOSE({1,2},[1]StandingsRAW!$J$1:$J$22,[1]StandingsRAW!$L$1:$L$22),2,FALSE)</f>
        <v>KZO</v>
      </c>
      <c r="J139" s="33">
        <f>VLOOKUP(Table8[[#This Row],[OPP]],Raw!$L$2:$S$23,7,FALSE)-Raw!$U$2</f>
        <v>0.53189121448478383</v>
      </c>
    </row>
    <row r="140" spans="1:10" x14ac:dyDescent="0.25">
      <c r="A140" t="s">
        <v>595</v>
      </c>
      <c r="B140" t="s">
        <v>5</v>
      </c>
      <c r="C140" t="s">
        <v>85</v>
      </c>
      <c r="D140" t="str">
        <f>IF(LEFT(Table8[[#This Row],[Opponent]],1)="@","Away","Home")</f>
        <v>Home</v>
      </c>
      <c r="E140">
        <f>_xlfn.NUMBERVALUE(MID(LEFT(Table8[[#This Row],[Score]],FIND("-",Table8[[#This Row],[Score]])-1),FIND(" ",Table8[[#This Row],[Score]])+1,LEN(Table8[[#This Row],[Score]])))</f>
        <v>5</v>
      </c>
      <c r="F140">
        <f>_xlfn.NUMBERVALUE(RIGHT(Table8[[#This Row],[Score]],LEN(Table8[[#This Row],[Score]])-FIND("-",Table8[[#This Row],[Score]])))</f>
        <v>3</v>
      </c>
      <c r="G140">
        <f>E140+F140</f>
        <v>8</v>
      </c>
      <c r="H140" t="str">
        <f>LEFT(Table8[[#This Row],[Score]],1)</f>
        <v>W</v>
      </c>
      <c r="I140" s="17" t="str">
        <f>VLOOKUP(IF(Table8[[#This Row],[At]]="Home",Table8[[#This Row],[Opponent]],RIGHT(Table8[[#This Row],[Opponent]],LEN(Table8[[#This Row],[Opponent]])-1)),CHOOSE({1,2},[1]StandingsRAW!$J$1:$J$22,[1]StandingsRAW!$L$1:$L$22),2,FALSE)</f>
        <v>KZO</v>
      </c>
      <c r="J140" s="33">
        <f>VLOOKUP(Table8[[#This Row],[OPP]],Raw!$L$2:$S$23,7,FALSE)-Raw!$U$2</f>
        <v>0.53189121448478383</v>
      </c>
    </row>
    <row r="141" spans="1:10" x14ac:dyDescent="0.25">
      <c r="A141" t="s">
        <v>598</v>
      </c>
      <c r="B141" t="s">
        <v>20</v>
      </c>
      <c r="C141" t="s">
        <v>79</v>
      </c>
      <c r="D141" t="str">
        <f>IF(LEFT(Table8[[#This Row],[Opponent]],1)="@","Away","Home")</f>
        <v>Home</v>
      </c>
      <c r="E141">
        <f>_xlfn.NUMBERVALUE(MID(LEFT(Table8[[#This Row],[Score]],FIND("-",Table8[[#This Row],[Score]])-1),FIND(" ",Table8[[#This Row],[Score]])+1,LEN(Table8[[#This Row],[Score]])))</f>
        <v>8</v>
      </c>
      <c r="F141">
        <f>_xlfn.NUMBERVALUE(RIGHT(Table8[[#This Row],[Score]],LEN(Table8[[#This Row],[Score]])-FIND("-",Table8[[#This Row],[Score]])))</f>
        <v>15</v>
      </c>
      <c r="G141">
        <f>E141+F141</f>
        <v>23</v>
      </c>
      <c r="H141" t="str">
        <f>LEFT(Table8[[#This Row],[Score]],1)</f>
        <v>L</v>
      </c>
      <c r="I141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141" s="33">
        <f>VLOOKUP(Table8[[#This Row],[OPP]],Raw!$L$2:$S$23,7,FALSE)-Raw!$U$2</f>
        <v>0.83001328021248344</v>
      </c>
    </row>
    <row r="142" spans="1:10" x14ac:dyDescent="0.25">
      <c r="A142" t="s">
        <v>600</v>
      </c>
      <c r="B142" t="s">
        <v>58</v>
      </c>
      <c r="C142" t="s">
        <v>200</v>
      </c>
      <c r="D142" t="str">
        <f>IF(LEFT(Table8[[#This Row],[Opponent]],1)="@","Away","Home")</f>
        <v>Away</v>
      </c>
      <c r="E142">
        <f>_xlfn.NUMBERVALUE(MID(LEFT(Table8[[#This Row],[Score]],FIND("-",Table8[[#This Row],[Score]])-1),FIND(" ",Table8[[#This Row],[Score]])+1,LEN(Table8[[#This Row],[Score]])))</f>
        <v>8</v>
      </c>
      <c r="F142">
        <f>_xlfn.NUMBERVALUE(RIGHT(Table8[[#This Row],[Score]],LEN(Table8[[#This Row],[Score]])-FIND("-",Table8[[#This Row],[Score]])))</f>
        <v>0</v>
      </c>
      <c r="G142">
        <f t="shared" ref="G142:G146" si="21">E142+F142</f>
        <v>8</v>
      </c>
      <c r="H142" t="str">
        <f>LEFT(Table8[[#This Row],[Score]],1)</f>
        <v>W</v>
      </c>
      <c r="I142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142" s="33">
        <f>VLOOKUP(Table8[[#This Row],[OPP]],Raw!$L$2:$S$23,7,FALSE)-Raw!$U$2</f>
        <v>0.83001328021248344</v>
      </c>
    </row>
    <row r="143" spans="1:10" x14ac:dyDescent="0.25">
      <c r="A143" t="s">
        <v>600</v>
      </c>
      <c r="B143" t="s">
        <v>58</v>
      </c>
      <c r="C143" t="s">
        <v>295</v>
      </c>
      <c r="D143" t="str">
        <f>IF(LEFT(Table8[[#This Row],[Opponent]],1)="@","Away","Home")</f>
        <v>Away</v>
      </c>
      <c r="E143">
        <f>_xlfn.NUMBERVALUE(MID(LEFT(Table8[[#This Row],[Score]],FIND("-",Table8[[#This Row],[Score]])-1),FIND(" ",Table8[[#This Row],[Score]])+1,LEN(Table8[[#This Row],[Score]])))</f>
        <v>1</v>
      </c>
      <c r="F143">
        <f>_xlfn.NUMBERVALUE(RIGHT(Table8[[#This Row],[Score]],LEN(Table8[[#This Row],[Score]])-FIND("-",Table8[[#This Row],[Score]])))</f>
        <v>0</v>
      </c>
      <c r="G143">
        <f t="shared" si="21"/>
        <v>1</v>
      </c>
      <c r="H143" t="str">
        <f>LEFT(Table8[[#This Row],[Score]],1)</f>
        <v>W</v>
      </c>
      <c r="I143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143" s="33">
        <f>VLOOKUP(Table8[[#This Row],[OPP]],Raw!$L$2:$S$23,7,FALSE)-Raw!$U$2</f>
        <v>0.83001328021248344</v>
      </c>
    </row>
    <row r="144" spans="1:10" x14ac:dyDescent="0.25">
      <c r="A144" t="s">
        <v>601</v>
      </c>
      <c r="B144" t="s">
        <v>20</v>
      </c>
      <c r="C144" t="s">
        <v>323</v>
      </c>
      <c r="D144" t="str">
        <f>IF(LEFT(Table8[[#This Row],[Opponent]],1)="@","Away","Home")</f>
        <v>Home</v>
      </c>
      <c r="E144">
        <f>_xlfn.NUMBERVALUE(MID(LEFT(Table8[[#This Row],[Score]],FIND("-",Table8[[#This Row],[Score]])-1),FIND(" ",Table8[[#This Row],[Score]])+1,LEN(Table8[[#This Row],[Score]])))</f>
        <v>7</v>
      </c>
      <c r="F144">
        <f>_xlfn.NUMBERVALUE(RIGHT(Table8[[#This Row],[Score]],LEN(Table8[[#This Row],[Score]])-FIND("-",Table8[[#This Row],[Score]])))</f>
        <v>6</v>
      </c>
      <c r="G144">
        <f t="shared" si="21"/>
        <v>13</v>
      </c>
      <c r="H144" t="str">
        <f>LEFT(Table8[[#This Row],[Score]],1)</f>
        <v>W</v>
      </c>
      <c r="I144" s="17" t="str">
        <f>VLOOKUP(IF(Table8[[#This Row],[At]]="Home",Table8[[#This Row],[Opponent]],RIGHT(Table8[[#This Row],[Opponent]],LEN(Table8[[#This Row],[Opponent]])-1)),CHOOSE({1,2},[1]StandingsRAW!$J$1:$J$22,[1]StandingsRAW!$L$1:$L$22),2,FALSE)</f>
        <v>RFD</v>
      </c>
      <c r="J144" s="33">
        <f>VLOOKUP(Table8[[#This Row],[OPP]],Raw!$L$2:$S$23,7,FALSE)-Raw!$U$2</f>
        <v>0.83001328021248344</v>
      </c>
    </row>
    <row r="145" spans="1:10" x14ac:dyDescent="0.25">
      <c r="A145" t="s">
        <v>602</v>
      </c>
      <c r="B145" t="s">
        <v>23</v>
      </c>
      <c r="C145" t="s">
        <v>214</v>
      </c>
      <c r="D145" t="str">
        <f>IF(LEFT(Table8[[#This Row],[Opponent]],1)="@","Away","Home")</f>
        <v>Home</v>
      </c>
      <c r="E145">
        <f>_xlfn.NUMBERVALUE(MID(LEFT(Table8[[#This Row],[Score]],FIND("-",Table8[[#This Row],[Score]])-1),FIND(" ",Table8[[#This Row],[Score]])+1,LEN(Table8[[#This Row],[Score]])))</f>
        <v>7</v>
      </c>
      <c r="F145">
        <f>_xlfn.NUMBERVALUE(RIGHT(Table8[[#This Row],[Score]],LEN(Table8[[#This Row],[Score]])-FIND("-",Table8[[#This Row],[Score]])))</f>
        <v>10</v>
      </c>
      <c r="G145">
        <f t="shared" si="21"/>
        <v>17</v>
      </c>
      <c r="H145" t="str">
        <f>LEFT(Table8[[#This Row],[Score]],1)</f>
        <v>L</v>
      </c>
      <c r="I145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145" s="33">
        <f>VLOOKUP(Table8[[#This Row],[OPP]],Raw!$L$2:$S$23,7,FALSE)-Raw!$U$2</f>
        <v>1.4411243913235945</v>
      </c>
    </row>
    <row r="146" spans="1:10" x14ac:dyDescent="0.25">
      <c r="A146" t="s">
        <v>603</v>
      </c>
      <c r="B146" t="s">
        <v>23</v>
      </c>
      <c r="C146" t="s">
        <v>246</v>
      </c>
      <c r="D146" t="str">
        <f>IF(LEFT(Table8[[#This Row],[Opponent]],1)="@","Away","Home")</f>
        <v>Home</v>
      </c>
      <c r="E146">
        <f>_xlfn.NUMBERVALUE(MID(LEFT(Table8[[#This Row],[Score]],FIND("-",Table8[[#This Row],[Score]])-1),FIND(" ",Table8[[#This Row],[Score]])+1,LEN(Table8[[#This Row],[Score]])))</f>
        <v>4</v>
      </c>
      <c r="F146">
        <f>_xlfn.NUMBERVALUE(RIGHT(Table8[[#This Row],[Score]],LEN(Table8[[#This Row],[Score]])-FIND("-",Table8[[#This Row],[Score]])))</f>
        <v>6</v>
      </c>
      <c r="G146">
        <f t="shared" si="21"/>
        <v>10</v>
      </c>
      <c r="H146" t="str">
        <f>LEFT(Table8[[#This Row],[Score]],1)</f>
        <v>L</v>
      </c>
      <c r="I146" s="17" t="str">
        <f>VLOOKUP(IF(Table8[[#This Row],[At]]="Home",Table8[[#This Row],[Opponent]],RIGHT(Table8[[#This Row],[Opponent]],LEN(Table8[[#This Row],[Opponent]])-1)),CHOOSE({1,2},[1]StandingsRAW!$J$1:$J$22,[1]StandingsRAW!$L$1:$L$22),2,FALSE)</f>
        <v>TVC</v>
      </c>
      <c r="J146" s="33">
        <f>VLOOKUP(Table8[[#This Row],[OPP]],Raw!$L$2:$S$23,7,FALSE)-Raw!$U$2</f>
        <v>1.4411243913235945</v>
      </c>
    </row>
    <row r="147" spans="1:10" x14ac:dyDescent="0.25">
      <c r="A147" t="s">
        <v>608</v>
      </c>
      <c r="B147" t="s">
        <v>17</v>
      </c>
      <c r="C147" t="s">
        <v>77</v>
      </c>
      <c r="D147" t="str">
        <f>IF(LEFT(Table8[[#This Row],[Opponent]],1)="@","Away","Home")</f>
        <v>Away</v>
      </c>
      <c r="E147">
        <f>_xlfn.NUMBERVALUE(MID(LEFT(Table8[[#This Row],[Score]],FIND("-",Table8[[#This Row],[Score]])-1),FIND(" ",Table8[[#This Row],[Score]])+1,LEN(Table8[[#This Row],[Score]])))</f>
        <v>1</v>
      </c>
      <c r="F147">
        <f>_xlfn.NUMBERVALUE(RIGHT(Table8[[#This Row],[Score]],LEN(Table8[[#This Row],[Score]])-FIND("-",Table8[[#This Row],[Score]])))</f>
        <v>9</v>
      </c>
      <c r="G147">
        <f>E147+F147</f>
        <v>10</v>
      </c>
      <c r="H147" t="str">
        <f>LEFT(Table8[[#This Row],[Score]],1)</f>
        <v>L</v>
      </c>
      <c r="I147" s="17" t="str">
        <f>VLOOKUP(IF(Table8[[#This Row],[At]]="Home",Table8[[#This Row],[Opponent]],RIGHT(Table8[[#This Row],[Opponent]],LEN(Table8[[#This Row],[Opponent]])-1)),CHOOSE({1,2},[1]StandingsRAW!$J$1:$J$22,[1]StandingsRAW!$L$1:$L$22),2,FALSE)</f>
        <v>KZO</v>
      </c>
      <c r="J147" s="33">
        <f>VLOOKUP(Table8[[#This Row],[OPP]],Raw!$L$2:$S$23,7,FALSE)-Raw!$U$2</f>
        <v>0.53189121448478383</v>
      </c>
    </row>
  </sheetData>
  <conditionalFormatting sqref="L17">
    <cfRule type="cellIs" dxfId="79" priority="4" operator="greaterThan">
      <formula>100</formula>
    </cfRule>
    <cfRule type="cellIs" dxfId="78" priority="5" operator="lessThan">
      <formula>100</formula>
    </cfRule>
  </conditionalFormatting>
  <conditionalFormatting sqref="L18">
    <cfRule type="cellIs" dxfId="77" priority="2" operator="greaterThan">
      <formula>100</formula>
    </cfRule>
    <cfRule type="cellIs" dxfId="76" priority="3" operator="lessThan">
      <formula>100</formula>
    </cfRule>
  </conditionalFormatting>
  <conditionalFormatting sqref="L17:L18">
    <cfRule type="cellIs" dxfId="75" priority="1" operator="equal">
      <formula>100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g r z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K g r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K 8 1 Q o i k e 4 D g A A A B E A A A A T A B w A R m 9 y b X V s Y X M v U 2 V j d G l v b j E u b S C i G A A o o B Q A A A A A A A A A A A A A A A A A A A A A A A A A A A A r T k 0 u y c z P U w i G 0 I b W A F B L A Q I t A B Q A A g A I A C o K 8 1 T I s Y J a p A A A A P Y A A A A S A A A A A A A A A A A A A A A A A A A A A A B D b 2 5 m a W c v U G F j a 2 F n Z S 5 4 b W x Q S w E C L Q A U A A I A C A A q C v N U D 8 r p q 6 Q A A A D p A A A A E w A A A A A A A A A A A A A A A A D w A A A A W 0 N v b n R l b n R f V H l w Z X N d L n h t b F B L A Q I t A B Q A A g A I A C o K 8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h w H G u D f N S L 9 W I 4 b J B G 4 s A A A A A A I A A A A A A B B m A A A A A Q A A I A A A A M 3 I F z I D 6 l I K J Q U p y / B t I c n r l r H I K u z F 1 t Y R v L 7 t d + n Q A A A A A A 6 A A A A A A g A A I A A A A E B c L d d m F l z y Z / l S I x Q i a J a T h C 7 d O T V + H 0 C j 2 I Q H U r U J U A A A A J R T x L U N r y X V e b B w 6 9 Z O Y z C 3 l P R M F W R Y p O h s + x u r O X g M k K J F w Q x L a n G 8 3 B R G x S H p Q I E U b C 8 M 3 J x y h L z w b h p h o S l O 8 L e G m G O L p G 4 K 2 h g T k m 2 e Q A A A A J U f k v 3 Z I f O i q d 4 9 j d b 3 5 E 4 L n S 8 a T O i K V f P 6 K u 3 U S Q O O r 0 M K 9 P c z Q K y A x + d b g 9 5 v r m c 6 w n S W l + e B z S r u F f h v J C U = < / D a t a M a s h u p > 
</file>

<file path=customXml/itemProps1.xml><?xml version="1.0" encoding="utf-8"?>
<ds:datastoreItem xmlns:ds="http://schemas.openxmlformats.org/officeDocument/2006/customXml" ds:itemID="{1DE77D5D-8901-4C97-A452-42BD7616A1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Full League</vt:lpstr>
      <vt:lpstr>Raw</vt:lpstr>
      <vt:lpstr>BC</vt:lpstr>
      <vt:lpstr>BIS</vt:lpstr>
      <vt:lpstr>DUL</vt:lpstr>
      <vt:lpstr>EC</vt:lpstr>
      <vt:lpstr>FDL</vt:lpstr>
      <vt:lpstr>GB</vt:lpstr>
      <vt:lpstr>KEN</vt:lpstr>
      <vt:lpstr>KMO</vt:lpstr>
      <vt:lpstr>KZO</vt:lpstr>
      <vt:lpstr>LAC</vt:lpstr>
      <vt:lpstr>LAK</vt:lpstr>
      <vt:lpstr>MAD</vt:lpstr>
      <vt:lpstr>MAN</vt:lpstr>
      <vt:lpstr>MIN</vt:lpstr>
      <vt:lpstr>RFD</vt:lpstr>
      <vt:lpstr>ROC</vt:lpstr>
      <vt:lpstr>STC</vt:lpstr>
      <vt:lpstr>TVC</vt:lpstr>
      <vt:lpstr>WAT</vt:lpstr>
      <vt:lpstr>WAU</vt:lpstr>
      <vt:lpstr>WIL</vt:lpstr>
      <vt:lpstr>WIR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Banks</dc:creator>
  <cp:lastModifiedBy>Jack Banks</cp:lastModifiedBy>
  <dcterms:created xsi:type="dcterms:W3CDTF">2022-05-25T21:12:17Z</dcterms:created>
  <dcterms:modified xsi:type="dcterms:W3CDTF">2022-10-03T03:55:36Z</dcterms:modified>
</cp:coreProperties>
</file>