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OneDrive\Desktop\Battle Creek\Scouting Reports\"/>
    </mc:Choice>
  </mc:AlternateContent>
  <xr:revisionPtr revIDLastSave="0" documentId="13_ncr:1_{735A6D4B-0753-451F-B8A1-FBF9D1FEDE9E}" xr6:coauthVersionLast="47" xr6:coauthVersionMax="47" xr10:uidLastSave="{00000000-0000-0000-0000-000000000000}"/>
  <bookViews>
    <workbookView xWindow="-120" yWindow="-120" windowWidth="20730" windowHeight="11160" activeTab="4" xr2:uid="{E1336CCF-0CF5-4843-B5DA-5B1C8A264CB0}"/>
  </bookViews>
  <sheets>
    <sheet name="P-Info" sheetId="2" r:id="rId1"/>
    <sheet name="P-Stats" sheetId="9" r:id="rId2"/>
    <sheet name="B-Info" sheetId="7" r:id="rId3"/>
    <sheet name="B-Stats" sheetId="8" r:id="rId4"/>
    <sheet name="Pitchers" sheetId="1" r:id="rId5"/>
    <sheet name="Printer" sheetId="11" r:id="rId6"/>
    <sheet name="Hitters" sheetId="10" r:id="rId7"/>
  </sheets>
  <definedNames>
    <definedName name="_xlnm.Print_Area" localSheetId="4">Pitchers!$A$1:$S$47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2" i="11" l="1" a="1"/>
  <c r="P32" i="11" s="1"/>
  <c r="O32" i="11" a="1"/>
  <c r="O32" i="11" s="1"/>
  <c r="N32" i="11" a="1"/>
  <c r="N32" i="11" s="1"/>
  <c r="M32" i="11" a="1"/>
  <c r="M32" i="11" s="1"/>
  <c r="L32" i="11" a="1"/>
  <c r="L32" i="11" s="1"/>
  <c r="K32" i="11" a="1"/>
  <c r="K32" i="11" s="1"/>
  <c r="J32" i="11" a="1"/>
  <c r="J32" i="11" s="1"/>
  <c r="Q32" i="11" s="1" a="1"/>
  <c r="Q32" i="11" s="1"/>
  <c r="I32" i="11" a="1"/>
  <c r="I32" i="11" s="1"/>
  <c r="H32" i="11" a="1"/>
  <c r="H32" i="11" s="1"/>
  <c r="G32" i="11" a="1"/>
  <c r="G32" i="11" s="1"/>
  <c r="F32" i="11" a="1"/>
  <c r="F32" i="11" s="1"/>
  <c r="E32" i="11" a="1"/>
  <c r="E32" i="11" s="1"/>
  <c r="D32" i="11" a="1"/>
  <c r="D32" i="11" s="1"/>
  <c r="C32" i="11"/>
  <c r="P28" i="11"/>
  <c r="P28" i="11" a="1"/>
  <c r="O28" i="11"/>
  <c r="O28" i="11" a="1"/>
  <c r="N28" i="11"/>
  <c r="N28" i="11" a="1"/>
  <c r="M28" i="11" a="1"/>
  <c r="M28" i="11" s="1"/>
  <c r="L28" i="11"/>
  <c r="L28" i="11" a="1"/>
  <c r="K28" i="11"/>
  <c r="K28" i="11" a="1"/>
  <c r="J28" i="11"/>
  <c r="J28" i="11" a="1"/>
  <c r="I28" i="11" a="1"/>
  <c r="I28" i="11" s="1"/>
  <c r="Q28" i="11" s="1" a="1"/>
  <c r="Q28" i="11" s="1"/>
  <c r="H28" i="11"/>
  <c r="H28" i="11" a="1"/>
  <c r="G28" i="11"/>
  <c r="G28" i="11" a="1"/>
  <c r="F28" i="11"/>
  <c r="F28" i="11" a="1"/>
  <c r="E28" i="11" a="1"/>
  <c r="E28" i="11" s="1"/>
  <c r="D28" i="11"/>
  <c r="D28" i="11" a="1"/>
  <c r="C28" i="11"/>
  <c r="AA2" i="11"/>
  <c r="Y2" i="11"/>
  <c r="P124" i="1" a="1"/>
  <c r="P124" i="1" s="1"/>
  <c r="O124" i="1" a="1"/>
  <c r="O124" i="1" s="1"/>
  <c r="N124" i="1" a="1"/>
  <c r="N124" i="1" s="1"/>
  <c r="M124" i="1" a="1"/>
  <c r="M124" i="1" s="1"/>
  <c r="L124" i="1" a="1"/>
  <c r="L124" i="1" s="1"/>
  <c r="K124" i="1" a="1"/>
  <c r="K124" i="1" s="1"/>
  <c r="J124" i="1" a="1"/>
  <c r="J124" i="1" s="1"/>
  <c r="I124" i="1" a="1"/>
  <c r="I124" i="1" s="1"/>
  <c r="H124" i="1" a="1"/>
  <c r="H124" i="1" s="1"/>
  <c r="G124" i="1" a="1"/>
  <c r="G124" i="1" s="1"/>
  <c r="F124" i="1" a="1"/>
  <c r="F124" i="1" s="1"/>
  <c r="E124" i="1" a="1"/>
  <c r="E124" i="1" s="1"/>
  <c r="D124" i="1" a="1"/>
  <c r="D124" i="1" s="1"/>
  <c r="C124" i="1"/>
  <c r="P120" i="1" a="1"/>
  <c r="P120" i="1" s="1"/>
  <c r="O120" i="1" a="1"/>
  <c r="O120" i="1" s="1"/>
  <c r="N120" i="1" a="1"/>
  <c r="N120" i="1" s="1"/>
  <c r="M120" i="1" a="1"/>
  <c r="M120" i="1" s="1"/>
  <c r="L120" i="1" a="1"/>
  <c r="L120" i="1" s="1"/>
  <c r="K120" i="1" a="1"/>
  <c r="K120" i="1" s="1"/>
  <c r="J120" i="1" a="1"/>
  <c r="J120" i="1" s="1"/>
  <c r="I120" i="1" a="1"/>
  <c r="I120" i="1" s="1"/>
  <c r="H120" i="1" a="1"/>
  <c r="H120" i="1" s="1"/>
  <c r="G120" i="1" a="1"/>
  <c r="G120" i="1" s="1"/>
  <c r="F120" i="1" a="1"/>
  <c r="F120" i="1" s="1"/>
  <c r="E120" i="1" a="1"/>
  <c r="E120" i="1" s="1"/>
  <c r="D120" i="1" a="1"/>
  <c r="D120" i="1" s="1"/>
  <c r="C120" i="1"/>
  <c r="AA94" i="1"/>
  <c r="Y94" i="1"/>
  <c r="AA50" i="1"/>
  <c r="Y50" i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K80" i="1" a="1"/>
  <c r="K80" i="1" s="1"/>
  <c r="J80" i="1" a="1"/>
  <c r="J80" i="1" s="1"/>
  <c r="Q80" i="1" s="1" a="1"/>
  <c r="Q80" i="1" s="1"/>
  <c r="I80" i="1" a="1"/>
  <c r="I80" i="1" s="1"/>
  <c r="H80" i="1" a="1"/>
  <c r="H80" i="1" s="1"/>
  <c r="G80" i="1" a="1"/>
  <c r="G80" i="1" s="1"/>
  <c r="F80" i="1" a="1"/>
  <c r="F80" i="1" s="1"/>
  <c r="E80" i="1" a="1"/>
  <c r="E80" i="1" s="1"/>
  <c r="D80" i="1" a="1"/>
  <c r="D80" i="1" s="1"/>
  <c r="C80" i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/>
  <c r="R27" i="10" a="1"/>
  <c r="R27" i="10" s="1"/>
  <c r="Q27" i="10" a="1"/>
  <c r="Q27" i="10" s="1"/>
  <c r="P27" i="10" a="1"/>
  <c r="P27" i="10" s="1"/>
  <c r="O27" i="10" a="1"/>
  <c r="O27" i="10" s="1"/>
  <c r="N27" i="10" a="1"/>
  <c r="N27" i="10" s="1"/>
  <c r="M27" i="10" a="1"/>
  <c r="M27" i="10" s="1"/>
  <c r="L27" i="10" a="1"/>
  <c r="L27" i="10" s="1"/>
  <c r="K27" i="10" a="1"/>
  <c r="K27" i="10" s="1"/>
  <c r="J27" i="10" a="1"/>
  <c r="J27" i="10" s="1"/>
  <c r="I27" i="10" a="1"/>
  <c r="I27" i="10" s="1"/>
  <c r="H27" i="10" a="1"/>
  <c r="H27" i="10" s="1"/>
  <c r="G27" i="10" a="1"/>
  <c r="G27" i="10" s="1"/>
  <c r="F27" i="10" a="1"/>
  <c r="F27" i="10" s="1"/>
  <c r="E27" i="10" a="1"/>
  <c r="E27" i="10" s="1"/>
  <c r="D27" i="10" a="1"/>
  <c r="D27" i="10" s="1"/>
  <c r="C27" i="10"/>
  <c r="P30" i="10"/>
  <c r="P2" i="10"/>
  <c r="R2" i="10"/>
  <c r="R75" i="10" a="1"/>
  <c r="R75" i="10" s="1"/>
  <c r="Q75" i="10" a="1"/>
  <c r="Q75" i="10" s="1"/>
  <c r="P75" i="10" a="1"/>
  <c r="P75" i="10" s="1"/>
  <c r="O75" i="10" a="1"/>
  <c r="O75" i="10" s="1"/>
  <c r="N75" i="10" a="1"/>
  <c r="N75" i="10" s="1"/>
  <c r="L75" i="10" a="1"/>
  <c r="L75" i="10" s="1"/>
  <c r="M75" i="10" a="1"/>
  <c r="M75" i="10" s="1"/>
  <c r="K75" i="10" a="1"/>
  <c r="K75" i="10" s="1"/>
  <c r="J75" i="10" a="1"/>
  <c r="J75" i="10" s="1"/>
  <c r="I75" i="10" a="1"/>
  <c r="I75" i="10" s="1"/>
  <c r="H75" i="10" a="1"/>
  <c r="H75" i="10" s="1"/>
  <c r="G75" i="10" a="1"/>
  <c r="G75" i="10" s="1"/>
  <c r="F75" i="10" a="1"/>
  <c r="F75" i="10" s="1"/>
  <c r="E75" i="10" a="1"/>
  <c r="E75" i="10" s="1"/>
  <c r="D75" i="10" a="1"/>
  <c r="D75" i="10" s="1"/>
  <c r="C75" i="10"/>
  <c r="Q120" i="1" l="1" a="1"/>
  <c r="Q120" i="1" s="1"/>
  <c r="Q124" i="1" a="1"/>
  <c r="Q124" i="1" s="1"/>
  <c r="Q76" i="1" a="1"/>
  <c r="Q76" i="1" s="1"/>
  <c r="S27" i="10" a="1"/>
  <c r="S27" i="10" s="1"/>
  <c r="S75" i="10" a="1"/>
  <c r="S75" i="10" s="1"/>
  <c r="R30" i="10" l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/>
  <c r="I11" i="7" a="1"/>
  <c r="I11" i="7" s="1"/>
  <c r="I12" i="7" a="1"/>
  <c r="I12" i="7" s="1"/>
  <c r="I13" i="7" a="1"/>
  <c r="I13" i="7" s="1"/>
  <c r="I14" i="7" a="1"/>
  <c r="I14" i="7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/>
  <c r="I2" i="7" a="1"/>
  <c r="I2" i="7" s="1"/>
  <c r="L26" i="1" a="1"/>
  <c r="L26" i="1" s="1"/>
  <c r="Q2" i="1"/>
  <c r="C26" i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O2" i="1" s="1"/>
  <c r="R26" i="1" a="1"/>
  <c r="R26" i="1" s="1"/>
  <c r="P26" i="1" a="1"/>
  <c r="P26" i="1" s="1"/>
  <c r="O26" i="1" a="1"/>
  <c r="O26" i="1" s="1"/>
  <c r="N26" i="1" a="1"/>
  <c r="N26" i="1" s="1"/>
  <c r="M26" i="1" a="1"/>
  <c r="M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Q26" i="1" l="1" a="1"/>
  <c r="Q26" i="1" s="1"/>
  <c r="R46" i="1" a="1"/>
  <c r="R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/>
  <c r="Q30" i="1"/>
  <c r="O30" i="1"/>
  <c r="Q46" i="1" l="1" a="1"/>
  <c r="Q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<sst xmlns="http://schemas.openxmlformats.org/spreadsheetml/2006/main" count="435" uniqueCount="135">
  <si>
    <t>Collegiate Statistics</t>
  </si>
  <si>
    <t>Year</t>
  </si>
  <si>
    <t>School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</si>
  <si>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</si>
  <si>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</si>
  <si>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</si>
  <si>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</si>
  <si>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</si>
  <si>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</si>
  <si>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</si>
  <si>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</si>
  <si>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</si>
  <si>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HR</t>
  </si>
  <si>
    <t>BB</t>
  </si>
  <si>
    <t>SO</t>
  </si>
  <si>
    <t>ERA</t>
  </si>
  <si>
    <t>WHIP</t>
  </si>
  <si>
    <t>SO/9</t>
  </si>
  <si>
    <t>Name</t>
  </si>
  <si>
    <t>No</t>
  </si>
  <si>
    <t>Format</t>
  </si>
  <si>
    <t>Pitches</t>
  </si>
  <si>
    <t>Comments</t>
  </si>
  <si>
    <t>Usage</t>
  </si>
  <si>
    <t>First Pitch</t>
  </si>
  <si>
    <t>Fastball</t>
  </si>
  <si>
    <t>Changeup</t>
  </si>
  <si>
    <t>Curveball</t>
  </si>
  <si>
    <t>Slider</t>
  </si>
  <si>
    <t>Cutter</t>
  </si>
  <si>
    <t>N/A</t>
  </si>
  <si>
    <t>Pitch Distribution - View From Mound</t>
  </si>
  <si>
    <t>Avg Velo</t>
  </si>
  <si>
    <t>NO SYNERGY DATA</t>
  </si>
  <si>
    <t>Whiff %</t>
  </si>
  <si>
    <t>View from Mound</t>
  </si>
  <si>
    <t>2 Strikes</t>
  </si>
  <si>
    <t>BT</t>
  </si>
  <si>
    <t>HT</t>
  </si>
  <si>
    <t>WT</t>
  </si>
  <si>
    <t>YR</t>
  </si>
  <si>
    <t>Home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</si>
  <si>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</si>
  <si>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</si>
  <si>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</si>
  <si>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</si>
  <si>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</si>
  <si>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</si>
  <si>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</si>
  <si>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</si>
  <si>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</si>
  <si>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</si>
  <si>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</si>
  <si>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</si>
  <si>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</si>
  <si>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</si>
  <si>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</si>
  <si>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</si>
  <si>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</si>
  <si>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</si>
  <si>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</si>
  <si>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</si>
  <si>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</si>
  <si>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</si>
  <si>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</si>
  <si>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</si>
  <si>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</si>
  <si>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</si>
  <si>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</si>
  <si>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</si>
  <si>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</si>
  <si>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</si>
  <si>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</si>
  <si>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</si>
  <si>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</si>
  <si>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</si>
  <si>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</si>
  <si>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</si>
  <si>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Throws</t>
  </si>
  <si>
    <t>Bats</t>
  </si>
  <si>
    <t>Temp No Data</t>
  </si>
  <si>
    <t>br</t>
  </si>
  <si>
    <t>Template Switch</t>
  </si>
  <si>
    <t>As Left</t>
  </si>
  <si>
    <t>As Right</t>
  </si>
  <si>
    <t>AB</t>
  </si>
  <si>
    <t>2B</t>
  </si>
  <si>
    <t>3B</t>
  </si>
  <si>
    <t>RBI</t>
  </si>
  <si>
    <t>SB</t>
  </si>
  <si>
    <t>CS</t>
  </si>
  <si>
    <t>BA</t>
  </si>
  <si>
    <t>OBP</t>
  </si>
  <si>
    <t>SLG</t>
  </si>
  <si>
    <t>OPS</t>
  </si>
  <si>
    <t>1</t>
  </si>
  <si>
    <t>2</t>
  </si>
  <si>
    <t>18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</si>
  <si>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</si>
  <si>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</si>
  <si>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</si>
  <si>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</si>
  <si>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</si>
  <si>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</si>
  <si>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</si>
  <si>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</si>
  <si>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</si>
  <si>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</si>
  <si>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</si>
  <si>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</si>
  <si>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</si>
  <si>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</si>
  <si>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</si>
  <si>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</si>
  <si>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</si>
  <si>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</si>
  <si>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</si>
  <si>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</si>
  <si>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</si>
  <si>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</si>
  <si>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</si>
  <si>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</si>
  <si>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</si>
  <si>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</si>
  <si>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</si>
  <si>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Template</t>
  </si>
  <si>
    <t>Last, First</t>
  </si>
  <si>
    <t>Paste here</t>
  </si>
  <si>
    <t>Paste Here</t>
  </si>
  <si>
    <t>Template Fullest</t>
  </si>
  <si>
    <t>Northwoods Statistics</t>
  </si>
  <si>
    <t>Pitch Distribution - View from Mound (to RHH)</t>
  </si>
  <si>
    <t>Pitch Distribution - View from Mound (to LHH)</t>
  </si>
  <si>
    <t>vs. LHH</t>
  </si>
  <si>
    <t>vs. 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</si>
</sst>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CC00CC"/>
      <name val="Calibri"/>
      <family val="2"/>
      <scheme val="minor"/>
    </font>
    <font>
      <b/>
      <sz val="11"/>
      <color rgb="FF99CCFF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5"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2" fontId="0" fillId="0" borderId="1" xfId="0" quotePrefix="1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0" xfId="0" applyNumberFormat="1"/>
    <xf numFmtId="17" fontId="0" fillId="0" borderId="0" xfId="0" applyNumberFormat="1"/>
    <xf numFmtId="0" fontId="0" fillId="0" borderId="0" xfId="0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/>
    </xf>
    <xf numFmtId="9" fontId="5" fillId="0" borderId="0" xfId="1" applyFont="1" applyFill="1" applyBorder="1" applyAlignment="1">
      <alignment horizontal="center"/>
    </xf>
    <xf numFmtId="9" fontId="6" fillId="0" borderId="0" xfId="1" applyFont="1" applyFill="1" applyBorder="1" applyAlignment="1"/>
    <xf numFmtId="9" fontId="6" fillId="0" borderId="0" xfId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165" fontId="0" fillId="0" borderId="1" xfId="0" applyNumberFormat="1" applyBorder="1" applyAlignment="1">
      <alignment horizontal="center"/>
    </xf>
    <xf numFmtId="0" fontId="0" fillId="0" borderId="7" xfId="0" applyBorder="1"/>
    <xf numFmtId="0" fontId="3" fillId="7" borderId="0" xfId="0" applyFont="1" applyFill="1" applyBorder="1"/>
    <xf numFmtId="0" fontId="1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9" fontId="0" fillId="0" borderId="0" xfId="1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2" xfId="0" applyBorder="1"/>
    <xf numFmtId="0" fontId="0" fillId="0" borderId="10" xfId="0" applyBorder="1"/>
    <xf numFmtId="0" fontId="0" fillId="0" borderId="12" xfId="0" applyBorder="1"/>
    <xf numFmtId="0" fontId="1" fillId="0" borderId="12" xfId="0" applyFont="1" applyBorder="1" applyAlignment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0" fillId="0" borderId="9" xfId="0" applyBorder="1"/>
    <xf numFmtId="0" fontId="1" fillId="0" borderId="13" xfId="0" applyFont="1" applyFill="1" applyBorder="1" applyAlignment="1"/>
    <xf numFmtId="0" fontId="1" fillId="0" borderId="10" xfId="0" applyFont="1" applyFill="1" applyBorder="1" applyAlignment="1"/>
    <xf numFmtId="0" fontId="1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left"/>
    </xf>
    <xf numFmtId="9" fontId="0" fillId="0" borderId="12" xfId="1" applyFont="1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1" fillId="0" borderId="14" xfId="0" applyFont="1" applyFill="1" applyBorder="1" applyAlignment="1"/>
    <xf numFmtId="0" fontId="0" fillId="0" borderId="12" xfId="0" applyFill="1" applyBorder="1"/>
    <xf numFmtId="0" fontId="0" fillId="0" borderId="14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8" borderId="1" xfId="0" applyFill="1" applyBorder="1" applyAlignment="1">
      <alignment horizontal="center"/>
    </xf>
    <xf numFmtId="0" fontId="0" fillId="0" borderId="2" xfId="0" applyBorder="1" applyAlignment="1">
      <alignment vertical="top" wrapText="1"/>
    </xf>
    <xf numFmtId="0" fontId="10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12" fillId="0" borderId="10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0" borderId="0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32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99CC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74084</xdr:colOff>
      <xdr:row>52</xdr:row>
      <xdr:rowOff>158750</xdr:rowOff>
    </xdr:from>
    <xdr:to>
      <xdr:col>7</xdr:col>
      <xdr:colOff>225006</xdr:colOff>
      <xdr:row>69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218042-EE98-36FA-BF9B-F01235C0E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10064750"/>
          <a:ext cx="2913172" cy="3238500"/>
        </a:xfrm>
        <a:prstGeom prst="rect">
          <a:avLst/>
        </a:prstGeom>
      </xdr:spPr>
    </xdr:pic>
    <xdr:clientData/>
  </xdr:twoCellAnchor>
  <xdr:twoCellAnchor editAs="oneCell">
    <xdr:from>
      <xdr:col>8</xdr:col>
      <xdr:colOff>137583</xdr:colOff>
      <xdr:row>52</xdr:row>
      <xdr:rowOff>137583</xdr:rowOff>
    </xdr:from>
    <xdr:to>
      <xdr:col>16</xdr:col>
      <xdr:colOff>455083</xdr:colOff>
      <xdr:row>70</xdr:row>
      <xdr:rowOff>44233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6744DE-A2AC-7EA5-A7F2-217F42D37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0043583"/>
          <a:ext cx="2963333" cy="3335650"/>
        </a:xfrm>
        <a:prstGeom prst="rect">
          <a:avLst/>
        </a:prstGeom>
      </xdr:spPr>
    </xdr:pic>
    <xdr:clientData/>
  </xdr:twoCellAnchor>
  <xdr:oneCellAnchor>
    <xdr:from>
      <xdr:col>1</xdr:col>
      <xdr:colOff>74084</xdr:colOff>
      <xdr:row>96</xdr:row>
      <xdr:rowOff>158750</xdr:rowOff>
    </xdr:from>
    <xdr:ext cx="2913172" cy="3238500"/>
    <xdr:pic>
      <xdr:nvPicPr>
        <xdr:cNvPr id="6" name="Picture 5">
          <a:extLst>
            <a:ext uri="{FF2B5EF4-FFF2-40B4-BE49-F238E27FC236}">
              <a16:creationId xmlns:a16="http://schemas.microsoft.com/office/drawing/2014/main" id="{EEA5B4D3-C6AC-4892-8930-F175E7ECB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917" y="10064750"/>
          <a:ext cx="2913172" cy="3238500"/>
        </a:xfrm>
        <a:prstGeom prst="rect">
          <a:avLst/>
        </a:prstGeom>
      </xdr:spPr>
    </xdr:pic>
    <xdr:clientData/>
  </xdr:oneCellAnchor>
  <xdr:oneCellAnchor>
    <xdr:from>
      <xdr:col>8</xdr:col>
      <xdr:colOff>137583</xdr:colOff>
      <xdr:row>96</xdr:row>
      <xdr:rowOff>137583</xdr:rowOff>
    </xdr:from>
    <xdr:ext cx="2963333" cy="3335650"/>
    <xdr:pic>
      <xdr:nvPicPr>
        <xdr:cNvPr id="7" name="Picture 6">
          <a:extLst>
            <a:ext uri="{FF2B5EF4-FFF2-40B4-BE49-F238E27FC236}">
              <a16:creationId xmlns:a16="http://schemas.microsoft.com/office/drawing/2014/main" id="{BFB919BD-FD60-459E-BE33-4BF891A76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0043583"/>
          <a:ext cx="2963333" cy="33356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74084</xdr:colOff>
      <xdr:row>4</xdr:row>
      <xdr:rowOff>158750</xdr:rowOff>
    </xdr:from>
    <xdr:to>
      <xdr:col>7</xdr:col>
      <xdr:colOff>225006</xdr:colOff>
      <xdr:row>21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74B8E-A366-4AE0-8C65-2411A7178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684" y="10064750"/>
          <a:ext cx="2913172" cy="3238500"/>
        </a:xfrm>
        <a:prstGeom prst="rect">
          <a:avLst/>
        </a:prstGeom>
      </xdr:spPr>
    </xdr:pic>
    <xdr:clientData/>
  </xdr:twoCellAnchor>
  <xdr:twoCellAnchor editAs="oneCell">
    <xdr:from>
      <xdr:col>8</xdr:col>
      <xdr:colOff>137583</xdr:colOff>
      <xdr:row>4</xdr:row>
      <xdr:rowOff>137583</xdr:rowOff>
    </xdr:from>
    <xdr:to>
      <xdr:col>16</xdr:col>
      <xdr:colOff>455083</xdr:colOff>
      <xdr:row>22</xdr:row>
      <xdr:rowOff>44233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52BAB6-4043-4831-A714-D8CC68CAD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08" y="10043583"/>
          <a:ext cx="2955925" cy="3335650"/>
        </a:xfrm>
        <a:prstGeom prst="rect">
          <a:avLst/>
        </a:prstGeom>
      </xdr:spPr>
    </xdr:pic>
    <xdr:clientData/>
  </xdr:twoCellAnchor>
  <xdr:twoCellAnchor editAs="oneCell">
    <xdr:from>
      <xdr:col>1</xdr:col>
      <xdr:colOff>74084</xdr:colOff>
      <xdr:row>4</xdr:row>
      <xdr:rowOff>158750</xdr:rowOff>
    </xdr:from>
    <xdr:to>
      <xdr:col>7</xdr:col>
      <xdr:colOff>225006</xdr:colOff>
      <xdr:row>21</xdr:row>
      <xdr:rowOff>158750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B56DC8-D759-4180-B463-499F4394B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684" y="10064750"/>
          <a:ext cx="2913172" cy="3238500"/>
        </a:xfrm>
        <a:prstGeom prst="rect">
          <a:avLst/>
        </a:prstGeom>
      </xdr:spPr>
    </xdr:pic>
    <xdr:clientData/>
  </xdr:twoCellAnchor>
  <xdr:twoCellAnchor editAs="oneCell">
    <xdr:from>
      <xdr:col>8</xdr:col>
      <xdr:colOff>137583</xdr:colOff>
      <xdr:row>4</xdr:row>
      <xdr:rowOff>137583</xdr:rowOff>
    </xdr:from>
    <xdr:to>
      <xdr:col>16</xdr:col>
      <xdr:colOff>455083</xdr:colOff>
      <xdr:row>22</xdr:row>
      <xdr:rowOff>44233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E9F60-0657-47EC-8F6F-91BC61C7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08" y="10043583"/>
          <a:ext cx="2955925" cy="33356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EA31A-8F37-48A3-828E-CE1C129F7B0F}" name="Table1" displayName="Table1" ref="A1:AK2" totalsRowShown="0">
  <autoFilter ref="A1:AK2" xr:uid="{101EA31A-8F37-48A3-828E-CE1C129F7B0F}"/>
  <tableColumns count="37">
    <tableColumn id="1" xr3:uid="{60504AA4-529A-42C3-B2A6-1C7D9EAA699F}" name="Name"/>
    <tableColumn id="2" xr3:uid="{39285A6F-E503-4A7A-AD12-027FB05E9E04}" name="Column1"/>
    <tableColumn id="3" xr3:uid="{07FF4D81-8548-4532-8DFE-0202A7359479}" name="Column2"/>
    <tableColumn id="4" xr3:uid="{52D4359F-7683-48F3-99C6-EB76D3DA3784}" name="Column3"/>
    <tableColumn id="5" xr3:uid="{74FBD0EE-6FD3-4ECF-BE10-EE90BA60DEEE}" name="Column4"/>
    <tableColumn id="6" xr3:uid="{D369C017-948E-4422-8222-C64750C10AC0}" name="Column5"/>
    <tableColumn id="7" xr3:uid="{7EAEAC8D-C199-42E8-9DCC-B12255E3B28B}" name="Column6"/>
    <tableColumn id="8" xr3:uid="{E3D6CBF5-6E0B-4B88-9008-9DB93FB07243}" name="Column7"/>
    <tableColumn id="9" xr3:uid="{50599905-5EC5-4069-9713-0EA5ACBB3331}" name="Column8"/>
    <tableColumn id="10" xr3:uid="{1D45C68B-D991-4D83-98A9-0453F03BE15F}" name="Column9"/>
    <tableColumn id="11" xr3:uid="{2FB814D1-3C81-4413-9407-2F3EE8490AB8}" name="Column10"/>
    <tableColumn id="12" xr3:uid="{114DCB21-5253-432A-8FCB-7568BD9EA13B}" name="Column11"/>
    <tableColumn id="13" xr3:uid="{2E2AC611-15DD-40F4-BDAF-45112C81068E}" name="Column12"/>
    <tableColumn id="14" xr3:uid="{A3EEB6B0-0CA1-4A92-BE0E-8C31E249F443}" name="Column13"/>
    <tableColumn id="15" xr3:uid="{A75554AE-F0E9-4B45-B13E-9948B42515E3}" name="Column14"/>
    <tableColumn id="16" xr3:uid="{D3C7F3C9-690D-47A6-B53C-C6CDB6168CEB}" name="Column15"/>
    <tableColumn id="17" xr3:uid="{F72C8C81-2C66-4552-A2FA-CE5C9215ED7A}" name="Column16"/>
    <tableColumn id="18" xr3:uid="{A4342B5C-508A-45DD-B53F-0B8F0C5C994B}" name="Column17"/>
    <tableColumn id="19" xr3:uid="{4BDFF6A9-7D9F-455A-8679-FF79788A7FEB}" name="Column18"/>
    <tableColumn id="20" xr3:uid="{E87BD7FB-2673-4162-BD95-1EB175C686FC}" name="Column19"/>
    <tableColumn id="21" xr3:uid="{61196707-0405-478D-89AE-A230859D82CA}" name="Column20"/>
    <tableColumn id="22" xr3:uid="{B8D31154-D825-47FD-BB83-4DDBF9B82533}" name="Column21"/>
    <tableColumn id="23" xr3:uid="{29BEF523-FBDA-459B-BF4E-6039C2F8D901}" name="Column22"/>
    <tableColumn id="24" xr3:uid="{BC1CD545-EE3F-4DE4-96ED-795828367DBF}" name="Column23"/>
    <tableColumn id="25" xr3:uid="{A0220C57-9883-477F-9D91-43C5BDDFB72C}" name="Column24"/>
    <tableColumn id="26" xr3:uid="{710492A6-84D5-41D8-BA00-F1809475F337}" name="Column25"/>
    <tableColumn id="27" xr3:uid="{2BA8D6D9-64E2-4E83-88C5-E00B738E08D4}" name="Column26"/>
    <tableColumn id="28" xr3:uid="{B90EA3BC-7713-4C05-BF54-FF555AB06A92}" name="Column27"/>
    <tableColumn id="29" xr3:uid="{E5DBC244-594C-4A83-BBBB-D97B62B7DB73}" name="Column28"/>
    <tableColumn id="30" xr3:uid="{BAA77D3D-4EA4-422C-B109-FCAB8B61EB5B}" name="Column29"/>
    <tableColumn id="31" xr3:uid="{E1CFC1EF-E4D8-4C87-A4A6-5F570B304B8A}" name="Column30"/>
    <tableColumn id="32" xr3:uid="{CB7729E1-7B6F-4328-A911-5C08AEC8B0CE}" name="Column31"/>
    <tableColumn id="33" xr3:uid="{90EA572D-8CC8-484D-B0F8-9B5ED7F99E91}" name="Column32"/>
    <tableColumn id="34" xr3:uid="{882617AF-8DA8-4AC4-99E1-887180B2FB36}" name="Column33"/>
    <tableColumn id="35" xr3:uid="{6597D0C1-872B-459D-BCD6-588758DF04AC}" name="Column34"/>
    <tableColumn id="36" xr3:uid="{931D3404-9B9A-4183-A2E1-FBBFE5581324}" name="Column35"/>
    <tableColumn id="37" xr3:uid="{9E9E3E87-CE8C-460C-9D8A-782D53785D2A}" name="Column3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B102E-2C69-4B5D-9EFE-4C9D709F8EE5}" name="Table2" displayName="Table2" ref="A1:AD2" totalsRowShown="0" headerRowDxfId="31" tableBorderDxfId="30">
  <autoFilter ref="A1:AD2" xr:uid="{1CAB102E-2C69-4B5D-9EFE-4C9D709F8EE5}"/>
  <tableColumns count="30">
    <tableColumn id="1" xr3:uid="{A269728F-15C7-443F-9B86-D4B4E015FAA2}" name="1" dataDxfId="29"/>
    <tableColumn id="2" xr3:uid="{8186D8F9-F45F-49E2-B8AE-7E45F82B3319}" name="2" dataDxfId="28"/>
    <tableColumn id="3" xr3:uid="{6E1FE4A0-013F-47FB-B8A0-4F28D19325A6}" name="18" dataDxfId="27"/>
    <tableColumn id="4" xr3:uid="{9154045C-42D3-4B34-9A82-D89E055DF5D3}" name="3" dataDxfId="26"/>
    <tableColumn id="5" xr3:uid="{55ED3A5F-3723-4CBD-B77D-CCDFE952A517}" name="4" dataDxfId="25"/>
    <tableColumn id="6" xr3:uid="{778FD898-DD0C-438E-9DA6-4090B8CF7775}" name="5" dataDxfId="24"/>
    <tableColumn id="7" xr3:uid="{67BCFB41-9D83-4A18-85D6-A9F39B55B908}" name="6" dataDxfId="23"/>
    <tableColumn id="8" xr3:uid="{A0514D61-9CF4-489D-8220-436A7C5257AE}" name="7" dataDxfId="22"/>
    <tableColumn id="9" xr3:uid="{2321EC1A-8803-414B-9A37-DCD5964F0678}" name="8" dataDxfId="21"/>
    <tableColumn id="10" xr3:uid="{6C00CD51-E73F-46E2-9F97-E1B46B3A18C5}" name="9" dataDxfId="20"/>
    <tableColumn id="11" xr3:uid="{CC7F83AF-8654-4145-B09D-4A576B2051E4}" name="10" dataDxfId="19"/>
    <tableColumn id="12" xr3:uid="{66E4834A-ADA5-4CA6-9E05-BF0CC363B994}" name="11" dataDxfId="18"/>
    <tableColumn id="13" xr3:uid="{FE17E99B-B92E-4E77-95C2-564D6EB157FF}" name="12" dataDxfId="17"/>
    <tableColumn id="14" xr3:uid="{84B77FB6-6849-49BE-B93E-C73125DFFFA3}" name="13" dataDxfId="16"/>
    <tableColumn id="15" xr3:uid="{94BA188F-017E-4391-BE52-0B3E3B3BEE42}" name="14" dataDxfId="15"/>
    <tableColumn id="16" xr3:uid="{934919AD-756F-46F2-97E3-15C803166B0F}" name="15" dataDxfId="14"/>
    <tableColumn id="17" xr3:uid="{6C586028-CD35-4E51-9FD0-682FFE312090}" name="16" dataDxfId="13"/>
    <tableColumn id="18" xr3:uid="{7320D176-8AD0-4FC5-B36C-7CF774C1B830}" name="17" dataDxfId="12"/>
    <tableColumn id="19" xr3:uid="{43391F03-8FA8-4AE7-ABAA-7F4DAA2E429D}" name="172" dataDxfId="11"/>
    <tableColumn id="20" xr3:uid="{BC97AFBE-CB8B-4476-9387-9BD4C9BFFCDE}" name="173" dataDxfId="10"/>
    <tableColumn id="21" xr3:uid="{8389D28E-419A-490E-B286-B530EEF9BD47}" name="174" dataDxfId="9"/>
    <tableColumn id="22" xr3:uid="{EEC222DA-D72D-44B6-B018-E4910374A278}" name="175" dataDxfId="8"/>
    <tableColumn id="23" xr3:uid="{3F2ABA6B-9327-44F8-ADCB-254300598B09}" name="176" dataDxfId="7"/>
    <tableColumn id="24" xr3:uid="{1EB833DC-1069-41E0-B56C-163607CF3BDE}" name="177" dataDxfId="6"/>
    <tableColumn id="25" xr3:uid="{7538CE9E-0F02-41DE-8DB9-DE0BDE645868}" name="178" dataDxfId="5"/>
    <tableColumn id="26" xr3:uid="{AF63B215-83E7-4F63-96BA-FE51156B77A4}" name="179" dataDxfId="4"/>
    <tableColumn id="27" xr3:uid="{55E13300-91DB-4EC3-8F63-61FE5369B48D}" name="180" dataDxfId="3"/>
    <tableColumn id="28" xr3:uid="{6B2F9321-EB88-4A72-837F-88E1B4D0FE78}" name="181" dataDxfId="2"/>
    <tableColumn id="29" xr3:uid="{AA82D6B7-1562-427F-AEDA-386B2FAF9207}" name="182" dataDxfId="1"/>
    <tableColumn id="30" xr3:uid="{47506656-0384-4BB0-9123-BF4BE35818A3}" name="18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8E3-BC04-4EE3-AF25-E7CBF49488CF}">
  <dimension ref="A1:N23"/>
  <sheetViews>
    <sheetView workbookViewId="0">
      <selection activeCell="A2" sqref="A2"/>
    </sheetView>
  </sheetViews>
  <sheetFormatPr defaultRowHeight="15" x14ac:dyDescent="0.25"/>
  <cols>
    <col min="1" max="1" width="5.140625" customWidth="1"/>
    <col min="2" max="2" width="16.85546875" customWidth="1"/>
    <col min="3" max="3" width="5.5703125" customWidth="1"/>
    <col min="4" max="5" width="5.7109375" customWidth="1"/>
    <col min="6" max="6" width="9.140625" customWidth="1"/>
    <col min="7" max="9" width="6" customWidth="1"/>
    <col min="11" max="25" width="4.7109375" customWidth="1"/>
    <col min="26" max="39" width="4.5703125" customWidth="1"/>
  </cols>
  <sheetData>
    <row r="1" spans="1:14" x14ac:dyDescent="0.25">
      <c r="A1" t="s">
        <v>19</v>
      </c>
      <c r="B1" t="s">
        <v>18</v>
      </c>
      <c r="C1" t="s">
        <v>37</v>
      </c>
      <c r="D1" t="s">
        <v>38</v>
      </c>
      <c r="E1" t="s">
        <v>39</v>
      </c>
      <c r="F1" t="s">
        <v>2</v>
      </c>
      <c r="G1" t="s">
        <v>40</v>
      </c>
      <c r="H1" t="s">
        <v>41</v>
      </c>
      <c r="I1" t="s">
        <v>78</v>
      </c>
      <c r="J1" t="s">
        <v>20</v>
      </c>
    </row>
    <row r="2" spans="1:14" x14ac:dyDescent="0.25">
      <c r="D2" s="27"/>
      <c r="I2" t="str">
        <f t="shared" ref="I2:I22" si="0">IF(RIGHT(C2,1)="R", "RHP", "LHP")</f>
        <v>LHP</v>
      </c>
      <c r="J2" t="s">
        <v>81</v>
      </c>
      <c r="N2" s="10"/>
    </row>
    <row r="3" spans="1:14" x14ac:dyDescent="0.25">
      <c r="D3" s="27"/>
      <c r="I3" t="str">
        <f t="shared" si="0"/>
        <v>LHP</v>
      </c>
      <c r="J3" t="s">
        <v>81</v>
      </c>
    </row>
    <row r="4" spans="1:14" x14ac:dyDescent="0.25">
      <c r="D4" s="27"/>
      <c r="I4" t="str">
        <f t="shared" si="0"/>
        <v>LHP</v>
      </c>
      <c r="J4" t="s">
        <v>81</v>
      </c>
    </row>
    <row r="5" spans="1:14" x14ac:dyDescent="0.25">
      <c r="D5" s="11"/>
      <c r="I5" t="str">
        <f t="shared" si="0"/>
        <v>LHP</v>
      </c>
      <c r="J5" t="s">
        <v>81</v>
      </c>
    </row>
    <row r="6" spans="1:14" x14ac:dyDescent="0.25">
      <c r="D6" s="11"/>
      <c r="I6" t="str">
        <f t="shared" si="0"/>
        <v>LHP</v>
      </c>
      <c r="J6" t="s">
        <v>81</v>
      </c>
    </row>
    <row r="7" spans="1:14" x14ac:dyDescent="0.25">
      <c r="D7" s="11"/>
      <c r="I7" t="str">
        <f t="shared" si="0"/>
        <v>LHP</v>
      </c>
      <c r="J7" t="s">
        <v>81</v>
      </c>
    </row>
    <row r="8" spans="1:14" x14ac:dyDescent="0.25">
      <c r="D8" s="27"/>
      <c r="I8" t="str">
        <f t="shared" si="0"/>
        <v>LHP</v>
      </c>
      <c r="J8" t="s">
        <v>81</v>
      </c>
    </row>
    <row r="9" spans="1:14" x14ac:dyDescent="0.25">
      <c r="D9" s="11"/>
      <c r="I9" t="str">
        <f t="shared" si="0"/>
        <v>LHP</v>
      </c>
      <c r="J9" t="s">
        <v>81</v>
      </c>
    </row>
    <row r="10" spans="1:14" x14ac:dyDescent="0.25">
      <c r="D10" s="27"/>
      <c r="I10" t="str">
        <f t="shared" si="0"/>
        <v>LHP</v>
      </c>
      <c r="J10" t="s">
        <v>81</v>
      </c>
    </row>
    <row r="11" spans="1:14" x14ac:dyDescent="0.25">
      <c r="D11" s="27"/>
      <c r="I11" t="str">
        <f t="shared" si="0"/>
        <v>LHP</v>
      </c>
      <c r="J11" t="s">
        <v>81</v>
      </c>
    </row>
    <row r="12" spans="1:14" x14ac:dyDescent="0.25">
      <c r="D12" s="27"/>
      <c r="I12" t="str">
        <f t="shared" si="0"/>
        <v>LHP</v>
      </c>
      <c r="J12" t="s">
        <v>81</v>
      </c>
    </row>
    <row r="13" spans="1:14" x14ac:dyDescent="0.25">
      <c r="D13" s="27"/>
      <c r="I13" t="str">
        <f t="shared" si="0"/>
        <v>LHP</v>
      </c>
      <c r="J13" t="s">
        <v>81</v>
      </c>
    </row>
    <row r="14" spans="1:14" x14ac:dyDescent="0.25">
      <c r="D14" s="27"/>
      <c r="I14" t="str">
        <f t="shared" si="0"/>
        <v>LHP</v>
      </c>
      <c r="J14" t="s">
        <v>81</v>
      </c>
    </row>
    <row r="15" spans="1:14" x14ac:dyDescent="0.25">
      <c r="D15" s="27"/>
      <c r="I15" t="str">
        <f t="shared" si="0"/>
        <v>LHP</v>
      </c>
      <c r="J15" t="s">
        <v>81</v>
      </c>
    </row>
    <row r="16" spans="1:14" x14ac:dyDescent="0.25">
      <c r="D16" s="27"/>
      <c r="I16" t="str">
        <f t="shared" si="0"/>
        <v>LHP</v>
      </c>
      <c r="J16" t="s">
        <v>81</v>
      </c>
    </row>
    <row r="17" spans="4:10" x14ac:dyDescent="0.25">
      <c r="D17" s="27"/>
      <c r="I17" t="str">
        <f t="shared" si="0"/>
        <v>LHP</v>
      </c>
      <c r="J17" t="s">
        <v>81</v>
      </c>
    </row>
    <row r="18" spans="4:10" x14ac:dyDescent="0.25">
      <c r="I18" t="str">
        <f t="shared" si="0"/>
        <v>LHP</v>
      </c>
      <c r="J18" t="s">
        <v>81</v>
      </c>
    </row>
    <row r="19" spans="4:10" x14ac:dyDescent="0.25">
      <c r="I19" t="str">
        <f t="shared" si="0"/>
        <v>LHP</v>
      </c>
      <c r="J19" t="s">
        <v>81</v>
      </c>
    </row>
    <row r="20" spans="4:10" x14ac:dyDescent="0.25">
      <c r="I20" t="str">
        <f t="shared" si="0"/>
        <v>LHP</v>
      </c>
      <c r="J20" t="s">
        <v>81</v>
      </c>
    </row>
    <row r="21" spans="4:10" x14ac:dyDescent="0.25">
      <c r="I21" t="str">
        <f t="shared" si="0"/>
        <v>LHP</v>
      </c>
      <c r="J21" t="s">
        <v>81</v>
      </c>
    </row>
    <row r="22" spans="4:10" x14ac:dyDescent="0.25">
      <c r="I22" t="str">
        <f t="shared" si="0"/>
        <v>LHP</v>
      </c>
      <c r="J22" t="s">
        <v>81</v>
      </c>
    </row>
    <row r="23" spans="4:10" x14ac:dyDescent="0.25">
      <c r="D23" s="11"/>
      <c r="I23" t="str">
        <f>IF(RIGHT(C23,1)="R", "RHP", "LHP")</f>
        <v>LHP</v>
      </c>
      <c r="J2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48D2-A28E-4258-9AAB-F44CDCF7D0D2}">
  <dimension ref="A1:AK2"/>
  <sheetViews>
    <sheetView workbookViewId="0">
      <selection activeCell="A3" sqref="A3"/>
    </sheetView>
  </sheetViews>
  <sheetFormatPr defaultRowHeight="15" x14ac:dyDescent="0.25"/>
  <cols>
    <col min="1" max="1" width="18.28515625" customWidth="1"/>
    <col min="2" max="10" width="11" customWidth="1"/>
    <col min="11" max="37" width="12" customWidth="1"/>
  </cols>
  <sheetData>
    <row r="1" spans="1:37" x14ac:dyDescent="0.25">
      <c r="A1" t="s">
        <v>18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</row>
    <row r="2" spans="1:37" x14ac:dyDescent="0.25">
      <c r="A2" t="s">
        <v>126</v>
      </c>
      <c r="B2" t="s">
        <v>127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B7E3-95F9-49BD-ADAA-AF3113193E4F}">
  <dimension ref="A1:J2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19</v>
      </c>
      <c r="B1" t="s">
        <v>18</v>
      </c>
      <c r="C1" t="s">
        <v>37</v>
      </c>
      <c r="D1" t="s">
        <v>38</v>
      </c>
      <c r="E1" t="s">
        <v>39</v>
      </c>
      <c r="F1" t="s">
        <v>2</v>
      </c>
      <c r="G1" t="s">
        <v>1</v>
      </c>
      <c r="H1" t="s">
        <v>41</v>
      </c>
      <c r="I1" t="s">
        <v>79</v>
      </c>
      <c r="J1" t="s">
        <v>20</v>
      </c>
    </row>
    <row r="2" spans="1:10" x14ac:dyDescent="0.25">
      <c r="D2" s="11"/>
      <c r="I2" t="e" cm="1">
        <f t="array" ref="I2">_xlfn.IFS(LEFT(C2,1)="L", "Left", LEFT(C2,1)="R", "Right", LEFT(C2,1)="s", "Switch")</f>
        <v>#N/A</v>
      </c>
      <c r="J2" t="s">
        <v>81</v>
      </c>
    </row>
    <row r="3" spans="1:10" x14ac:dyDescent="0.25">
      <c r="D3" s="27"/>
      <c r="I3" t="e" cm="1">
        <f t="array" ref="I3">_xlfn.IFS(LEFT(C3,1)="L", "Left", LEFT(C3,1)="R", "Right", LEFT(C3,1)="s", "Switch")</f>
        <v>#N/A</v>
      </c>
      <c r="J3" t="s">
        <v>81</v>
      </c>
    </row>
    <row r="4" spans="1:10" x14ac:dyDescent="0.25">
      <c r="D4" s="27"/>
      <c r="I4" t="e" cm="1">
        <f t="array" ref="I4">_xlfn.IFS(LEFT(C4,1)="L", "Left", LEFT(C4,1)="R", "Right", LEFT(C4,1)="s", "Switch")</f>
        <v>#N/A</v>
      </c>
      <c r="J4" t="s">
        <v>81</v>
      </c>
    </row>
    <row r="5" spans="1:10" x14ac:dyDescent="0.25">
      <c r="D5" s="27"/>
      <c r="I5" t="e" cm="1">
        <f t="array" ref="I5">_xlfn.IFS(LEFT(C5,1)="L", "Left", LEFT(C5,1)="R", "Right", LEFT(C5,1)="s", "Switch")</f>
        <v>#N/A</v>
      </c>
      <c r="J5" t="s">
        <v>81</v>
      </c>
    </row>
    <row r="6" spans="1:10" x14ac:dyDescent="0.25">
      <c r="I6" t="e" cm="1">
        <f t="array" ref="I6">_xlfn.IFS(LEFT(C6,1)="L", "Left", LEFT(C6,1)="R", "Right", LEFT(C6,1)="s", "Switch")</f>
        <v>#N/A</v>
      </c>
      <c r="J6" t="s">
        <v>81</v>
      </c>
    </row>
    <row r="7" spans="1:10" x14ac:dyDescent="0.25">
      <c r="I7" t="e" cm="1">
        <f t="array" ref="I7">_xlfn.IFS(LEFT(C7,1)="L", "Left", LEFT(C7,1)="R", "Right", LEFT(C7,1)="s", "Switch")</f>
        <v>#N/A</v>
      </c>
      <c r="J7" t="s">
        <v>81</v>
      </c>
    </row>
    <row r="8" spans="1:10" x14ac:dyDescent="0.25">
      <c r="D8" s="27"/>
      <c r="I8" t="e" cm="1">
        <f t="array" ref="I8">_xlfn.IFS(LEFT(C8,1)="L", "Left", LEFT(C8,1)="R", "Right", LEFT(C8,1)="s", "Switch")</f>
        <v>#N/A</v>
      </c>
      <c r="J8" t="s">
        <v>81</v>
      </c>
    </row>
    <row r="9" spans="1:10" x14ac:dyDescent="0.25">
      <c r="D9" s="27"/>
      <c r="I9" t="e" cm="1">
        <f t="array" ref="I9">_xlfn.IFS(LEFT(C9,1)="L", "Left", LEFT(C9,1)="R", "Right", LEFT(C9,1)="s", "Switch")</f>
        <v>#N/A</v>
      </c>
      <c r="J9" t="s">
        <v>81</v>
      </c>
    </row>
    <row r="10" spans="1:10" x14ac:dyDescent="0.25">
      <c r="D10" s="11"/>
      <c r="I10" t="e" cm="1">
        <f t="array" ref="I10">_xlfn.IFS(LEFT(C10,1)="L", "Left", LEFT(C10,1)="R", "Right", LEFT(C10,1)="s", "Switch")</f>
        <v>#N/A</v>
      </c>
      <c r="J10" t="s">
        <v>81</v>
      </c>
    </row>
    <row r="11" spans="1:10" x14ac:dyDescent="0.25">
      <c r="D11" s="27"/>
      <c r="I11" t="e" cm="1">
        <f t="array" ref="I11">_xlfn.IFS(LEFT(C11,1)="L", "Left", LEFT(C11,1)="R", "Right", LEFT(C11,1)="s", "Switch")</f>
        <v>#N/A</v>
      </c>
      <c r="J11" t="s">
        <v>81</v>
      </c>
    </row>
    <row r="12" spans="1:10" x14ac:dyDescent="0.25">
      <c r="D12" s="27"/>
      <c r="I12" t="e" cm="1">
        <f t="array" ref="I12">_xlfn.IFS(LEFT(C12,1)="L", "Left", LEFT(C12,1)="R", "Right", LEFT(C12,1)="s", "Switch")</f>
        <v>#N/A</v>
      </c>
      <c r="J12" t="s">
        <v>81</v>
      </c>
    </row>
    <row r="13" spans="1:10" x14ac:dyDescent="0.25">
      <c r="D13" s="27"/>
      <c r="I13" t="e" cm="1">
        <f t="array" ref="I13">_xlfn.IFS(LEFT(C13,1)="L", "Left", LEFT(C13,1)="R", "Right", LEFT(C13,1)="s", "Switch")</f>
        <v>#N/A</v>
      </c>
      <c r="J13" t="s">
        <v>81</v>
      </c>
    </row>
    <row r="14" spans="1:10" x14ac:dyDescent="0.25">
      <c r="D14" s="27"/>
      <c r="I14" t="e" cm="1">
        <f t="array" ref="I14">_xlfn.IFS(LEFT(C14,1)="L", "Left", LEFT(C14,1)="R", "Right", LEFT(C14,1)="s", "Switch")</f>
        <v>#N/A</v>
      </c>
      <c r="J14" t="s">
        <v>81</v>
      </c>
    </row>
    <row r="15" spans="1:10" x14ac:dyDescent="0.25">
      <c r="D15" s="27"/>
      <c r="I15" t="e" cm="1">
        <f t="array" ref="I15">_xlfn.IFS(LEFT(C15,1)="L", "Left", LEFT(C15,1)="R", "Right", LEFT(C15,1)="s", "Switch")</f>
        <v>#N/A</v>
      </c>
      <c r="J15" t="s">
        <v>81</v>
      </c>
    </row>
    <row r="16" spans="1:10" x14ac:dyDescent="0.25">
      <c r="D16" s="27"/>
      <c r="I16" t="e" cm="1">
        <f t="array" ref="I16">_xlfn.IFS(LEFT(C16,1)="L", "Left", LEFT(C16,1)="R", "Right", LEFT(C16,1)="s", "Switch")</f>
        <v>#N/A</v>
      </c>
      <c r="J16" t="s">
        <v>81</v>
      </c>
    </row>
    <row r="17" spans="4:10" x14ac:dyDescent="0.25">
      <c r="I17" t="e" cm="1">
        <f t="array" ref="I17">_xlfn.IFS(LEFT(C17,1)="L", "Left", LEFT(C17,1)="R", "Right", LEFT(C17,1)="s", "Switch")</f>
        <v>#N/A</v>
      </c>
      <c r="J17" t="s">
        <v>81</v>
      </c>
    </row>
    <row r="18" spans="4:10" x14ac:dyDescent="0.25">
      <c r="I18" t="e" cm="1">
        <f t="array" ref="I18">_xlfn.IFS(LEFT(C18,1)="L", "Left", LEFT(C18,1)="R", "Right", LEFT(C18,1)="s", "Switch")</f>
        <v>#N/A</v>
      </c>
      <c r="J18" t="s">
        <v>81</v>
      </c>
    </row>
    <row r="19" spans="4:10" x14ac:dyDescent="0.25">
      <c r="D19" s="27"/>
      <c r="I19" t="e" cm="1">
        <f t="array" ref="I19">_xlfn.IFS(LEFT(C19,1)="L", "Left", LEFT(C19,1)="R", "Right", LEFT(C19,1)="s", "Switch")</f>
        <v>#N/A</v>
      </c>
      <c r="J19" t="s">
        <v>81</v>
      </c>
    </row>
    <row r="20" spans="4:10" x14ac:dyDescent="0.25">
      <c r="D20" s="27"/>
      <c r="I20" t="e" cm="1">
        <f t="array" ref="I20">_xlfn.IFS(LEFT(C20,1)="L", "Left", LEFT(C20,1)="R", "Right", LEFT(C20,1)="s", "Switch")</f>
        <v>#N/A</v>
      </c>
      <c r="J20" t="s">
        <v>81</v>
      </c>
    </row>
    <row r="21" spans="4:10" x14ac:dyDescent="0.25">
      <c r="D21" s="27"/>
      <c r="I21" t="e" cm="1">
        <f t="array" ref="I21">_xlfn.IFS(LEFT(C21,1)="L", "Left", LEFT(C21,1)="R", "Right", LEFT(C21,1)="s", "Switch")</f>
        <v>#N/A</v>
      </c>
      <c r="J21" t="s">
        <v>81</v>
      </c>
    </row>
    <row r="22" spans="4:10" x14ac:dyDescent="0.25">
      <c r="D22" s="11"/>
      <c r="I22" t="e" cm="1">
        <f t="array" ref="I22">_xlfn.IFS(LEFT(C22,1)="L", "Left", LEFT(C22,1)="R", "Right", LEFT(C22,1)="s", "Switch")</f>
        <v>#N/A</v>
      </c>
      <c r="J2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72C6-74E8-4E98-B055-570799491F2A}">
  <dimension ref="A1:AD2"/>
  <sheetViews>
    <sheetView workbookViewId="0">
      <selection sqref="A1:AD2"/>
    </sheetView>
  </sheetViews>
  <sheetFormatPr defaultRowHeight="15" x14ac:dyDescent="0.25"/>
  <cols>
    <col min="1" max="1" width="18.140625" customWidth="1"/>
  </cols>
  <sheetData>
    <row r="1" spans="1:30" x14ac:dyDescent="0.25">
      <c r="A1" s="30" t="s">
        <v>95</v>
      </c>
      <c r="B1" s="30" t="s">
        <v>96</v>
      </c>
      <c r="C1" s="30" t="s">
        <v>97</v>
      </c>
      <c r="D1" s="30" t="s">
        <v>98</v>
      </c>
      <c r="E1" s="30" t="s">
        <v>99</v>
      </c>
      <c r="F1" s="30" t="s">
        <v>100</v>
      </c>
      <c r="G1" s="30" t="s">
        <v>101</v>
      </c>
      <c r="H1" s="30" t="s">
        <v>102</v>
      </c>
      <c r="I1" s="30" t="s">
        <v>103</v>
      </c>
      <c r="J1" s="30" t="s">
        <v>104</v>
      </c>
      <c r="K1" s="30" t="s">
        <v>105</v>
      </c>
      <c r="L1" s="30" t="s">
        <v>106</v>
      </c>
      <c r="M1" s="30" t="s">
        <v>107</v>
      </c>
      <c r="N1" s="30" t="s">
        <v>108</v>
      </c>
      <c r="O1" s="30" t="s">
        <v>109</v>
      </c>
      <c r="P1" s="30" t="s">
        <v>110</v>
      </c>
      <c r="Q1" s="30" t="s">
        <v>111</v>
      </c>
      <c r="R1" s="30" t="s">
        <v>112</v>
      </c>
      <c r="S1" s="30" t="s">
        <v>113</v>
      </c>
      <c r="T1" s="30" t="s">
        <v>114</v>
      </c>
      <c r="U1" s="30" t="s">
        <v>115</v>
      </c>
      <c r="V1" s="30" t="s">
        <v>116</v>
      </c>
      <c r="W1" s="30" t="s">
        <v>117</v>
      </c>
      <c r="X1" s="30" t="s">
        <v>118</v>
      </c>
      <c r="Y1" s="30" t="s">
        <v>119</v>
      </c>
      <c r="Z1" s="30" t="s">
        <v>120</v>
      </c>
      <c r="AA1" s="30" t="s">
        <v>121</v>
      </c>
      <c r="AB1" s="30" t="s">
        <v>122</v>
      </c>
      <c r="AC1" s="30" t="s">
        <v>123</v>
      </c>
      <c r="AD1" s="30" t="s">
        <v>124</v>
      </c>
    </row>
    <row r="2" spans="1:30" x14ac:dyDescent="0.25">
      <c r="A2" s="29" t="s">
        <v>126</v>
      </c>
      <c r="B2" s="29" t="s">
        <v>128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B558-F4FB-4955-AEB3-7271914409FE}">
  <dimension ref="B2:AC134"/>
  <sheetViews>
    <sheetView showGridLines="0" tabSelected="1" topLeftCell="A76" zoomScale="90" zoomScaleNormal="90" workbookViewId="0">
      <selection activeCell="B50" sqref="B50:H51"/>
    </sheetView>
  </sheetViews>
  <sheetFormatPr defaultRowHeight="15" x14ac:dyDescent="0.25"/>
  <cols>
    <col min="2" max="2" width="5.42578125" customWidth="1"/>
    <col min="3" max="3" width="18.28515625" customWidth="1"/>
    <col min="4" max="8" width="4.42578125" customWidth="1"/>
    <col min="9" max="9" width="5.42578125" customWidth="1"/>
    <col min="10" max="14" width="4.42578125" customWidth="1"/>
    <col min="15" max="15" width="4.28515625" customWidth="1"/>
    <col min="16" max="18" width="7.7109375" customWidth="1"/>
    <col min="19" max="19" width="5.42578125" customWidth="1"/>
    <col min="20" max="24" width="4.42578125" customWidth="1"/>
    <col min="25" max="25" width="4.28515625" customWidth="1"/>
    <col min="26" max="28" width="7.7109375" customWidth="1"/>
  </cols>
  <sheetData>
    <row r="2" spans="2:18" ht="15" customHeight="1" x14ac:dyDescent="0.25">
      <c r="B2" s="38" t="s">
        <v>125</v>
      </c>
      <c r="C2" s="38"/>
      <c r="D2" s="38"/>
      <c r="E2" s="38"/>
      <c r="F2" s="38"/>
      <c r="G2" s="38"/>
      <c r="H2" s="38"/>
      <c r="I2" s="3"/>
      <c r="J2" s="3"/>
      <c r="K2" s="3"/>
      <c r="L2" s="3"/>
      <c r="M2" s="3"/>
      <c r="N2" s="3"/>
      <c r="O2" s="40" t="e">
        <f>VLOOKUP($B2,'P-Info'!B:J,8,FALSE)</f>
        <v>#N/A</v>
      </c>
      <c r="P2" s="40"/>
      <c r="Q2" s="40" t="e">
        <f>"# " &amp; VLOOKUP($B2,CHOOSE({2,1},'P-Info'!A:A, 'P-Info'!B:B),2, FALSE)</f>
        <v>#N/A</v>
      </c>
      <c r="R2" s="40"/>
    </row>
    <row r="3" spans="2:18" ht="15" customHeight="1" x14ac:dyDescent="0.25">
      <c r="B3" s="39"/>
      <c r="C3" s="39"/>
      <c r="D3" s="39"/>
      <c r="E3" s="39"/>
      <c r="F3" s="39"/>
      <c r="G3" s="39"/>
      <c r="H3" s="39"/>
      <c r="I3" s="4"/>
      <c r="J3" s="4"/>
      <c r="K3" s="4"/>
      <c r="L3" s="4"/>
      <c r="M3" s="4"/>
      <c r="N3" s="4"/>
      <c r="O3" s="41"/>
      <c r="P3" s="41"/>
      <c r="Q3" s="41"/>
      <c r="R3" s="41"/>
    </row>
    <row r="5" spans="2:18" x14ac:dyDescent="0.25">
      <c r="I5" s="42" t="s">
        <v>21</v>
      </c>
      <c r="J5" s="42"/>
      <c r="K5" s="42"/>
      <c r="L5" s="42" t="s">
        <v>32</v>
      </c>
      <c r="M5" s="42"/>
      <c r="N5" s="42" t="s">
        <v>23</v>
      </c>
      <c r="O5" s="42"/>
      <c r="P5" s="21" t="s">
        <v>24</v>
      </c>
      <c r="Q5" s="21" t="s">
        <v>36</v>
      </c>
      <c r="R5" s="5" t="s">
        <v>34</v>
      </c>
    </row>
    <row r="6" spans="2:18" x14ac:dyDescent="0.25">
      <c r="I6" s="34" t="s">
        <v>25</v>
      </c>
      <c r="J6" s="34"/>
      <c r="K6" s="34"/>
      <c r="L6" s="35"/>
      <c r="M6" s="35"/>
      <c r="N6" s="36"/>
      <c r="O6" s="36"/>
      <c r="P6" s="9"/>
      <c r="Q6" s="9"/>
      <c r="R6" s="9"/>
    </row>
    <row r="7" spans="2:18" x14ac:dyDescent="0.25">
      <c r="I7" s="37" t="s">
        <v>26</v>
      </c>
      <c r="J7" s="37"/>
      <c r="K7" s="37"/>
      <c r="L7" s="35"/>
      <c r="M7" s="35"/>
      <c r="N7" s="36"/>
      <c r="O7" s="36"/>
      <c r="P7" s="9"/>
      <c r="Q7" s="9"/>
      <c r="R7" s="9"/>
    </row>
    <row r="8" spans="2:18" x14ac:dyDescent="0.25">
      <c r="I8" s="48" t="s">
        <v>27</v>
      </c>
      <c r="J8" s="48"/>
      <c r="K8" s="48"/>
      <c r="L8" s="35"/>
      <c r="M8" s="35"/>
      <c r="N8" s="36"/>
      <c r="O8" s="36"/>
      <c r="P8" s="9"/>
      <c r="Q8" s="9"/>
      <c r="R8" s="9"/>
    </row>
    <row r="9" spans="2:18" x14ac:dyDescent="0.25">
      <c r="I9" s="49" t="s">
        <v>28</v>
      </c>
      <c r="J9" s="49"/>
      <c r="K9" s="49"/>
      <c r="L9" s="35"/>
      <c r="M9" s="35"/>
      <c r="N9" s="36"/>
      <c r="O9" s="36"/>
      <c r="P9" s="9"/>
      <c r="Q9" s="9"/>
      <c r="R9" s="9"/>
    </row>
    <row r="10" spans="2:18" x14ac:dyDescent="0.25">
      <c r="I10" s="44" t="s">
        <v>29</v>
      </c>
      <c r="J10" s="44"/>
      <c r="K10" s="44"/>
      <c r="L10" s="35" t="s">
        <v>30</v>
      </c>
      <c r="M10" s="35"/>
      <c r="N10" s="45" t="s">
        <v>30</v>
      </c>
      <c r="O10" s="45"/>
      <c r="P10" s="6" t="s">
        <v>30</v>
      </c>
      <c r="Q10" s="6" t="s">
        <v>30</v>
      </c>
      <c r="R10" s="6" t="s">
        <v>30</v>
      </c>
    </row>
    <row r="12" spans="2:18" x14ac:dyDescent="0.25">
      <c r="H12" s="7"/>
      <c r="I12" s="7"/>
    </row>
    <row r="13" spans="2:18" x14ac:dyDescent="0.25">
      <c r="I13" s="46" t="s">
        <v>22</v>
      </c>
      <c r="J13" s="46"/>
      <c r="K13" s="46"/>
    </row>
    <row r="14" spans="2:18" x14ac:dyDescent="0.25"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2:18" x14ac:dyDescent="0.25"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2:18" x14ac:dyDescent="0.25"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2:19" x14ac:dyDescent="0.25">
      <c r="I17" s="47"/>
      <c r="J17" s="47"/>
      <c r="K17" s="47"/>
      <c r="L17" s="47"/>
      <c r="M17" s="47"/>
      <c r="N17" s="47"/>
      <c r="O17" s="47"/>
      <c r="P17" s="47"/>
      <c r="Q17" s="47"/>
      <c r="R17" s="47"/>
    </row>
    <row r="18" spans="2:19" x14ac:dyDescent="0.25">
      <c r="I18" s="47"/>
      <c r="J18" s="47"/>
      <c r="K18" s="47"/>
      <c r="L18" s="47"/>
      <c r="M18" s="47"/>
      <c r="N18" s="47"/>
      <c r="O18" s="47"/>
      <c r="P18" s="47"/>
      <c r="Q18" s="47"/>
      <c r="R18" s="47"/>
    </row>
    <row r="19" spans="2:19" x14ac:dyDescent="0.25">
      <c r="I19" s="47"/>
      <c r="J19" s="47"/>
      <c r="K19" s="47"/>
      <c r="L19" s="47"/>
      <c r="M19" s="47"/>
      <c r="N19" s="47"/>
      <c r="O19" s="47"/>
      <c r="P19" s="47"/>
      <c r="Q19" s="47"/>
      <c r="R19" s="47"/>
    </row>
    <row r="20" spans="2:19" x14ac:dyDescent="0.25">
      <c r="I20" s="47"/>
      <c r="J20" s="47"/>
      <c r="K20" s="47"/>
      <c r="L20" s="47"/>
      <c r="M20" s="47"/>
      <c r="N20" s="47"/>
      <c r="O20" s="47"/>
      <c r="P20" s="47"/>
      <c r="Q20" s="47"/>
      <c r="R20" s="47"/>
    </row>
    <row r="21" spans="2:19" x14ac:dyDescent="0.25"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2:19" x14ac:dyDescent="0.25">
      <c r="B22" s="43" t="s">
        <v>31</v>
      </c>
      <c r="C22" s="43"/>
      <c r="D22" s="43"/>
      <c r="E22" s="43"/>
      <c r="F22" s="43"/>
      <c r="G22" s="43"/>
      <c r="H22" s="43"/>
    </row>
    <row r="24" spans="2:19" x14ac:dyDescent="0.25">
      <c r="B24" s="50" t="s">
        <v>0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7"/>
    </row>
    <row r="25" spans="2:19" x14ac:dyDescent="0.25">
      <c r="B25" s="22" t="s">
        <v>1</v>
      </c>
      <c r="C25" s="22" t="s">
        <v>2</v>
      </c>
      <c r="D25" s="22" t="s">
        <v>3</v>
      </c>
      <c r="E25" s="22" t="s">
        <v>4</v>
      </c>
      <c r="F25" s="22" t="s">
        <v>5</v>
      </c>
      <c r="G25" s="22" t="s">
        <v>6</v>
      </c>
      <c r="H25" s="22" t="s">
        <v>7</v>
      </c>
      <c r="I25" s="22" t="s">
        <v>8</v>
      </c>
      <c r="J25" s="22" t="s">
        <v>9</v>
      </c>
      <c r="K25" s="22" t="s">
        <v>10</v>
      </c>
      <c r="L25" s="22" t="s">
        <v>11</v>
      </c>
      <c r="M25" s="22" t="s">
        <v>12</v>
      </c>
      <c r="N25" s="22" t="s">
        <v>13</v>
      </c>
      <c r="O25" s="22" t="s">
        <v>14</v>
      </c>
      <c r="P25" s="22" t="s">
        <v>15</v>
      </c>
      <c r="Q25" s="22" t="s">
        <v>16</v>
      </c>
      <c r="R25" s="22" t="s">
        <v>17</v>
      </c>
      <c r="S25" s="2"/>
    </row>
    <row r="26" spans="2:19" x14ac:dyDescent="0.25">
      <c r="B26" s="22">
        <v>2022</v>
      </c>
      <c r="C26" s="22" t="e">
        <f>VLOOKUP($B2,'P-Info'!B:J,5,FALSE)</f>
        <v>#N/A</v>
      </c>
      <c r="D26" s="1" t="e" cm="1">
        <f t="array" ref="D26">_xlfn.IFS(VLOOKUP($B2,'P-Info'!$B:$J,9,FALSE)="NAIA", VLOOKUP($B2,Table1[#All],4,FALSE),VLOOKUP($B2,'P-Info'!$B:$J,9,FALSE)="BR",VLOOKUP($B2,Table1[#All],14,FALSE))</f>
        <v>#N/A</v>
      </c>
      <c r="E26" s="1" t="e" cm="1">
        <f t="array" ref="E26">_xlfn.IFS(VLOOKUP($B2,'P-Info'!$B:$J,9,FALSE)="NAIA", VLOOKUP($B2,Table1[#All],5,FALSE),VLOOKUP($B2,'P-Info'!$B:$J,9,FALSE)="BR",VLOOKUP($B2,Table1[#All],15,FALSE))</f>
        <v>#N/A</v>
      </c>
      <c r="F26" s="1" t="e" cm="1">
        <f t="array" ref="F26">_xlfn.IFS(VLOOKUP($B2,'P-Info'!$B:$J,9,FALSE)="NAIA", VLOOKUP($B2,Table1[#All],6,FALSE),VLOOKUP($B2,'P-Info'!$B:$J,9,FALSE)="BR",VLOOKUP($B2,Table1[#All],9,FALSE))</f>
        <v>#N/A</v>
      </c>
      <c r="G26" s="1" t="e" cm="1">
        <f t="array" ref="G26">_xlfn.IFS(VLOOKUP($B2,'P-Info'!$B:$J,9,FALSE)="NAIA", VLOOKUP($B2,Table1[#All],7,FALSE),VLOOKUP($B2,'P-Info'!$B:$J,9,FALSE)="BR",VLOOKUP($B2,Table1[#All],10,FALSE))</f>
        <v>#N/A</v>
      </c>
      <c r="H26" s="1" t="e" cm="1">
        <f t="array" ref="H26">_xlfn.IFS(VLOOKUP($B2,'P-Info'!$B:$J,9,FALSE)="NAIA", VLOOKUP($B2,Table1[#All],8,FALSE),VLOOKUP($B2,'P-Info'!$B:$J,9,FALSE)="BR",VLOOKUP($B2,Table1[#All],19,FALSE))</f>
        <v>#N/A</v>
      </c>
      <c r="I26" s="1" t="e" cm="1">
        <f t="array" ref="I26">_xlfn.IFS(VLOOKUP($B2,'P-Info'!$B:$J,9,FALSE)="NAIA", VLOOKUP($B2,Table1[#All],10,FALSE),VLOOKUP($B2,'P-Info'!$B:$J,9,FALSE)="BR",VLOOKUP($B2,Table1[#All],20,FALSE))</f>
        <v>#N/A</v>
      </c>
      <c r="J26" s="1" t="e" cm="1">
        <f t="array" ref="J26">_xlfn.IFS(VLOOKUP($B2,'P-Info'!$B:$J,9,FALSE)="NAIA", VLOOKUP($B2,Table1[#All],11,FALSE),VLOOKUP($B2,'P-Info'!$B:$J,9,FALSE)="BR",VLOOKUP($B2,Table1[#All],21,FALSE))</f>
        <v>#N/A</v>
      </c>
      <c r="K26" s="1" t="e" cm="1">
        <f t="array" ref="K26">_xlfn.IFS(VLOOKUP($B2,'P-Info'!$B:$J,9,FALSE)="NAIA", VLOOKUP($B2,Table1[#All],12,FALSE),VLOOKUP($B2,'P-Info'!$B:$J,9,FALSE)="BR",VLOOKUP($B2,Table1[#All],22,FALSE))</f>
        <v>#N/A</v>
      </c>
      <c r="L26" s="1" t="e" cm="1">
        <f t="array" ref="L26">_xlfn.IFS(VLOOKUP($B2,'P-Info'!$B:$J,9,FALSE)="NAIA", VLOOKUP($B2,Table1[#All],13,FALSE),VLOOKUP($B2,'P-Info'!$B:$J,9,FALSE)="BR",VLOOKUP($B2,Table1[#All],23,FALSE))</f>
        <v>#N/A</v>
      </c>
      <c r="M26" s="1" t="e" cm="1">
        <f t="array" ref="M26">_xlfn.IFS(VLOOKUP($B2,'P-Info'!$B:$J,9,FALSE)="NAIA", VLOOKUP($B2,Table1[#All],17,FALSE),VLOOKUP($B2,'P-Info'!$B:$J,9,FALSE)="BR",VLOOKUP($B2,Table1[#All],24,FALSE))</f>
        <v>#N/A</v>
      </c>
      <c r="N26" s="1" t="e" cm="1">
        <f t="array" ref="N26">_xlfn.IFS(VLOOKUP($B2,'P-Info'!$B:$J,9,FALSE)="NAIA", VLOOKUP($B2,Table1[#All],14,FALSE),VLOOKUP($B2,'P-Info'!$B:$J,9,FALSE)="BR",VLOOKUP($B2,Table1[#All],25,FALSE))</f>
        <v>#N/A</v>
      </c>
      <c r="O26" s="1" t="e" cm="1">
        <f t="array" ref="O26">_xlfn.IFS(VLOOKUP($B2,'P-Info'!$B:$J,9,FALSE)="NAIA", VLOOKUP($B2,Table1[#All],15,FALSE),VLOOKUP($B2,'P-Info'!$B:$J,9,FALSE)="BR",VLOOKUP($B2,Table1[#All],27,FALSE))</f>
        <v>#N/A</v>
      </c>
      <c r="P26" s="8" t="e" cm="1">
        <f t="array" ref="P26">_xlfn.IFS(VLOOKUP($B2,'P-Info'!$B:$J,9,FALSE)="NAIA", VLOOKUP($B2,Table1[#All],18,FALSE),VLOOKUP($B2,'P-Info'!$B:$J,9,FALSE)="BR",VLOOKUP($B2,Table1[#All],12,FALSE))</f>
        <v>#N/A</v>
      </c>
      <c r="Q26" s="8" t="e" cm="1">
        <f t="array" ref="Q26">_xlfn.IFS(VLOOKUP($B2,'P-Info'!$B:$J,9,FALSE)="NAIA", (J26+N26)/I26,VLOOKUP($B2,'P-Info'!$B:$J,9,FALSE)="BR",VLOOKUP($B2,Table1[#All],32,FALSE))</f>
        <v>#N/A</v>
      </c>
      <c r="R26" s="1" t="e" cm="1">
        <f t="array" ref="R26">_xlfn.IFS(VLOOKUP($B2,'P-Info'!$B:$J,9,FALSE)="NAIA", VLOOKUP($B2,Table1[#All],16,FALSE),VLOOKUP($B2,'P-Info'!$B:$J,9,FALSE)="BR",VLOOKUP($B2,Table1[#All],36,FALSE))</f>
        <v>#N/A</v>
      </c>
      <c r="S26" s="2"/>
    </row>
    <row r="30" spans="2:19" ht="15" customHeight="1" x14ac:dyDescent="0.25">
      <c r="B30" s="38" t="s">
        <v>80</v>
      </c>
      <c r="C30" s="38"/>
      <c r="D30" s="38"/>
      <c r="E30" s="38"/>
      <c r="F30" s="38"/>
      <c r="G30" s="38"/>
      <c r="H30" s="38"/>
      <c r="I30" s="3"/>
      <c r="J30" s="3"/>
      <c r="K30" s="3"/>
      <c r="L30" s="3"/>
      <c r="M30" s="3"/>
      <c r="N30" s="3"/>
      <c r="O30" s="40" t="e">
        <f>VLOOKUP(B30,'P-Info'!A:J,3,FALSE)</f>
        <v>#N/A</v>
      </c>
      <c r="P30" s="40"/>
      <c r="Q30" s="40" t="e">
        <f>"# " &amp; VLOOKUP(B30,'P-Info'!A:B,2,FALSE)</f>
        <v>#N/A</v>
      </c>
      <c r="R30" s="40"/>
    </row>
    <row r="31" spans="2:19" ht="15" customHeight="1" x14ac:dyDescent="0.25">
      <c r="B31" s="39"/>
      <c r="C31" s="39"/>
      <c r="D31" s="39"/>
      <c r="E31" s="39"/>
      <c r="F31" s="39"/>
      <c r="G31" s="39"/>
      <c r="H31" s="39"/>
      <c r="I31" s="4"/>
      <c r="J31" s="4"/>
      <c r="K31" s="4"/>
      <c r="L31" s="4"/>
      <c r="M31" s="4"/>
      <c r="N31" s="4"/>
      <c r="O31" s="41"/>
      <c r="P31" s="41"/>
      <c r="Q31" s="41"/>
      <c r="R31" s="41"/>
    </row>
    <row r="33" spans="2:19" x14ac:dyDescent="0.25">
      <c r="B33" s="51" t="s">
        <v>33</v>
      </c>
      <c r="C33" s="51"/>
      <c r="I33" s="52" t="s">
        <v>22</v>
      </c>
      <c r="J33" s="53"/>
      <c r="K33" s="54"/>
    </row>
    <row r="34" spans="2:19" ht="15" customHeight="1" x14ac:dyDescent="0.25">
      <c r="I34" s="47"/>
      <c r="J34" s="47"/>
      <c r="K34" s="47"/>
      <c r="L34" s="47"/>
      <c r="M34" s="47"/>
      <c r="N34" s="47"/>
      <c r="O34" s="47"/>
      <c r="P34" s="47"/>
      <c r="Q34" s="47"/>
      <c r="R34" s="47"/>
    </row>
    <row r="35" spans="2:19" x14ac:dyDescent="0.25">
      <c r="B35" s="42" t="s">
        <v>21</v>
      </c>
      <c r="C35" s="42"/>
      <c r="D35" s="42" t="s">
        <v>32</v>
      </c>
      <c r="E35" s="42"/>
      <c r="I35" s="47"/>
      <c r="J35" s="47"/>
      <c r="K35" s="47"/>
      <c r="L35" s="47"/>
      <c r="M35" s="47"/>
      <c r="N35" s="47"/>
      <c r="O35" s="47"/>
      <c r="P35" s="47"/>
      <c r="Q35" s="47"/>
      <c r="R35" s="47"/>
    </row>
    <row r="36" spans="2:19" x14ac:dyDescent="0.25">
      <c r="B36" s="34" t="s">
        <v>25</v>
      </c>
      <c r="C36" s="34"/>
      <c r="D36" s="55" t="s">
        <v>30</v>
      </c>
      <c r="E36" s="56"/>
      <c r="I36" s="47"/>
      <c r="J36" s="47"/>
      <c r="K36" s="47"/>
      <c r="L36" s="47"/>
      <c r="M36" s="47"/>
      <c r="N36" s="47"/>
      <c r="O36" s="47"/>
      <c r="P36" s="47"/>
      <c r="Q36" s="47"/>
      <c r="R36" s="47"/>
    </row>
    <row r="37" spans="2:19" x14ac:dyDescent="0.25">
      <c r="B37" s="37" t="s">
        <v>26</v>
      </c>
      <c r="C37" s="37"/>
      <c r="D37" s="55" t="s">
        <v>30</v>
      </c>
      <c r="E37" s="56"/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8" spans="2:19" x14ac:dyDescent="0.25">
      <c r="B38" s="48" t="s">
        <v>27</v>
      </c>
      <c r="C38" s="48"/>
      <c r="D38" s="55" t="s">
        <v>30</v>
      </c>
      <c r="E38" s="56"/>
      <c r="I38" s="47"/>
      <c r="J38" s="47"/>
      <c r="K38" s="47"/>
      <c r="L38" s="47"/>
      <c r="M38" s="47"/>
      <c r="N38" s="47"/>
      <c r="O38" s="47"/>
      <c r="P38" s="47"/>
      <c r="Q38" s="47"/>
      <c r="R38" s="47"/>
    </row>
    <row r="39" spans="2:19" x14ac:dyDescent="0.25">
      <c r="B39" s="49" t="s">
        <v>28</v>
      </c>
      <c r="C39" s="49"/>
      <c r="D39" s="55" t="s">
        <v>30</v>
      </c>
      <c r="E39" s="56"/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 spans="2:19" x14ac:dyDescent="0.25">
      <c r="B40" s="44" t="s">
        <v>29</v>
      </c>
      <c r="C40" s="44"/>
      <c r="D40" s="55" t="s">
        <v>30</v>
      </c>
      <c r="E40" s="56"/>
      <c r="H40" s="7"/>
      <c r="I40" s="47"/>
      <c r="J40" s="47"/>
      <c r="K40" s="47"/>
      <c r="L40" s="47"/>
      <c r="M40" s="47"/>
      <c r="N40" s="47"/>
      <c r="O40" s="47"/>
      <c r="P40" s="47"/>
      <c r="Q40" s="47"/>
      <c r="R40" s="47"/>
    </row>
    <row r="41" spans="2:19" x14ac:dyDescent="0.25">
      <c r="I41" s="47"/>
      <c r="J41" s="47"/>
      <c r="K41" s="47"/>
      <c r="L41" s="47"/>
      <c r="M41" s="47"/>
      <c r="N41" s="47"/>
      <c r="O41" s="47"/>
      <c r="P41" s="47"/>
      <c r="Q41" s="47"/>
      <c r="R41" s="47"/>
    </row>
    <row r="44" spans="2:19" x14ac:dyDescent="0.25">
      <c r="B44" s="50" t="s">
        <v>0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7"/>
    </row>
    <row r="45" spans="2:19" x14ac:dyDescent="0.25">
      <c r="B45" s="6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  <c r="O45" s="6" t="s">
        <v>14</v>
      </c>
      <c r="P45" s="6" t="s">
        <v>15</v>
      </c>
      <c r="Q45" s="6" t="s">
        <v>16</v>
      </c>
      <c r="R45" s="6" t="s">
        <v>17</v>
      </c>
      <c r="S45" s="2"/>
    </row>
    <row r="46" spans="2:19" x14ac:dyDescent="0.25">
      <c r="B46" s="6">
        <v>2022</v>
      </c>
      <c r="C46" s="23" t="e">
        <f>VLOOKUP(Pitchers!B30, 'P-Info'!A:J,4,FALSE)</f>
        <v>#N/A</v>
      </c>
      <c r="D46" s="1" t="e" cm="1">
        <f t="array" ref="D46">_xlfn.IFS(VLOOKUP($B30,'P-Info'!$A:$J,5,FALSE)="NAIA", VLOOKUP($B30,'P-Info'!$A:$Y,6,FALSE),VLOOKUP($B30,'P-Info'!$A:$J,5,FALSE)="BR",VLOOKUP($B30,'P-Info'!$A:$AM,11,FALSE))</f>
        <v>#N/A</v>
      </c>
      <c r="E46" s="1" t="e" cm="1">
        <f t="array" ref="E46">_xlfn.IFS(VLOOKUP($B30,'P-Info'!$A:$J,5,FALSE)="NAIA", VLOOKUP($B30,'P-Info'!$A:$Y,7,FALSE),VLOOKUP($B30,'P-Info'!$A:$J,5,FALSE)="BR",VLOOKUP($B30,'P-Info'!$A:$AM,12,FALSE))</f>
        <v>#N/A</v>
      </c>
      <c r="F46" s="1" t="e" cm="1">
        <f t="array" ref="F46">_xlfn.IFS(VLOOKUP($B30,'P-Info'!$A:$J,5,FALSE)="NAIA", VLOOKUP($B30,'P-Info'!$A:$Y,8,FALSE),VLOOKUP($B30,'P-Info'!$A:$J,5,FALSE)="BR",VLOOKUP($B30,'P-Info'!$A:$AM,6,FALSE))</f>
        <v>#N/A</v>
      </c>
      <c r="G46" s="1" t="e" cm="1">
        <f t="array" ref="G46">_xlfn.IFS(VLOOKUP($B30,'P-Info'!$A:$J,5,FALSE)="NAIA", VLOOKUP($B30,'P-Info'!$A:$Y,9,FALSE),VLOOKUP($B30,'P-Info'!$A:$J,5,FALSE)="BR",VLOOKUP($B30,'P-Info'!$A:$AM,7,FALSE))</f>
        <v>#N/A</v>
      </c>
      <c r="H46" s="1" t="e" cm="1">
        <f t="array" ref="H46">_xlfn.IFS(VLOOKUP($B30,'P-Info'!$A:$J,5,FALSE)="NAIA", VLOOKUP($B30,'P-Info'!$A:$Y,10,FALSE),VLOOKUP($B30,'P-Info'!$A:$J,5,FALSE)="BR",VLOOKUP($B30,'P-Info'!$A:$AM,16,FALSE))</f>
        <v>#N/A</v>
      </c>
      <c r="I46" s="1" t="e" cm="1">
        <f t="array" ref="I46">_xlfn.IFS(VLOOKUP($B30,'P-Info'!$A:$J,5,FALSE)="NAIA", VLOOKUP($B30,'P-Info'!$A:$Y,12,FALSE),VLOOKUP($B30,'P-Info'!$A:$J,5,FALSE)="BR",VLOOKUP($B30,'P-Info'!$A:$AM,17,FALSE))</f>
        <v>#N/A</v>
      </c>
      <c r="J46" s="1" t="e" cm="1">
        <f t="array" ref="J46">_xlfn.IFS(VLOOKUP($B30,'P-Info'!$A:$J,5,FALSE)="NAIA", VLOOKUP($B30,'P-Info'!$A:$Y,13,FALSE),VLOOKUP($B30,'P-Info'!$A:$J,5,FALSE)="BR",VLOOKUP($B30,'P-Info'!$A:$AM,18,FALSE))</f>
        <v>#N/A</v>
      </c>
      <c r="K46" s="1" t="e" cm="1">
        <f t="array" ref="K46">_xlfn.IFS(VLOOKUP($B30,'P-Info'!$A:$J,5,FALSE)="NAIA", VLOOKUP($B30,'P-Info'!$A:$Y,14,FALSE),VLOOKUP($B30,'P-Info'!$A:$J,5,FALSE)="BR",VLOOKUP($B30,'P-Info'!$A:$AM,19,FALSE))</f>
        <v>#N/A</v>
      </c>
      <c r="L46" s="1" t="e" cm="1">
        <f t="array" ref="L46">_xlfn.IFS(VLOOKUP($B30,'P-Info'!$A:$J,5,FALSE)="NAIA", VLOOKUP($B30,'P-Info'!$A:$Y,15,FALSE),VLOOKUP($B30,'P-Info'!$A:$J,5,FALSE)="BR",VLOOKUP($B30,'P-Info'!$A:$AM,20,FALSE))</f>
        <v>#N/A</v>
      </c>
      <c r="M46" s="1" t="e" cm="1">
        <f t="array" ref="M46">_xlfn.IFS(VLOOKUP($B30,'P-Info'!$A:$J,5,FALSE)="NAIA", VLOOKUP($B30,'P-Info'!$A:$Y,19,FALSE),VLOOKUP($B30,'P-Info'!$A:$J,5,FALSE)="BR",VLOOKUP($B30,'P-Info'!$A:$AM,21,FALSE))</f>
        <v>#N/A</v>
      </c>
      <c r="N46" s="1" t="e" cm="1">
        <f t="array" ref="N46">_xlfn.IFS(VLOOKUP($B30,'P-Info'!$A:$J,5,FALSE)="NAIA", VLOOKUP($B30,'P-Info'!$A:$Y,16,FALSE),VLOOKUP($B30,'P-Info'!$A:$J,5,FALSE)="BR",VLOOKUP($B30,'P-Info'!$A:$AM,22,FALSE))</f>
        <v>#N/A</v>
      </c>
      <c r="O46" s="1" t="e" cm="1">
        <f t="array" ref="O46">_xlfn.IFS(VLOOKUP($B30,'P-Info'!$A:$J,5,FALSE)="NAIA", VLOOKUP($B30,'P-Info'!$A:$Y,17,FALSE),VLOOKUP($B30,'P-Info'!$A:$J,5,FALSE)="BR",VLOOKUP($B30,'P-Info'!$A:$AM,24,FALSE))</f>
        <v>#N/A</v>
      </c>
      <c r="P46" s="1" t="e" cm="1">
        <f t="array" ref="P46">_xlfn.IFS(VLOOKUP($B30,'P-Info'!$A:$J,5,FALSE)="NAIA", VLOOKUP($B30,'P-Info'!$A:$Y,20,FALSE),VLOOKUP($B30,'P-Info'!$A:$J,5,FALSE)="BR",VLOOKUP($B30,'P-Info'!$A:$AM,9,FALSE))</f>
        <v>#N/A</v>
      </c>
      <c r="Q46" s="8" t="e" cm="1">
        <f t="array" ref="Q46">_xlfn.IFS(VLOOKUP($B30,'P-Info'!$A:$J,5,FALSE)="NAIA", (J46+N46)/I46,VLOOKUP($B30,'P-Info'!$A:$J,5,FALSE)="BR",VLOOKUP($B30,'P-Info'!$A:$AM,29,FALSE))</f>
        <v>#N/A</v>
      </c>
      <c r="R46" s="8" t="e" cm="1">
        <f t="array" ref="R46">_xlfn.IFS(VLOOKUP($B30,'P-Info'!$A:$J,5,FALSE)="NAIA", VLOOKUP($B30,'P-Info'!$A:$Y,18,FALSE),VLOOKUP($B30,'P-Info'!$A:$J,5,FALSE)="BR",VLOOKUP($B30,'P-Info'!$A:$AM,33,FALSE))</f>
        <v>#N/A</v>
      </c>
      <c r="S46" s="2"/>
    </row>
    <row r="50" spans="2:28" ht="15" customHeight="1" x14ac:dyDescent="0.25">
      <c r="B50" s="38" t="s">
        <v>129</v>
      </c>
      <c r="C50" s="38"/>
      <c r="D50" s="38"/>
      <c r="E50" s="38"/>
      <c r="F50" s="38"/>
      <c r="G50" s="38"/>
      <c r="H50" s="38"/>
      <c r="I50" s="3"/>
      <c r="J50" s="3"/>
      <c r="K50" s="3"/>
      <c r="L50" s="3"/>
      <c r="M50" s="3"/>
      <c r="N50" s="3"/>
      <c r="O50" s="3"/>
      <c r="P50" s="3"/>
      <c r="Q50" s="3"/>
      <c r="R50" s="3"/>
      <c r="S50" s="65"/>
      <c r="T50" s="65"/>
      <c r="U50" s="65"/>
      <c r="V50" s="65"/>
      <c r="W50" s="65"/>
      <c r="X50" s="65"/>
      <c r="Y50" s="40" t="e">
        <f>VLOOKUP($B50,'P-Info'!L:T,8,FALSE)</f>
        <v>#N/A</v>
      </c>
      <c r="Z50" s="40"/>
      <c r="AA50" s="40" t="e">
        <f>"# " &amp; VLOOKUP($B50,CHOOSE({2,1},'P-Info'!K:K, 'P-Info'!L:L),2, FALSE)</f>
        <v>#N/A</v>
      </c>
      <c r="AB50" s="40"/>
    </row>
    <row r="51" spans="2:28" ht="15" customHeight="1" x14ac:dyDescent="0.25">
      <c r="B51" s="39"/>
      <c r="C51" s="39"/>
      <c r="D51" s="39"/>
      <c r="E51" s="39"/>
      <c r="F51" s="39"/>
      <c r="G51" s="39"/>
      <c r="H51" s="39"/>
      <c r="I51" s="4"/>
      <c r="J51" s="4"/>
      <c r="K51" s="4"/>
      <c r="L51" s="4"/>
      <c r="M51" s="4"/>
      <c r="N51" s="4"/>
      <c r="O51" s="4"/>
      <c r="P51" s="4"/>
      <c r="Q51" s="4"/>
      <c r="R51" s="4"/>
      <c r="S51" s="75"/>
      <c r="T51" s="75"/>
      <c r="U51" s="75"/>
      <c r="V51" s="75"/>
      <c r="W51" s="75"/>
      <c r="X51" s="75"/>
      <c r="Y51" s="41"/>
      <c r="Z51" s="41"/>
      <c r="AA51" s="41"/>
      <c r="AB51" s="41"/>
    </row>
    <row r="53" spans="2:28" x14ac:dyDescent="0.25">
      <c r="B53" s="84"/>
      <c r="C53" s="76"/>
      <c r="D53" s="76"/>
      <c r="E53" s="76"/>
      <c r="F53" s="76"/>
      <c r="G53" s="76"/>
      <c r="H53" s="85"/>
      <c r="I53" s="88"/>
      <c r="J53" s="89"/>
      <c r="K53" s="89"/>
      <c r="L53" s="90"/>
      <c r="M53" s="90"/>
      <c r="N53" s="90"/>
      <c r="O53" s="90"/>
      <c r="P53" s="91"/>
      <c r="Q53" s="92"/>
      <c r="R53" s="68"/>
      <c r="S53" s="42" t="s">
        <v>133</v>
      </c>
      <c r="T53" s="42"/>
      <c r="U53" s="42"/>
      <c r="V53" s="42" t="s">
        <v>32</v>
      </c>
      <c r="W53" s="42"/>
      <c r="X53" s="42" t="s">
        <v>23</v>
      </c>
      <c r="Y53" s="42"/>
      <c r="Z53" s="21" t="s">
        <v>24</v>
      </c>
      <c r="AA53" s="21" t="s">
        <v>36</v>
      </c>
      <c r="AB53" s="31" t="s">
        <v>34</v>
      </c>
    </row>
    <row r="54" spans="2:28" x14ac:dyDescent="0.25">
      <c r="B54" s="86"/>
      <c r="C54" s="65"/>
      <c r="D54" s="65"/>
      <c r="E54" s="65"/>
      <c r="F54" s="65"/>
      <c r="G54" s="65"/>
      <c r="H54" s="77"/>
      <c r="I54" s="93"/>
      <c r="J54" s="69"/>
      <c r="K54" s="69"/>
      <c r="L54" s="59"/>
      <c r="M54" s="59"/>
      <c r="N54" s="70"/>
      <c r="O54" s="70"/>
      <c r="P54" s="71"/>
      <c r="Q54" s="94"/>
      <c r="R54" s="71"/>
      <c r="S54" s="34" t="s">
        <v>25</v>
      </c>
      <c r="T54" s="34"/>
      <c r="U54" s="34"/>
      <c r="V54" s="35"/>
      <c r="W54" s="35"/>
      <c r="X54" s="36"/>
      <c r="Y54" s="36"/>
      <c r="Z54" s="32"/>
      <c r="AA54" s="32"/>
      <c r="AB54" s="32"/>
    </row>
    <row r="55" spans="2:28" x14ac:dyDescent="0.25">
      <c r="B55" s="86"/>
      <c r="C55" s="65"/>
      <c r="D55" s="65"/>
      <c r="E55" s="65"/>
      <c r="F55" s="65"/>
      <c r="G55" s="65"/>
      <c r="H55" s="77"/>
      <c r="I55" s="93"/>
      <c r="J55" s="69"/>
      <c r="K55" s="69"/>
      <c r="L55" s="59"/>
      <c r="M55" s="59"/>
      <c r="N55" s="70"/>
      <c r="O55" s="70"/>
      <c r="P55" s="71"/>
      <c r="Q55" s="94"/>
      <c r="R55" s="71"/>
      <c r="S55" s="37" t="s">
        <v>26</v>
      </c>
      <c r="T55" s="37"/>
      <c r="U55" s="37"/>
      <c r="V55" s="35"/>
      <c r="W55" s="35"/>
      <c r="X55" s="36"/>
      <c r="Y55" s="36"/>
      <c r="Z55" s="32"/>
      <c r="AA55" s="32"/>
      <c r="AB55" s="32"/>
    </row>
    <row r="56" spans="2:28" x14ac:dyDescent="0.25">
      <c r="B56" s="86"/>
      <c r="C56" s="65"/>
      <c r="D56" s="65"/>
      <c r="E56" s="65"/>
      <c r="F56" s="65"/>
      <c r="G56" s="65"/>
      <c r="H56" s="77"/>
      <c r="I56" s="93"/>
      <c r="J56" s="69"/>
      <c r="K56" s="69"/>
      <c r="L56" s="59"/>
      <c r="M56" s="59"/>
      <c r="N56" s="70"/>
      <c r="O56" s="70"/>
      <c r="P56" s="71"/>
      <c r="Q56" s="94"/>
      <c r="R56" s="71"/>
      <c r="S56" s="48" t="s">
        <v>27</v>
      </c>
      <c r="T56" s="48"/>
      <c r="U56" s="48"/>
      <c r="V56" s="35"/>
      <c r="W56" s="35"/>
      <c r="X56" s="36"/>
      <c r="Y56" s="36"/>
      <c r="Z56" s="32"/>
      <c r="AA56" s="32"/>
      <c r="AB56" s="32"/>
    </row>
    <row r="57" spans="2:28" x14ac:dyDescent="0.25">
      <c r="B57" s="86"/>
      <c r="C57" s="65"/>
      <c r="D57" s="65"/>
      <c r="E57" s="65"/>
      <c r="F57" s="65"/>
      <c r="G57" s="65"/>
      <c r="H57" s="77"/>
      <c r="I57" s="93"/>
      <c r="J57" s="69"/>
      <c r="K57" s="69"/>
      <c r="L57" s="59"/>
      <c r="M57" s="59"/>
      <c r="N57" s="70"/>
      <c r="O57" s="70"/>
      <c r="P57" s="71"/>
      <c r="Q57" s="94"/>
      <c r="R57" s="71"/>
      <c r="S57" s="49" t="s">
        <v>28</v>
      </c>
      <c r="T57" s="49"/>
      <c r="U57" s="49"/>
      <c r="V57" s="35"/>
      <c r="W57" s="35"/>
      <c r="X57" s="36"/>
      <c r="Y57" s="36"/>
      <c r="Z57" s="32"/>
      <c r="AA57" s="32"/>
      <c r="AB57" s="32"/>
    </row>
    <row r="58" spans="2:28" x14ac:dyDescent="0.25">
      <c r="B58" s="86"/>
      <c r="C58" s="65"/>
      <c r="D58" s="65"/>
      <c r="E58" s="65"/>
      <c r="F58" s="65"/>
      <c r="G58" s="65"/>
      <c r="H58" s="77"/>
      <c r="I58" s="95"/>
      <c r="J58" s="58"/>
      <c r="K58" s="58"/>
      <c r="L58" s="59"/>
      <c r="M58" s="59"/>
      <c r="N58" s="60"/>
      <c r="O58" s="60"/>
      <c r="P58" s="61"/>
      <c r="Q58" s="96"/>
      <c r="R58" s="61"/>
      <c r="S58" s="58"/>
      <c r="T58" s="58"/>
      <c r="U58" s="58"/>
      <c r="V58" s="59"/>
      <c r="W58" s="59"/>
      <c r="X58" s="60"/>
      <c r="Y58" s="60"/>
      <c r="Z58" s="61"/>
      <c r="AA58" s="61"/>
      <c r="AB58" s="61"/>
    </row>
    <row r="59" spans="2:28" x14ac:dyDescent="0.25">
      <c r="B59" s="86"/>
      <c r="C59" s="65"/>
      <c r="D59" s="65"/>
      <c r="E59" s="65"/>
      <c r="F59" s="65"/>
      <c r="G59" s="65"/>
      <c r="H59" s="77"/>
      <c r="I59" s="97"/>
      <c r="J59" s="66"/>
      <c r="K59" s="66"/>
      <c r="L59" s="66"/>
      <c r="M59" s="66"/>
      <c r="N59" s="66"/>
      <c r="O59" s="66"/>
      <c r="P59" s="67"/>
      <c r="Q59" s="98"/>
      <c r="R59" s="68"/>
      <c r="S59" s="42" t="s">
        <v>134</v>
      </c>
      <c r="T59" s="42"/>
      <c r="U59" s="42"/>
      <c r="V59" s="42" t="s">
        <v>32</v>
      </c>
      <c r="W59" s="42"/>
      <c r="X59" s="42" t="s">
        <v>23</v>
      </c>
      <c r="Y59" s="42"/>
      <c r="Z59" s="21" t="s">
        <v>24</v>
      </c>
      <c r="AA59" s="21" t="s">
        <v>36</v>
      </c>
      <c r="AB59" s="31" t="s">
        <v>34</v>
      </c>
    </row>
    <row r="60" spans="2:28" x14ac:dyDescent="0.25">
      <c r="B60" s="86"/>
      <c r="C60" s="65"/>
      <c r="D60" s="65"/>
      <c r="E60" s="65"/>
      <c r="F60" s="65"/>
      <c r="G60" s="65"/>
      <c r="H60" s="77"/>
      <c r="I60" s="93"/>
      <c r="J60" s="69"/>
      <c r="K60" s="69"/>
      <c r="L60" s="59"/>
      <c r="M60" s="59"/>
      <c r="N60" s="70"/>
      <c r="O60" s="70"/>
      <c r="P60" s="71"/>
      <c r="Q60" s="94"/>
      <c r="R60" s="71"/>
      <c r="S60" s="34" t="s">
        <v>25</v>
      </c>
      <c r="T60" s="34"/>
      <c r="U60" s="34"/>
      <c r="V60" s="35"/>
      <c r="W60" s="35"/>
      <c r="X60" s="36"/>
      <c r="Y60" s="36"/>
      <c r="Z60" s="32"/>
      <c r="AA60" s="32"/>
      <c r="AB60" s="32"/>
    </row>
    <row r="61" spans="2:28" x14ac:dyDescent="0.25">
      <c r="B61" s="86"/>
      <c r="C61" s="65"/>
      <c r="D61" s="65"/>
      <c r="E61" s="65"/>
      <c r="F61" s="65"/>
      <c r="G61" s="65"/>
      <c r="H61" s="77"/>
      <c r="I61" s="93"/>
      <c r="J61" s="69"/>
      <c r="K61" s="69"/>
      <c r="L61" s="59"/>
      <c r="M61" s="59"/>
      <c r="N61" s="70"/>
      <c r="O61" s="70"/>
      <c r="P61" s="71"/>
      <c r="Q61" s="94"/>
      <c r="R61" s="71"/>
      <c r="S61" s="37" t="s">
        <v>26</v>
      </c>
      <c r="T61" s="37"/>
      <c r="U61" s="37"/>
      <c r="V61" s="35"/>
      <c r="W61" s="35"/>
      <c r="X61" s="36"/>
      <c r="Y61" s="36"/>
      <c r="Z61" s="32"/>
      <c r="AA61" s="32"/>
      <c r="AB61" s="32"/>
    </row>
    <row r="62" spans="2:28" x14ac:dyDescent="0.25">
      <c r="B62" s="86"/>
      <c r="C62" s="65"/>
      <c r="D62" s="65"/>
      <c r="E62" s="65"/>
      <c r="F62" s="65"/>
      <c r="G62" s="65"/>
      <c r="H62" s="77"/>
      <c r="I62" s="93"/>
      <c r="J62" s="69"/>
      <c r="K62" s="69"/>
      <c r="L62" s="59"/>
      <c r="M62" s="59"/>
      <c r="N62" s="70"/>
      <c r="O62" s="70"/>
      <c r="P62" s="71"/>
      <c r="Q62" s="94"/>
      <c r="R62" s="71"/>
      <c r="S62" s="48" t="s">
        <v>27</v>
      </c>
      <c r="T62" s="48"/>
      <c r="U62" s="48"/>
      <c r="V62" s="35"/>
      <c r="W62" s="35"/>
      <c r="X62" s="36"/>
      <c r="Y62" s="36"/>
      <c r="Z62" s="32"/>
      <c r="AA62" s="32"/>
      <c r="AB62" s="32"/>
    </row>
    <row r="63" spans="2:28" x14ac:dyDescent="0.25">
      <c r="B63" s="86"/>
      <c r="C63" s="65"/>
      <c r="D63" s="65"/>
      <c r="E63" s="65"/>
      <c r="F63" s="65"/>
      <c r="G63" s="65"/>
      <c r="H63" s="77"/>
      <c r="I63" s="93"/>
      <c r="J63" s="69"/>
      <c r="K63" s="69"/>
      <c r="L63" s="59"/>
      <c r="M63" s="59"/>
      <c r="N63" s="70"/>
      <c r="O63" s="70"/>
      <c r="P63" s="71"/>
      <c r="Q63" s="94"/>
      <c r="R63" s="71"/>
      <c r="S63" s="49" t="s">
        <v>28</v>
      </c>
      <c r="T63" s="49"/>
      <c r="U63" s="49"/>
      <c r="V63" s="35"/>
      <c r="W63" s="35"/>
      <c r="X63" s="36"/>
      <c r="Y63" s="36"/>
      <c r="Z63" s="32"/>
      <c r="AA63" s="32"/>
      <c r="AB63" s="32"/>
    </row>
    <row r="64" spans="2:28" x14ac:dyDescent="0.25">
      <c r="B64" s="86"/>
      <c r="C64" s="65"/>
      <c r="D64" s="65"/>
      <c r="E64" s="65"/>
      <c r="F64" s="65"/>
      <c r="G64" s="65"/>
      <c r="H64" s="78"/>
      <c r="I64" s="99"/>
      <c r="J64" s="73"/>
      <c r="K64" s="73"/>
      <c r="L64" s="73"/>
      <c r="M64" s="73"/>
      <c r="N64" s="73"/>
      <c r="O64" s="73"/>
      <c r="P64" s="73"/>
      <c r="Q64" s="100"/>
      <c r="R64" s="73"/>
      <c r="S64" s="7"/>
    </row>
    <row r="65" spans="2:29" x14ac:dyDescent="0.25">
      <c r="B65" s="86"/>
      <c r="C65" s="65"/>
      <c r="D65" s="65"/>
      <c r="E65" s="65"/>
      <c r="F65" s="65"/>
      <c r="G65" s="65"/>
      <c r="H65" s="77"/>
      <c r="I65" s="99"/>
      <c r="J65" s="72"/>
      <c r="K65" s="72"/>
      <c r="L65" s="73"/>
      <c r="M65" s="73"/>
      <c r="N65" s="73"/>
      <c r="O65" s="73"/>
      <c r="P65" s="73"/>
      <c r="Q65" s="100"/>
      <c r="R65" s="73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</row>
    <row r="66" spans="2:29" x14ac:dyDescent="0.25">
      <c r="B66" s="86"/>
      <c r="C66" s="65"/>
      <c r="D66" s="65"/>
      <c r="E66" s="65"/>
      <c r="F66" s="65"/>
      <c r="G66" s="65"/>
      <c r="H66" s="77"/>
      <c r="I66" s="101"/>
      <c r="J66" s="74"/>
      <c r="K66" s="74"/>
      <c r="L66" s="74"/>
      <c r="M66" s="74"/>
      <c r="N66" s="74"/>
      <c r="O66" s="74"/>
      <c r="P66" s="74"/>
      <c r="Q66" s="102"/>
      <c r="R66" s="74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</row>
    <row r="67" spans="2:29" x14ac:dyDescent="0.25">
      <c r="B67" s="86"/>
      <c r="C67" s="65"/>
      <c r="D67" s="65"/>
      <c r="E67" s="65"/>
      <c r="F67" s="65"/>
      <c r="G67" s="65"/>
      <c r="H67" s="77"/>
      <c r="I67" s="101"/>
      <c r="J67" s="74"/>
      <c r="K67" s="74"/>
      <c r="L67" s="74"/>
      <c r="M67" s="74"/>
      <c r="N67" s="74"/>
      <c r="O67" s="74"/>
      <c r="P67" s="74"/>
      <c r="Q67" s="102"/>
      <c r="R67" s="74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</row>
    <row r="68" spans="2:29" x14ac:dyDescent="0.25">
      <c r="B68" s="86"/>
      <c r="C68" s="65"/>
      <c r="D68" s="65"/>
      <c r="E68" s="65"/>
      <c r="F68" s="65"/>
      <c r="G68" s="65"/>
      <c r="H68" s="77"/>
      <c r="I68" s="101"/>
      <c r="J68" s="74"/>
      <c r="K68" s="74"/>
      <c r="L68" s="74"/>
      <c r="M68" s="74"/>
      <c r="N68" s="74"/>
      <c r="O68" s="74"/>
      <c r="P68" s="74"/>
      <c r="Q68" s="102"/>
      <c r="R68" s="74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</row>
    <row r="69" spans="2:29" x14ac:dyDescent="0.25">
      <c r="B69" s="86"/>
      <c r="C69" s="65"/>
      <c r="D69" s="65"/>
      <c r="E69" s="65"/>
      <c r="F69" s="65"/>
      <c r="G69" s="65"/>
      <c r="H69" s="77"/>
      <c r="I69" s="101"/>
      <c r="J69" s="74"/>
      <c r="K69" s="74"/>
      <c r="L69" s="74"/>
      <c r="M69" s="74"/>
      <c r="N69" s="74"/>
      <c r="O69" s="74"/>
      <c r="P69" s="74"/>
      <c r="Q69" s="102"/>
      <c r="R69" s="74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</row>
    <row r="70" spans="2:29" x14ac:dyDescent="0.25">
      <c r="B70" s="86"/>
      <c r="C70" s="65"/>
      <c r="D70" s="65"/>
      <c r="E70" s="65"/>
      <c r="F70" s="65"/>
      <c r="G70" s="65"/>
      <c r="H70" s="77"/>
      <c r="I70" s="101"/>
      <c r="J70" s="74"/>
      <c r="K70" s="74"/>
      <c r="L70" s="74"/>
      <c r="M70" s="74"/>
      <c r="N70" s="74"/>
      <c r="O70" s="74"/>
      <c r="P70" s="74"/>
      <c r="Q70" s="102"/>
      <c r="R70" s="74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2:29" x14ac:dyDescent="0.25">
      <c r="B71" s="87"/>
      <c r="C71" s="75"/>
      <c r="D71" s="75"/>
      <c r="E71" s="75"/>
      <c r="F71" s="75"/>
      <c r="G71" s="75"/>
      <c r="H71" s="79"/>
      <c r="I71" s="103"/>
      <c r="J71" s="104"/>
      <c r="K71" s="104"/>
      <c r="L71" s="104"/>
      <c r="M71" s="104"/>
      <c r="N71" s="104"/>
      <c r="O71" s="104"/>
      <c r="P71" s="104"/>
      <c r="Q71" s="105"/>
      <c r="R71" s="74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spans="2:29" x14ac:dyDescent="0.25">
      <c r="B72" s="55" t="s">
        <v>132</v>
      </c>
      <c r="C72" s="80"/>
      <c r="D72" s="80"/>
      <c r="E72" s="80"/>
      <c r="F72" s="80"/>
      <c r="G72" s="80"/>
      <c r="H72" s="56"/>
      <c r="I72" s="82" t="s">
        <v>131</v>
      </c>
      <c r="J72" s="81"/>
      <c r="K72" s="81"/>
      <c r="L72" s="81"/>
      <c r="M72" s="81"/>
      <c r="N72" s="81"/>
      <c r="O72" s="81"/>
      <c r="P72" s="81"/>
      <c r="Q72" s="83"/>
      <c r="R72" s="74"/>
      <c r="S72" s="75"/>
      <c r="T72" s="75"/>
      <c r="U72" s="75"/>
      <c r="V72" s="75"/>
      <c r="W72" s="75"/>
      <c r="X72" s="65"/>
      <c r="Y72" s="65"/>
      <c r="Z72" s="75"/>
      <c r="AA72" s="75"/>
      <c r="AB72" s="75"/>
      <c r="AC72" s="65"/>
    </row>
    <row r="73" spans="2:29" x14ac:dyDescent="0.25"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109" t="s">
        <v>25</v>
      </c>
      <c r="T73" s="109"/>
      <c r="U73" s="109"/>
      <c r="V73" s="109"/>
      <c r="W73" s="109"/>
      <c r="X73" s="106"/>
      <c r="Y73" s="106"/>
      <c r="Z73" s="111" t="s">
        <v>26</v>
      </c>
      <c r="AA73" s="110"/>
      <c r="AB73" s="110"/>
      <c r="AC73" s="65"/>
    </row>
    <row r="74" spans="2:29" x14ac:dyDescent="0.25">
      <c r="B74" s="50" t="s">
        <v>0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64"/>
      <c r="S74" s="64"/>
      <c r="T74" s="64"/>
      <c r="U74" s="64"/>
      <c r="V74" s="65"/>
      <c r="W74" s="65"/>
      <c r="X74" s="65"/>
      <c r="Y74" s="65"/>
      <c r="Z74" s="65"/>
      <c r="AA74" s="65"/>
      <c r="AB74" s="65"/>
      <c r="AC74" s="65"/>
    </row>
    <row r="75" spans="2:29" x14ac:dyDescent="0.25">
      <c r="B75" s="107" t="s">
        <v>1</v>
      </c>
      <c r="C75" s="107" t="s">
        <v>2</v>
      </c>
      <c r="D75" s="107" t="s">
        <v>3</v>
      </c>
      <c r="E75" s="107" t="s">
        <v>4</v>
      </c>
      <c r="F75" s="107" t="s">
        <v>5</v>
      </c>
      <c r="G75" s="107" t="s">
        <v>6</v>
      </c>
      <c r="H75" s="107" t="s">
        <v>7</v>
      </c>
      <c r="I75" s="107" t="s">
        <v>8</v>
      </c>
      <c r="J75" s="107" t="s">
        <v>9</v>
      </c>
      <c r="K75" s="107" t="s">
        <v>10</v>
      </c>
      <c r="L75" s="107" t="s">
        <v>11</v>
      </c>
      <c r="M75" s="107" t="s">
        <v>12</v>
      </c>
      <c r="N75" s="107" t="s">
        <v>13</v>
      </c>
      <c r="O75" s="107" t="s">
        <v>14</v>
      </c>
      <c r="P75" s="107" t="s">
        <v>15</v>
      </c>
      <c r="Q75" s="107" t="s">
        <v>16</v>
      </c>
      <c r="R75" s="57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65"/>
    </row>
    <row r="76" spans="2:29" x14ac:dyDescent="0.25">
      <c r="B76" s="33">
        <v>2022</v>
      </c>
      <c r="C76" s="33" t="e">
        <f>VLOOKUP($B50,'P-Info'!B:J,5,FALSE)</f>
        <v>#N/A</v>
      </c>
      <c r="D76" s="1" t="e" cm="1">
        <f t="array" ref="D76">_xlfn.IFS(VLOOKUP($B50,'P-Info'!$B:$J,9,FALSE)="NAIA", VLOOKUP($B50,Table1[#All],4,FALSE),VLOOKUP($B50,'P-Info'!$B:$J,9,FALSE)="BR",VLOOKUP($B50,Table1[#All],14,FALSE))</f>
        <v>#N/A</v>
      </c>
      <c r="E76" s="1" t="e" cm="1">
        <f t="array" ref="E76">_xlfn.IFS(VLOOKUP($B50,'P-Info'!$B:$J,9,FALSE)="NAIA", VLOOKUP($B50,Table1[#All],5,FALSE),VLOOKUP($B50,'P-Info'!$B:$J,9,FALSE)="BR",VLOOKUP($B50,Table1[#All],15,FALSE))</f>
        <v>#N/A</v>
      </c>
      <c r="F76" s="1" t="e" cm="1">
        <f t="array" ref="F76">_xlfn.IFS(VLOOKUP($B50,'P-Info'!$B:$J,9,FALSE)="NAIA", VLOOKUP($B50,Table1[#All],6,FALSE),VLOOKUP($B50,'P-Info'!$B:$J,9,FALSE)="BR",VLOOKUP($B50,Table1[#All],9,FALSE))</f>
        <v>#N/A</v>
      </c>
      <c r="G76" s="1" t="e" cm="1">
        <f t="array" ref="G76">_xlfn.IFS(VLOOKUP($B50,'P-Info'!$B:$J,9,FALSE)="NAIA", VLOOKUP($B50,Table1[#All],7,FALSE),VLOOKUP($B50,'P-Info'!$B:$J,9,FALSE)="BR",VLOOKUP($B50,Table1[#All],10,FALSE))</f>
        <v>#N/A</v>
      </c>
      <c r="H76" s="1" t="e" cm="1">
        <f t="array" ref="H76">_xlfn.IFS(VLOOKUP($B50,'P-Info'!$B:$J,9,FALSE)="NAIA", VLOOKUP($B50,Table1[#All],8,FALSE),VLOOKUP($B50,'P-Info'!$B:$J,9,FALSE)="BR",VLOOKUP($B50,Table1[#All],19,FALSE))</f>
        <v>#N/A</v>
      </c>
      <c r="I76" s="1" t="e" cm="1">
        <f t="array" ref="I76">_xlfn.IFS(VLOOKUP($B50,'P-Info'!$B:$J,9,FALSE)="NAIA", VLOOKUP($B50,Table1[#All],10,FALSE),VLOOKUP($B50,'P-Info'!$B:$J,9,FALSE)="BR",VLOOKUP($B50,Table1[#All],20,FALSE))</f>
        <v>#N/A</v>
      </c>
      <c r="J76" s="1" t="e" cm="1">
        <f t="array" ref="J76">_xlfn.IFS(VLOOKUP($B50,'P-Info'!$B:$J,9,FALSE)="NAIA", VLOOKUP($B50,Table1[#All],11,FALSE),VLOOKUP($B50,'P-Info'!$B:$J,9,FALSE)="BR",VLOOKUP($B50,Table1[#All],21,FALSE))</f>
        <v>#N/A</v>
      </c>
      <c r="K76" s="1" t="e" cm="1">
        <f t="array" ref="K76">_xlfn.IFS(VLOOKUP($B50,'P-Info'!$B:$J,9,FALSE)="NAIA", VLOOKUP($B50,Table1[#All],12,FALSE),VLOOKUP($B50,'P-Info'!$B:$J,9,FALSE)="BR",VLOOKUP($B50,Table1[#All],22,FALSE))</f>
        <v>#N/A</v>
      </c>
      <c r="L76" s="1" t="e" cm="1">
        <f t="array" ref="L76">_xlfn.IFS(VLOOKUP($B50,'P-Info'!$B:$J,9,FALSE)="NAIA", VLOOKUP($B50,Table1[#All],13,FALSE),VLOOKUP($B50,'P-Info'!$B:$J,9,FALSE)="BR",VLOOKUP($B50,Table1[#All],23,FALSE))</f>
        <v>#N/A</v>
      </c>
      <c r="M76" s="1" t="e" cm="1">
        <f t="array" ref="M76">_xlfn.IFS(VLOOKUP($B50,'P-Info'!$B:$J,9,FALSE)="NAIA", VLOOKUP($B50,Table1[#All],17,FALSE),VLOOKUP($B50,'P-Info'!$B:$J,9,FALSE)="BR",VLOOKUP($B50,Table1[#All],24,FALSE))</f>
        <v>#N/A</v>
      </c>
      <c r="N76" s="1" t="e" cm="1">
        <f t="array" ref="N76">_xlfn.IFS(VLOOKUP($B50,'P-Info'!$B:$J,9,FALSE)="NAIA", VLOOKUP($B50,Table1[#All],14,FALSE),VLOOKUP($B50,'P-Info'!$B:$J,9,FALSE)="BR",VLOOKUP($B50,Table1[#All],25,FALSE))</f>
        <v>#N/A</v>
      </c>
      <c r="O76" s="1" t="e" cm="1">
        <f t="array" ref="O76">_xlfn.IFS(VLOOKUP($B50,'P-Info'!$B:$J,9,FALSE)="NAIA", VLOOKUP($B50,Table1[#All],15,FALSE),VLOOKUP($B50,'P-Info'!$B:$J,9,FALSE)="BR",VLOOKUP($B50,Table1[#All],27,FALSE))</f>
        <v>#N/A</v>
      </c>
      <c r="P76" s="8" t="e" cm="1">
        <f t="array" ref="P76">_xlfn.IFS(VLOOKUP($B50,'P-Info'!$B:$J,9,FALSE)="NAIA", VLOOKUP($B50,Table1[#All],18,FALSE),VLOOKUP($B50,'P-Info'!$B:$J,9,FALSE)="BR",VLOOKUP($B50,Table1[#All],12,FALSE))</f>
        <v>#N/A</v>
      </c>
      <c r="Q76" s="8" t="e" cm="1">
        <f t="array" ref="Q76">_xlfn.IFS(VLOOKUP($B50,'P-Info'!$B:$J,9,FALSE)="NAIA", (J76+N76)/I76,VLOOKUP($B50,'P-Info'!$B:$J,9,FALSE)="BR",VLOOKUP($B50,Table1[#All],32,FALSE))</f>
        <v>#N/A</v>
      </c>
      <c r="R76" s="62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65"/>
    </row>
    <row r="77" spans="2:29" x14ac:dyDescent="0.25">
      <c r="R77" s="65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</row>
    <row r="78" spans="2:29" x14ac:dyDescent="0.25">
      <c r="B78" s="50" t="s">
        <v>130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64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</row>
    <row r="79" spans="2:29" x14ac:dyDescent="0.25">
      <c r="B79" s="107" t="s">
        <v>1</v>
      </c>
      <c r="C79" s="107" t="s">
        <v>2</v>
      </c>
      <c r="D79" s="107" t="s">
        <v>3</v>
      </c>
      <c r="E79" s="107" t="s">
        <v>4</v>
      </c>
      <c r="F79" s="107" t="s">
        <v>5</v>
      </c>
      <c r="G79" s="107" t="s">
        <v>6</v>
      </c>
      <c r="H79" s="107" t="s">
        <v>7</v>
      </c>
      <c r="I79" s="107" t="s">
        <v>8</v>
      </c>
      <c r="J79" s="107" t="s">
        <v>9</v>
      </c>
      <c r="K79" s="107" t="s">
        <v>10</v>
      </c>
      <c r="L79" s="107" t="s">
        <v>11</v>
      </c>
      <c r="M79" s="107" t="s">
        <v>12</v>
      </c>
      <c r="N79" s="107" t="s">
        <v>13</v>
      </c>
      <c r="O79" s="107" t="s">
        <v>14</v>
      </c>
      <c r="P79" s="107" t="s">
        <v>15</v>
      </c>
      <c r="Q79" s="107" t="s">
        <v>16</v>
      </c>
      <c r="R79" s="57"/>
      <c r="S79" s="108"/>
      <c r="T79" s="108"/>
      <c r="U79" s="108"/>
      <c r="V79" s="108"/>
      <c r="W79" s="108"/>
      <c r="X79" s="106"/>
      <c r="Y79" s="106"/>
      <c r="Z79" s="108"/>
      <c r="AA79" s="108"/>
      <c r="AB79" s="108"/>
    </row>
    <row r="80" spans="2:29" x14ac:dyDescent="0.25">
      <c r="B80" s="33">
        <v>2022</v>
      </c>
      <c r="C80" s="33" t="e">
        <f>VLOOKUP($B50 &amp; "NWL" &amp; "NWL",'P-Info'!B:J,5,FALSE)</f>
        <v>#N/A</v>
      </c>
      <c r="D80" s="1" t="e" cm="1">
        <f t="array" ref="D80">_xlfn.IFS(VLOOKUP($B50 &amp; "NWL",'P-Info'!$B:$J,9,FALSE)="NAIA", VLOOKUP($B50 &amp; "NWL",Table1[#All],4,FALSE),VLOOKUP($B50 &amp; "NWL",'P-Info'!$B:$J,9,FALSE)="BR",VLOOKUP($B50 &amp; "NWL",Table1[#All],14,FALSE))</f>
        <v>#N/A</v>
      </c>
      <c r="E80" s="1" t="e" cm="1">
        <f t="array" ref="E80">_xlfn.IFS(VLOOKUP($B50 &amp; "NWL",'P-Info'!$B:$J,9,FALSE)="NAIA", VLOOKUP($B50 &amp; "NWL",Table1[#All],5,FALSE),VLOOKUP($B50 &amp; "NWL",'P-Info'!$B:$J,9,FALSE)="BR",VLOOKUP($B50 &amp; "NWL",Table1[#All],15,FALSE))</f>
        <v>#N/A</v>
      </c>
      <c r="F80" s="1" t="e" cm="1">
        <f t="array" ref="F80">_xlfn.IFS(VLOOKUP($B50 &amp; "NWL",'P-Info'!$B:$J,9,FALSE)="NAIA", VLOOKUP($B50 &amp; "NWL",Table1[#All],6,FALSE),VLOOKUP($B50 &amp; "NWL",'P-Info'!$B:$J,9,FALSE)="BR",VLOOKUP($B50 &amp; "NWL",Table1[#All],9,FALSE))</f>
        <v>#N/A</v>
      </c>
      <c r="G80" s="1" t="e" cm="1">
        <f t="array" ref="G80">_xlfn.IFS(VLOOKUP($B50 &amp; "NWL",'P-Info'!$B:$J,9,FALSE)="NAIA", VLOOKUP($B50 &amp; "NWL",Table1[#All],7,FALSE),VLOOKUP($B50 &amp; "NWL",'P-Info'!$B:$J,9,FALSE)="BR",VLOOKUP($B50 &amp; "NWL",Table1[#All],10,FALSE))</f>
        <v>#N/A</v>
      </c>
      <c r="H80" s="1" t="e" cm="1">
        <f t="array" ref="H80">_xlfn.IFS(VLOOKUP($B50 &amp; "NWL",'P-Info'!$B:$J,9,FALSE)="NAIA", VLOOKUP($B50 &amp; "NWL",Table1[#All],8,FALSE),VLOOKUP($B50 &amp; "NWL",'P-Info'!$B:$J,9,FALSE)="BR",VLOOKUP($B50 &amp; "NWL",Table1[#All],19,FALSE))</f>
        <v>#N/A</v>
      </c>
      <c r="I80" s="1" t="e" cm="1">
        <f t="array" ref="I80">_xlfn.IFS(VLOOKUP($B50 &amp; "NWL",'P-Info'!$B:$J,9,FALSE)="NAIA", VLOOKUP($B50 &amp; "NWL",Table1[#All],10,FALSE),VLOOKUP($B50 &amp; "NWL",'P-Info'!$B:$J,9,FALSE)="BR",VLOOKUP($B50 &amp; "NWL",Table1[#All],20,FALSE))</f>
        <v>#N/A</v>
      </c>
      <c r="J80" s="1" t="e" cm="1">
        <f t="array" ref="J80">_xlfn.IFS(VLOOKUP($B50 &amp; "NWL",'P-Info'!$B:$J,9,FALSE)="NAIA", VLOOKUP($B50 &amp; "NWL",Table1[#All],11,FALSE),VLOOKUP($B50 &amp; "NWL",'P-Info'!$B:$J,9,FALSE)="BR",VLOOKUP($B50 &amp; "NWL",Table1[#All],21,FALSE))</f>
        <v>#N/A</v>
      </c>
      <c r="K80" s="1" t="e" cm="1">
        <f t="array" ref="K80">_xlfn.IFS(VLOOKUP($B50 &amp; "NWL",'P-Info'!$B:$J,9,FALSE)="NAIA", VLOOKUP($B50 &amp; "NWL",Table1[#All],12,FALSE),VLOOKUP($B50 &amp; "NWL",'P-Info'!$B:$J,9,FALSE)="BR",VLOOKUP($B50 &amp; "NWL",Table1[#All],22,FALSE))</f>
        <v>#N/A</v>
      </c>
      <c r="L80" s="1" t="e" cm="1">
        <f t="array" ref="L80">_xlfn.IFS(VLOOKUP($B50 &amp; "NWL",'P-Info'!$B:$J,9,FALSE)="NAIA", VLOOKUP($B50 &amp; "NWL",Table1[#All],13,FALSE),VLOOKUP($B50 &amp; "NWL",'P-Info'!$B:$J,9,FALSE)="BR",VLOOKUP($B50 &amp; "NWL",Table1[#All],23,FALSE))</f>
        <v>#N/A</v>
      </c>
      <c r="M80" s="1" t="e" cm="1">
        <f t="array" ref="M80">_xlfn.IFS(VLOOKUP($B50 &amp; "NWL",'P-Info'!$B:$J,9,FALSE)="NAIA", VLOOKUP($B50 &amp; "NWL",Table1[#All],17,FALSE),VLOOKUP($B50 &amp; "NWL",'P-Info'!$B:$J,9,FALSE)="BR",VLOOKUP($B50 &amp; "NWL",Table1[#All],24,FALSE))</f>
        <v>#N/A</v>
      </c>
      <c r="N80" s="1" t="e" cm="1">
        <f t="array" ref="N80">_xlfn.IFS(VLOOKUP($B50 &amp; "NWL",'P-Info'!$B:$J,9,FALSE)="NAIA", VLOOKUP($B50 &amp; "NWL",Table1[#All],14,FALSE),VLOOKUP($B50 &amp; "NWL",'P-Info'!$B:$J,9,FALSE)="BR",VLOOKUP($B50 &amp; "NWL",Table1[#All],25,FALSE))</f>
        <v>#N/A</v>
      </c>
      <c r="O80" s="1" t="e" cm="1">
        <f t="array" ref="O80">_xlfn.IFS(VLOOKUP($B50 &amp; "NWL",'P-Info'!$B:$J,9,FALSE)="NAIA", VLOOKUP($B50 &amp; "NWL",Table1[#All],15,FALSE),VLOOKUP($B50 &amp; "NWL",'P-Info'!$B:$J,9,FALSE)="BR",VLOOKUP($B50 &amp; "NWL",Table1[#All],27,FALSE))</f>
        <v>#N/A</v>
      </c>
      <c r="P80" s="8" t="e" cm="1">
        <f t="array" ref="P80">_xlfn.IFS(VLOOKUP($B50 &amp; "NWL",'P-Info'!$B:$J,9,FALSE)="NAIA", VLOOKUP($B50 &amp; "NWL",Table1[#All],18,FALSE),VLOOKUP($B50 &amp; "NWL",'P-Info'!$B:$J,9,FALSE)="BR",VLOOKUP($B50 &amp; "NWL",Table1[#All],12,FALSE))</f>
        <v>#N/A</v>
      </c>
      <c r="Q80" s="8" t="e" cm="1">
        <f t="array" ref="Q80">_xlfn.IFS(VLOOKUP($B50 &amp; "NWL",'P-Info'!$B:$J,9,FALSE)="NAIA", (J80+N80)/I80,VLOOKUP($B50 &amp; "NWL",'P-Info'!$B:$J,9,FALSE)="BR",VLOOKUP($B50 &amp; "NWL",Table1[#All],32,FALSE))</f>
        <v>#N/A</v>
      </c>
      <c r="R80" s="62"/>
      <c r="S80" s="112" t="s">
        <v>27</v>
      </c>
      <c r="T80" s="112"/>
      <c r="U80" s="112"/>
      <c r="V80" s="112"/>
      <c r="W80" s="112"/>
      <c r="X80" s="106"/>
      <c r="Y80" s="106"/>
      <c r="Z80" s="114" t="s">
        <v>28</v>
      </c>
      <c r="AA80" s="114"/>
      <c r="AB80" s="114"/>
    </row>
    <row r="81" spans="2:28" x14ac:dyDescent="0.25">
      <c r="B81" s="57"/>
      <c r="C81" s="57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3"/>
      <c r="Q81" s="63"/>
      <c r="R81" s="62"/>
      <c r="S81" s="124"/>
      <c r="T81" s="124"/>
      <c r="U81" s="124"/>
      <c r="V81" s="124"/>
      <c r="W81" s="124"/>
      <c r="X81" s="106"/>
      <c r="Y81" s="106"/>
      <c r="Z81" s="113"/>
      <c r="AA81" s="113"/>
      <c r="AB81" s="113"/>
    </row>
    <row r="82" spans="2:28" x14ac:dyDescent="0.25">
      <c r="B82" s="57"/>
      <c r="C82" s="57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3"/>
      <c r="Q82" s="63"/>
      <c r="R82" s="62"/>
      <c r="S82" s="124"/>
      <c r="T82" s="124"/>
      <c r="U82" s="124"/>
      <c r="V82" s="124"/>
      <c r="W82" s="124"/>
      <c r="X82" s="106"/>
      <c r="Y82" s="106"/>
      <c r="Z82" s="113"/>
      <c r="AA82" s="113"/>
      <c r="AB82" s="113"/>
    </row>
    <row r="83" spans="2:28" x14ac:dyDescent="0.25">
      <c r="B83" s="57"/>
      <c r="C83" s="57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3"/>
      <c r="Q83" s="63"/>
      <c r="R83" s="62"/>
      <c r="S83" s="124"/>
      <c r="T83" s="124"/>
      <c r="U83" s="124"/>
      <c r="V83" s="124"/>
      <c r="W83" s="124"/>
      <c r="X83" s="106"/>
      <c r="Y83" s="106"/>
      <c r="Z83" s="113"/>
      <c r="AA83" s="113"/>
      <c r="AB83" s="113"/>
    </row>
    <row r="84" spans="2:28" x14ac:dyDescent="0.25">
      <c r="B84" s="57"/>
      <c r="C84" s="57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3"/>
      <c r="Q84" s="63"/>
      <c r="R84" s="62"/>
      <c r="S84" s="124"/>
      <c r="T84" s="124"/>
      <c r="U84" s="124"/>
      <c r="V84" s="124"/>
      <c r="W84" s="124"/>
      <c r="X84" s="106"/>
      <c r="Y84" s="106"/>
      <c r="Z84" s="113"/>
      <c r="AA84" s="113"/>
      <c r="AB84" s="113"/>
    </row>
    <row r="85" spans="2:28" x14ac:dyDescent="0.25">
      <c r="B85" s="55" t="s">
        <v>22</v>
      </c>
      <c r="C85" s="56"/>
      <c r="R85" s="65"/>
    </row>
    <row r="86" spans="2:28" x14ac:dyDescent="0.25">
      <c r="B86" s="115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7"/>
    </row>
    <row r="87" spans="2:28" x14ac:dyDescent="0.25">
      <c r="B87" s="118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20"/>
    </row>
    <row r="88" spans="2:28" x14ac:dyDescent="0.25">
      <c r="B88" s="118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20"/>
    </row>
    <row r="89" spans="2:28" x14ac:dyDescent="0.25">
      <c r="B89" s="118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20"/>
    </row>
    <row r="90" spans="2:28" x14ac:dyDescent="0.25">
      <c r="B90" s="121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3"/>
    </row>
    <row r="94" spans="2:28" ht="15" customHeight="1" x14ac:dyDescent="0.25">
      <c r="B94" s="38" t="s">
        <v>129</v>
      </c>
      <c r="C94" s="38"/>
      <c r="D94" s="38"/>
      <c r="E94" s="38"/>
      <c r="F94" s="38"/>
      <c r="G94" s="38"/>
      <c r="H94" s="38"/>
      <c r="I94" s="3"/>
      <c r="J94" s="3"/>
      <c r="K94" s="3"/>
      <c r="L94" s="3"/>
      <c r="M94" s="3"/>
      <c r="N94" s="3"/>
      <c r="O94" s="3"/>
      <c r="P94" s="3"/>
      <c r="Q94" s="3"/>
      <c r="R94" s="3"/>
      <c r="S94" s="65"/>
      <c r="T94" s="65"/>
      <c r="U94" s="65"/>
      <c r="V94" s="65"/>
      <c r="W94" s="65"/>
      <c r="X94" s="65"/>
      <c r="Y94" s="40" t="e">
        <f>VLOOKUP($B94,'P-Info'!L:T,8,FALSE)</f>
        <v>#N/A</v>
      </c>
      <c r="Z94" s="40"/>
      <c r="AA94" s="40" t="e">
        <f>"# " &amp; VLOOKUP($B94,CHOOSE({2,1},'P-Info'!K:K, 'P-Info'!L:L),2, FALSE)</f>
        <v>#N/A</v>
      </c>
      <c r="AB94" s="40"/>
    </row>
    <row r="95" spans="2:28" ht="15" customHeight="1" x14ac:dyDescent="0.25">
      <c r="B95" s="39"/>
      <c r="C95" s="39"/>
      <c r="D95" s="39"/>
      <c r="E95" s="39"/>
      <c r="F95" s="39"/>
      <c r="G95" s="39"/>
      <c r="H95" s="39"/>
      <c r="I95" s="4"/>
      <c r="J95" s="4"/>
      <c r="K95" s="4"/>
      <c r="L95" s="4"/>
      <c r="M95" s="4"/>
      <c r="N95" s="4"/>
      <c r="O95" s="4"/>
      <c r="P95" s="4"/>
      <c r="Q95" s="4"/>
      <c r="R95" s="4"/>
      <c r="S95" s="75"/>
      <c r="T95" s="75"/>
      <c r="U95" s="75"/>
      <c r="V95" s="75"/>
      <c r="W95" s="75"/>
      <c r="X95" s="75"/>
      <c r="Y95" s="41"/>
      <c r="Z95" s="41"/>
      <c r="AA95" s="41"/>
      <c r="AB95" s="41"/>
    </row>
    <row r="97" spans="2:29" x14ac:dyDescent="0.25">
      <c r="B97" s="84"/>
      <c r="C97" s="76"/>
      <c r="D97" s="76"/>
      <c r="E97" s="76"/>
      <c r="F97" s="76"/>
      <c r="G97" s="76"/>
      <c r="H97" s="85"/>
      <c r="I97" s="88"/>
      <c r="J97" s="89"/>
      <c r="K97" s="89"/>
      <c r="L97" s="90"/>
      <c r="M97" s="90"/>
      <c r="N97" s="90"/>
      <c r="O97" s="90"/>
      <c r="P97" s="91"/>
      <c r="Q97" s="92"/>
      <c r="R97" s="68"/>
      <c r="S97" s="42" t="s">
        <v>133</v>
      </c>
      <c r="T97" s="42"/>
      <c r="U97" s="42"/>
      <c r="V97" s="42" t="s">
        <v>32</v>
      </c>
      <c r="W97" s="42"/>
      <c r="X97" s="42" t="s">
        <v>23</v>
      </c>
      <c r="Y97" s="42"/>
      <c r="Z97" s="21" t="s">
        <v>24</v>
      </c>
      <c r="AA97" s="21" t="s">
        <v>36</v>
      </c>
      <c r="AB97" s="31" t="s">
        <v>34</v>
      </c>
    </row>
    <row r="98" spans="2:29" x14ac:dyDescent="0.25">
      <c r="B98" s="86"/>
      <c r="C98" s="65"/>
      <c r="D98" s="65"/>
      <c r="E98" s="65"/>
      <c r="F98" s="65"/>
      <c r="G98" s="65"/>
      <c r="H98" s="77"/>
      <c r="I98" s="93"/>
      <c r="J98" s="69"/>
      <c r="K98" s="69"/>
      <c r="L98" s="59"/>
      <c r="M98" s="59"/>
      <c r="N98" s="70"/>
      <c r="O98" s="70"/>
      <c r="P98" s="71"/>
      <c r="Q98" s="94"/>
      <c r="R98" s="71"/>
      <c r="S98" s="34" t="s">
        <v>25</v>
      </c>
      <c r="T98" s="34"/>
      <c r="U98" s="34"/>
      <c r="V98" s="35"/>
      <c r="W98" s="35"/>
      <c r="X98" s="36"/>
      <c r="Y98" s="36"/>
      <c r="Z98" s="32"/>
      <c r="AA98" s="32"/>
      <c r="AB98" s="32"/>
    </row>
    <row r="99" spans="2:29" x14ac:dyDescent="0.25">
      <c r="B99" s="86"/>
      <c r="C99" s="65"/>
      <c r="D99" s="65"/>
      <c r="E99" s="65"/>
      <c r="F99" s="65"/>
      <c r="G99" s="65"/>
      <c r="H99" s="77"/>
      <c r="I99" s="93"/>
      <c r="J99" s="69"/>
      <c r="K99" s="69"/>
      <c r="L99" s="59"/>
      <c r="M99" s="59"/>
      <c r="N99" s="70"/>
      <c r="O99" s="70"/>
      <c r="P99" s="71"/>
      <c r="Q99" s="94"/>
      <c r="R99" s="71"/>
      <c r="S99" s="37" t="s">
        <v>26</v>
      </c>
      <c r="T99" s="37"/>
      <c r="U99" s="37"/>
      <c r="V99" s="35"/>
      <c r="W99" s="35"/>
      <c r="X99" s="36"/>
      <c r="Y99" s="36"/>
      <c r="Z99" s="32"/>
      <c r="AA99" s="32"/>
      <c r="AB99" s="32"/>
    </row>
    <row r="100" spans="2:29" x14ac:dyDescent="0.25">
      <c r="B100" s="86"/>
      <c r="C100" s="65"/>
      <c r="D100" s="65"/>
      <c r="E100" s="65"/>
      <c r="F100" s="65"/>
      <c r="G100" s="65"/>
      <c r="H100" s="77"/>
      <c r="I100" s="93"/>
      <c r="J100" s="69"/>
      <c r="K100" s="69"/>
      <c r="L100" s="59"/>
      <c r="M100" s="59"/>
      <c r="N100" s="70"/>
      <c r="O100" s="70"/>
      <c r="P100" s="71"/>
      <c r="Q100" s="94"/>
      <c r="R100" s="71"/>
      <c r="S100" s="48" t="s">
        <v>27</v>
      </c>
      <c r="T100" s="48"/>
      <c r="U100" s="48"/>
      <c r="V100" s="35"/>
      <c r="W100" s="35"/>
      <c r="X100" s="36"/>
      <c r="Y100" s="36"/>
      <c r="Z100" s="32"/>
      <c r="AA100" s="32"/>
      <c r="AB100" s="32"/>
    </row>
    <row r="101" spans="2:29" x14ac:dyDescent="0.25">
      <c r="B101" s="86"/>
      <c r="C101" s="65"/>
      <c r="D101" s="65"/>
      <c r="E101" s="65"/>
      <c r="F101" s="65"/>
      <c r="G101" s="65"/>
      <c r="H101" s="77"/>
      <c r="I101" s="93"/>
      <c r="J101" s="69"/>
      <c r="K101" s="69"/>
      <c r="L101" s="59"/>
      <c r="M101" s="59"/>
      <c r="N101" s="70"/>
      <c r="O101" s="70"/>
      <c r="P101" s="71"/>
      <c r="Q101" s="94"/>
      <c r="R101" s="71"/>
      <c r="S101" s="49" t="s">
        <v>28</v>
      </c>
      <c r="T101" s="49"/>
      <c r="U101" s="49"/>
      <c r="V101" s="35"/>
      <c r="W101" s="35"/>
      <c r="X101" s="36"/>
      <c r="Y101" s="36"/>
      <c r="Z101" s="32"/>
      <c r="AA101" s="32"/>
      <c r="AB101" s="32"/>
    </row>
    <row r="102" spans="2:29" x14ac:dyDescent="0.25">
      <c r="B102" s="86"/>
      <c r="C102" s="65"/>
      <c r="D102" s="65"/>
      <c r="E102" s="65"/>
      <c r="F102" s="65"/>
      <c r="G102" s="65"/>
      <c r="H102" s="77"/>
      <c r="I102" s="95"/>
      <c r="J102" s="58"/>
      <c r="K102" s="58"/>
      <c r="L102" s="59"/>
      <c r="M102" s="59"/>
      <c r="N102" s="60"/>
      <c r="O102" s="60"/>
      <c r="P102" s="61"/>
      <c r="Q102" s="96"/>
      <c r="R102" s="61"/>
      <c r="S102" s="58"/>
      <c r="T102" s="58"/>
      <c r="U102" s="58"/>
      <c r="V102" s="59"/>
      <c r="W102" s="59"/>
      <c r="X102" s="60"/>
      <c r="Y102" s="60"/>
      <c r="Z102" s="61"/>
      <c r="AA102" s="61"/>
      <c r="AB102" s="61"/>
    </row>
    <row r="103" spans="2:29" x14ac:dyDescent="0.25">
      <c r="B103" s="86"/>
      <c r="C103" s="65"/>
      <c r="D103" s="65"/>
      <c r="E103" s="65"/>
      <c r="F103" s="65"/>
      <c r="G103" s="65"/>
      <c r="H103" s="77"/>
      <c r="I103" s="97"/>
      <c r="J103" s="66"/>
      <c r="K103" s="66"/>
      <c r="L103" s="66"/>
      <c r="M103" s="66"/>
      <c r="N103" s="66"/>
      <c r="O103" s="66"/>
      <c r="P103" s="67"/>
      <c r="Q103" s="98"/>
      <c r="R103" s="68"/>
      <c r="S103" s="42" t="s">
        <v>134</v>
      </c>
      <c r="T103" s="42"/>
      <c r="U103" s="42"/>
      <c r="V103" s="42" t="s">
        <v>32</v>
      </c>
      <c r="W103" s="42"/>
      <c r="X103" s="42" t="s">
        <v>23</v>
      </c>
      <c r="Y103" s="42"/>
      <c r="Z103" s="21" t="s">
        <v>24</v>
      </c>
      <c r="AA103" s="21" t="s">
        <v>36</v>
      </c>
      <c r="AB103" s="31" t="s">
        <v>34</v>
      </c>
    </row>
    <row r="104" spans="2:29" x14ac:dyDescent="0.25">
      <c r="B104" s="86"/>
      <c r="C104" s="65"/>
      <c r="D104" s="65"/>
      <c r="E104" s="65"/>
      <c r="F104" s="65"/>
      <c r="G104" s="65"/>
      <c r="H104" s="77"/>
      <c r="I104" s="93"/>
      <c r="J104" s="69"/>
      <c r="K104" s="69"/>
      <c r="L104" s="59"/>
      <c r="M104" s="59"/>
      <c r="N104" s="70"/>
      <c r="O104" s="70"/>
      <c r="P104" s="71"/>
      <c r="Q104" s="94"/>
      <c r="R104" s="71"/>
      <c r="S104" s="34" t="s">
        <v>25</v>
      </c>
      <c r="T104" s="34"/>
      <c r="U104" s="34"/>
      <c r="V104" s="35"/>
      <c r="W104" s="35"/>
      <c r="X104" s="36"/>
      <c r="Y104" s="36"/>
      <c r="Z104" s="32"/>
      <c r="AA104" s="32"/>
      <c r="AB104" s="32"/>
    </row>
    <row r="105" spans="2:29" x14ac:dyDescent="0.25">
      <c r="B105" s="86"/>
      <c r="C105" s="65"/>
      <c r="D105" s="65"/>
      <c r="E105" s="65"/>
      <c r="F105" s="65"/>
      <c r="G105" s="65"/>
      <c r="H105" s="77"/>
      <c r="I105" s="93"/>
      <c r="J105" s="69"/>
      <c r="K105" s="69"/>
      <c r="L105" s="59"/>
      <c r="M105" s="59"/>
      <c r="N105" s="70"/>
      <c r="O105" s="70"/>
      <c r="P105" s="71"/>
      <c r="Q105" s="94"/>
      <c r="R105" s="71"/>
      <c r="S105" s="37" t="s">
        <v>26</v>
      </c>
      <c r="T105" s="37"/>
      <c r="U105" s="37"/>
      <c r="V105" s="35"/>
      <c r="W105" s="35"/>
      <c r="X105" s="36"/>
      <c r="Y105" s="36"/>
      <c r="Z105" s="32"/>
      <c r="AA105" s="32"/>
      <c r="AB105" s="32"/>
    </row>
    <row r="106" spans="2:29" x14ac:dyDescent="0.25">
      <c r="B106" s="86"/>
      <c r="C106" s="65"/>
      <c r="D106" s="65"/>
      <c r="E106" s="65"/>
      <c r="F106" s="65"/>
      <c r="G106" s="65"/>
      <c r="H106" s="77"/>
      <c r="I106" s="93"/>
      <c r="J106" s="69"/>
      <c r="K106" s="69"/>
      <c r="L106" s="59"/>
      <c r="M106" s="59"/>
      <c r="N106" s="70"/>
      <c r="O106" s="70"/>
      <c r="P106" s="71"/>
      <c r="Q106" s="94"/>
      <c r="R106" s="71"/>
      <c r="S106" s="48" t="s">
        <v>27</v>
      </c>
      <c r="T106" s="48"/>
      <c r="U106" s="48"/>
      <c r="V106" s="35"/>
      <c r="W106" s="35"/>
      <c r="X106" s="36"/>
      <c r="Y106" s="36"/>
      <c r="Z106" s="32"/>
      <c r="AA106" s="32"/>
      <c r="AB106" s="32"/>
    </row>
    <row r="107" spans="2:29" x14ac:dyDescent="0.25">
      <c r="B107" s="86"/>
      <c r="C107" s="65"/>
      <c r="D107" s="65"/>
      <c r="E107" s="65"/>
      <c r="F107" s="65"/>
      <c r="G107" s="65"/>
      <c r="H107" s="77"/>
      <c r="I107" s="93"/>
      <c r="J107" s="69"/>
      <c r="K107" s="69"/>
      <c r="L107" s="59"/>
      <c r="M107" s="59"/>
      <c r="N107" s="70"/>
      <c r="O107" s="70"/>
      <c r="P107" s="71"/>
      <c r="Q107" s="94"/>
      <c r="R107" s="71"/>
      <c r="S107" s="49" t="s">
        <v>28</v>
      </c>
      <c r="T107" s="49"/>
      <c r="U107" s="49"/>
      <c r="V107" s="35"/>
      <c r="W107" s="35"/>
      <c r="X107" s="36"/>
      <c r="Y107" s="36"/>
      <c r="Z107" s="32"/>
      <c r="AA107" s="32"/>
      <c r="AB107" s="32"/>
    </row>
    <row r="108" spans="2:29" x14ac:dyDescent="0.25">
      <c r="B108" s="86"/>
      <c r="C108" s="65"/>
      <c r="D108" s="65"/>
      <c r="E108" s="65"/>
      <c r="F108" s="65"/>
      <c r="G108" s="65"/>
      <c r="H108" s="78"/>
      <c r="I108" s="99"/>
      <c r="J108" s="73"/>
      <c r="K108" s="73"/>
      <c r="L108" s="73"/>
      <c r="M108" s="73"/>
      <c r="N108" s="73"/>
      <c r="O108" s="73"/>
      <c r="P108" s="73"/>
      <c r="Q108" s="100"/>
      <c r="R108" s="73"/>
      <c r="S108" s="7"/>
    </row>
    <row r="109" spans="2:29" x14ac:dyDescent="0.25">
      <c r="B109" s="86"/>
      <c r="C109" s="65"/>
      <c r="D109" s="65"/>
      <c r="E109" s="65"/>
      <c r="F109" s="65"/>
      <c r="G109" s="65"/>
      <c r="H109" s="77"/>
      <c r="I109" s="99"/>
      <c r="J109" s="72"/>
      <c r="K109" s="72"/>
      <c r="L109" s="73"/>
      <c r="M109" s="73"/>
      <c r="N109" s="73"/>
      <c r="O109" s="73"/>
      <c r="P109" s="73"/>
      <c r="Q109" s="100"/>
      <c r="R109" s="73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</row>
    <row r="110" spans="2:29" x14ac:dyDescent="0.25">
      <c r="B110" s="86"/>
      <c r="C110" s="65"/>
      <c r="D110" s="65"/>
      <c r="E110" s="65"/>
      <c r="F110" s="65"/>
      <c r="G110" s="65"/>
      <c r="H110" s="77"/>
      <c r="I110" s="101"/>
      <c r="J110" s="74"/>
      <c r="K110" s="74"/>
      <c r="L110" s="74"/>
      <c r="M110" s="74"/>
      <c r="N110" s="74"/>
      <c r="O110" s="74"/>
      <c r="P110" s="74"/>
      <c r="Q110" s="102"/>
      <c r="R110" s="74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</row>
    <row r="111" spans="2:29" x14ac:dyDescent="0.25">
      <c r="B111" s="86"/>
      <c r="C111" s="65"/>
      <c r="D111" s="65"/>
      <c r="E111" s="65"/>
      <c r="F111" s="65"/>
      <c r="G111" s="65"/>
      <c r="H111" s="77"/>
      <c r="I111" s="101"/>
      <c r="J111" s="74"/>
      <c r="K111" s="74"/>
      <c r="L111" s="74"/>
      <c r="M111" s="74"/>
      <c r="N111" s="74"/>
      <c r="O111" s="74"/>
      <c r="P111" s="74"/>
      <c r="Q111" s="102"/>
      <c r="R111" s="74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</row>
    <row r="112" spans="2:29" x14ac:dyDescent="0.25">
      <c r="B112" s="86"/>
      <c r="C112" s="65"/>
      <c r="D112" s="65"/>
      <c r="E112" s="65"/>
      <c r="F112" s="65"/>
      <c r="G112" s="65"/>
      <c r="H112" s="77"/>
      <c r="I112" s="101"/>
      <c r="J112" s="74"/>
      <c r="K112" s="74"/>
      <c r="L112" s="74"/>
      <c r="M112" s="74"/>
      <c r="N112" s="74"/>
      <c r="O112" s="74"/>
      <c r="P112" s="74"/>
      <c r="Q112" s="102"/>
      <c r="R112" s="74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</row>
    <row r="113" spans="2:29" x14ac:dyDescent="0.25">
      <c r="B113" s="86"/>
      <c r="C113" s="65"/>
      <c r="D113" s="65"/>
      <c r="E113" s="65"/>
      <c r="F113" s="65"/>
      <c r="G113" s="65"/>
      <c r="H113" s="77"/>
      <c r="I113" s="101"/>
      <c r="J113" s="74"/>
      <c r="K113" s="74"/>
      <c r="L113" s="74"/>
      <c r="M113" s="74"/>
      <c r="N113" s="74"/>
      <c r="O113" s="74"/>
      <c r="P113" s="74"/>
      <c r="Q113" s="102"/>
      <c r="R113" s="74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</row>
    <row r="114" spans="2:29" x14ac:dyDescent="0.25">
      <c r="B114" s="86"/>
      <c r="C114" s="65"/>
      <c r="D114" s="65"/>
      <c r="E114" s="65"/>
      <c r="F114" s="65"/>
      <c r="G114" s="65"/>
      <c r="H114" s="77"/>
      <c r="I114" s="101"/>
      <c r="J114" s="74"/>
      <c r="K114" s="74"/>
      <c r="L114" s="74"/>
      <c r="M114" s="74"/>
      <c r="N114" s="74"/>
      <c r="O114" s="74"/>
      <c r="P114" s="74"/>
      <c r="Q114" s="102"/>
      <c r="R114" s="74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</row>
    <row r="115" spans="2:29" x14ac:dyDescent="0.25">
      <c r="B115" s="87"/>
      <c r="C115" s="75"/>
      <c r="D115" s="75"/>
      <c r="E115" s="75"/>
      <c r="F115" s="75"/>
      <c r="G115" s="75"/>
      <c r="H115" s="79"/>
      <c r="I115" s="103"/>
      <c r="J115" s="104"/>
      <c r="K115" s="104"/>
      <c r="L115" s="104"/>
      <c r="M115" s="104"/>
      <c r="N115" s="104"/>
      <c r="O115" s="104"/>
      <c r="P115" s="104"/>
      <c r="Q115" s="105"/>
      <c r="R115" s="74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</row>
    <row r="116" spans="2:29" x14ac:dyDescent="0.25">
      <c r="B116" s="55" t="s">
        <v>132</v>
      </c>
      <c r="C116" s="80"/>
      <c r="D116" s="80"/>
      <c r="E116" s="80"/>
      <c r="F116" s="80"/>
      <c r="G116" s="80"/>
      <c r="H116" s="56"/>
      <c r="I116" s="82" t="s">
        <v>131</v>
      </c>
      <c r="J116" s="81"/>
      <c r="K116" s="81"/>
      <c r="L116" s="81"/>
      <c r="M116" s="81"/>
      <c r="N116" s="81"/>
      <c r="O116" s="81"/>
      <c r="P116" s="81"/>
      <c r="Q116" s="83"/>
      <c r="R116" s="74"/>
      <c r="S116" s="75"/>
      <c r="T116" s="75"/>
      <c r="U116" s="75"/>
      <c r="V116" s="75"/>
      <c r="W116" s="75"/>
      <c r="X116" s="65"/>
      <c r="Y116" s="65"/>
      <c r="Z116" s="75"/>
      <c r="AA116" s="75"/>
      <c r="AB116" s="75"/>
      <c r="AC116" s="65"/>
    </row>
    <row r="117" spans="2:29" x14ac:dyDescent="0.25"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109" t="s">
        <v>25</v>
      </c>
      <c r="T117" s="109"/>
      <c r="U117" s="109"/>
      <c r="V117" s="109"/>
      <c r="W117" s="109"/>
      <c r="X117" s="106"/>
      <c r="Y117" s="106"/>
      <c r="Z117" s="111" t="s">
        <v>26</v>
      </c>
      <c r="AA117" s="110"/>
      <c r="AB117" s="110"/>
      <c r="AC117" s="65"/>
    </row>
    <row r="118" spans="2:29" x14ac:dyDescent="0.25">
      <c r="B118" s="50" t="s">
        <v>0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64"/>
      <c r="S118" s="64"/>
      <c r="T118" s="64"/>
      <c r="U118" s="64"/>
      <c r="V118" s="65"/>
      <c r="W118" s="65"/>
      <c r="X118" s="65"/>
      <c r="Y118" s="65"/>
      <c r="Z118" s="65"/>
      <c r="AA118" s="65"/>
      <c r="AB118" s="65"/>
      <c r="AC118" s="65"/>
    </row>
    <row r="119" spans="2:29" x14ac:dyDescent="0.25">
      <c r="B119" s="107" t="s">
        <v>1</v>
      </c>
      <c r="C119" s="107" t="s">
        <v>2</v>
      </c>
      <c r="D119" s="107" t="s">
        <v>3</v>
      </c>
      <c r="E119" s="107" t="s">
        <v>4</v>
      </c>
      <c r="F119" s="107" t="s">
        <v>5</v>
      </c>
      <c r="G119" s="107" t="s">
        <v>6</v>
      </c>
      <c r="H119" s="107" t="s">
        <v>7</v>
      </c>
      <c r="I119" s="107" t="s">
        <v>8</v>
      </c>
      <c r="J119" s="107" t="s">
        <v>9</v>
      </c>
      <c r="K119" s="107" t="s">
        <v>10</v>
      </c>
      <c r="L119" s="107" t="s">
        <v>11</v>
      </c>
      <c r="M119" s="107" t="s">
        <v>12</v>
      </c>
      <c r="N119" s="107" t="s">
        <v>13</v>
      </c>
      <c r="O119" s="107" t="s">
        <v>14</v>
      </c>
      <c r="P119" s="107" t="s">
        <v>15</v>
      </c>
      <c r="Q119" s="107" t="s">
        <v>16</v>
      </c>
      <c r="R119" s="57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65"/>
    </row>
    <row r="120" spans="2:29" x14ac:dyDescent="0.25">
      <c r="B120" s="33">
        <v>2022</v>
      </c>
      <c r="C120" s="33" t="e">
        <f>VLOOKUP($B94,'P-Info'!B:J,5,FALSE)</f>
        <v>#N/A</v>
      </c>
      <c r="D120" s="1" t="e" cm="1">
        <f t="array" ref="D120">_xlfn.IFS(VLOOKUP($B94,'P-Info'!$B:$J,9,FALSE)="NAIA", VLOOKUP($B94,Table1[#All],4,FALSE),VLOOKUP($B94,'P-Info'!$B:$J,9,FALSE)="BR",VLOOKUP($B94,Table1[#All],14,FALSE))</f>
        <v>#N/A</v>
      </c>
      <c r="E120" s="1" t="e" cm="1">
        <f t="array" ref="E120">_xlfn.IFS(VLOOKUP($B94,'P-Info'!$B:$J,9,FALSE)="NAIA", VLOOKUP($B94,Table1[#All],5,FALSE),VLOOKUP($B94,'P-Info'!$B:$J,9,FALSE)="BR",VLOOKUP($B94,Table1[#All],15,FALSE))</f>
        <v>#N/A</v>
      </c>
      <c r="F120" s="1" t="e" cm="1">
        <f t="array" ref="F120">_xlfn.IFS(VLOOKUP($B94,'P-Info'!$B:$J,9,FALSE)="NAIA", VLOOKUP($B94,Table1[#All],6,FALSE),VLOOKUP($B94,'P-Info'!$B:$J,9,FALSE)="BR",VLOOKUP($B94,Table1[#All],9,FALSE))</f>
        <v>#N/A</v>
      </c>
      <c r="G120" s="1" t="e" cm="1">
        <f t="array" ref="G120">_xlfn.IFS(VLOOKUP($B94,'P-Info'!$B:$J,9,FALSE)="NAIA", VLOOKUP($B94,Table1[#All],7,FALSE),VLOOKUP($B94,'P-Info'!$B:$J,9,FALSE)="BR",VLOOKUP($B94,Table1[#All],10,FALSE))</f>
        <v>#N/A</v>
      </c>
      <c r="H120" s="1" t="e" cm="1">
        <f t="array" ref="H120">_xlfn.IFS(VLOOKUP($B94,'P-Info'!$B:$J,9,FALSE)="NAIA", VLOOKUP($B94,Table1[#All],8,FALSE),VLOOKUP($B94,'P-Info'!$B:$J,9,FALSE)="BR",VLOOKUP($B94,Table1[#All],19,FALSE))</f>
        <v>#N/A</v>
      </c>
      <c r="I120" s="1" t="e" cm="1">
        <f t="array" ref="I120">_xlfn.IFS(VLOOKUP($B94,'P-Info'!$B:$J,9,FALSE)="NAIA", VLOOKUP($B94,Table1[#All],10,FALSE),VLOOKUP($B94,'P-Info'!$B:$J,9,FALSE)="BR",VLOOKUP($B94,Table1[#All],20,FALSE))</f>
        <v>#N/A</v>
      </c>
      <c r="J120" s="1" t="e" cm="1">
        <f t="array" ref="J120">_xlfn.IFS(VLOOKUP($B94,'P-Info'!$B:$J,9,FALSE)="NAIA", VLOOKUP($B94,Table1[#All],11,FALSE),VLOOKUP($B94,'P-Info'!$B:$J,9,FALSE)="BR",VLOOKUP($B94,Table1[#All],21,FALSE))</f>
        <v>#N/A</v>
      </c>
      <c r="K120" s="1" t="e" cm="1">
        <f t="array" ref="K120">_xlfn.IFS(VLOOKUP($B94,'P-Info'!$B:$J,9,FALSE)="NAIA", VLOOKUP($B94,Table1[#All],12,FALSE),VLOOKUP($B94,'P-Info'!$B:$J,9,FALSE)="BR",VLOOKUP($B94,Table1[#All],22,FALSE))</f>
        <v>#N/A</v>
      </c>
      <c r="L120" s="1" t="e" cm="1">
        <f t="array" ref="L120">_xlfn.IFS(VLOOKUP($B94,'P-Info'!$B:$J,9,FALSE)="NAIA", VLOOKUP($B94,Table1[#All],13,FALSE),VLOOKUP($B94,'P-Info'!$B:$J,9,FALSE)="BR",VLOOKUP($B94,Table1[#All],23,FALSE))</f>
        <v>#N/A</v>
      </c>
      <c r="M120" s="1" t="e" cm="1">
        <f t="array" ref="M120">_xlfn.IFS(VLOOKUP($B94,'P-Info'!$B:$J,9,FALSE)="NAIA", VLOOKUP($B94,Table1[#All],17,FALSE),VLOOKUP($B94,'P-Info'!$B:$J,9,FALSE)="BR",VLOOKUP($B94,Table1[#All],24,FALSE))</f>
        <v>#N/A</v>
      </c>
      <c r="N120" s="1" t="e" cm="1">
        <f t="array" ref="N120">_xlfn.IFS(VLOOKUP($B94,'P-Info'!$B:$J,9,FALSE)="NAIA", VLOOKUP($B94,Table1[#All],14,FALSE),VLOOKUP($B94,'P-Info'!$B:$J,9,FALSE)="BR",VLOOKUP($B94,Table1[#All],25,FALSE))</f>
        <v>#N/A</v>
      </c>
      <c r="O120" s="1" t="e" cm="1">
        <f t="array" ref="O120">_xlfn.IFS(VLOOKUP($B94,'P-Info'!$B:$J,9,FALSE)="NAIA", VLOOKUP($B94,Table1[#All],15,FALSE),VLOOKUP($B94,'P-Info'!$B:$J,9,FALSE)="BR",VLOOKUP($B94,Table1[#All],27,FALSE))</f>
        <v>#N/A</v>
      </c>
      <c r="P120" s="8" t="e" cm="1">
        <f t="array" ref="P120">_xlfn.IFS(VLOOKUP($B94,'P-Info'!$B:$J,9,FALSE)="NAIA", VLOOKUP($B94,Table1[#All],18,FALSE),VLOOKUP($B94,'P-Info'!$B:$J,9,FALSE)="BR",VLOOKUP($B94,Table1[#All],12,FALSE))</f>
        <v>#N/A</v>
      </c>
      <c r="Q120" s="8" t="e" cm="1">
        <f t="array" ref="Q120">_xlfn.IFS(VLOOKUP($B94,'P-Info'!$B:$J,9,FALSE)="NAIA", (J120+N120)/I120,VLOOKUP($B94,'P-Info'!$B:$J,9,FALSE)="BR",VLOOKUP($B94,Table1[#All],32,FALSE))</f>
        <v>#N/A</v>
      </c>
      <c r="R120" s="62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65"/>
    </row>
    <row r="121" spans="2:29" x14ac:dyDescent="0.25">
      <c r="R121" s="65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</row>
    <row r="122" spans="2:29" x14ac:dyDescent="0.25">
      <c r="B122" s="50" t="s">
        <v>130</v>
      </c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64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</row>
    <row r="123" spans="2:29" x14ac:dyDescent="0.25">
      <c r="B123" s="107" t="s">
        <v>1</v>
      </c>
      <c r="C123" s="107" t="s">
        <v>2</v>
      </c>
      <c r="D123" s="107" t="s">
        <v>3</v>
      </c>
      <c r="E123" s="107" t="s">
        <v>4</v>
      </c>
      <c r="F123" s="107" t="s">
        <v>5</v>
      </c>
      <c r="G123" s="107" t="s">
        <v>6</v>
      </c>
      <c r="H123" s="107" t="s">
        <v>7</v>
      </c>
      <c r="I123" s="107" t="s">
        <v>8</v>
      </c>
      <c r="J123" s="107" t="s">
        <v>9</v>
      </c>
      <c r="K123" s="107" t="s">
        <v>10</v>
      </c>
      <c r="L123" s="107" t="s">
        <v>11</v>
      </c>
      <c r="M123" s="107" t="s">
        <v>12</v>
      </c>
      <c r="N123" s="107" t="s">
        <v>13</v>
      </c>
      <c r="O123" s="107" t="s">
        <v>14</v>
      </c>
      <c r="P123" s="107" t="s">
        <v>15</v>
      </c>
      <c r="Q123" s="107" t="s">
        <v>16</v>
      </c>
      <c r="R123" s="57"/>
      <c r="S123" s="108"/>
      <c r="T123" s="108"/>
      <c r="U123" s="108"/>
      <c r="V123" s="108"/>
      <c r="W123" s="108"/>
      <c r="X123" s="106"/>
      <c r="Y123" s="106"/>
      <c r="Z123" s="108"/>
      <c r="AA123" s="108"/>
      <c r="AB123" s="108"/>
    </row>
    <row r="124" spans="2:29" x14ac:dyDescent="0.25">
      <c r="B124" s="33">
        <v>2022</v>
      </c>
      <c r="C124" s="33" t="e">
        <f>VLOOKUP($B94 &amp; "NWL" &amp; "NWL",'P-Info'!B:J,5,FALSE)</f>
        <v>#N/A</v>
      </c>
      <c r="D124" s="1" t="e" cm="1">
        <f t="array" ref="D124">_xlfn.IFS(VLOOKUP($B94 &amp; "NWL",'P-Info'!$B:$J,9,FALSE)="NAIA", VLOOKUP($B94 &amp; "NWL",Table1[#All],4,FALSE),VLOOKUP($B94 &amp; "NWL",'P-Info'!$B:$J,9,FALSE)="BR",VLOOKUP($B94 &amp; "NWL",Table1[#All],14,FALSE))</f>
        <v>#N/A</v>
      </c>
      <c r="E124" s="1" t="e" cm="1">
        <f t="array" ref="E124">_xlfn.IFS(VLOOKUP($B94 &amp; "NWL",'P-Info'!$B:$J,9,FALSE)="NAIA", VLOOKUP($B94 &amp; "NWL",Table1[#All],5,FALSE),VLOOKUP($B94 &amp; "NWL",'P-Info'!$B:$J,9,FALSE)="BR",VLOOKUP($B94 &amp; "NWL",Table1[#All],15,FALSE))</f>
        <v>#N/A</v>
      </c>
      <c r="F124" s="1" t="e" cm="1">
        <f t="array" ref="F124">_xlfn.IFS(VLOOKUP($B94 &amp; "NWL",'P-Info'!$B:$J,9,FALSE)="NAIA", VLOOKUP($B94 &amp; "NWL",Table1[#All],6,FALSE),VLOOKUP($B94 &amp; "NWL",'P-Info'!$B:$J,9,FALSE)="BR",VLOOKUP($B94 &amp; "NWL",Table1[#All],9,FALSE))</f>
        <v>#N/A</v>
      </c>
      <c r="G124" s="1" t="e" cm="1">
        <f t="array" ref="G124">_xlfn.IFS(VLOOKUP($B94 &amp; "NWL",'P-Info'!$B:$J,9,FALSE)="NAIA", VLOOKUP($B94 &amp; "NWL",Table1[#All],7,FALSE),VLOOKUP($B94 &amp; "NWL",'P-Info'!$B:$J,9,FALSE)="BR",VLOOKUP($B94 &amp; "NWL",Table1[#All],10,FALSE))</f>
        <v>#N/A</v>
      </c>
      <c r="H124" s="1" t="e" cm="1">
        <f t="array" ref="H124">_xlfn.IFS(VLOOKUP($B94 &amp; "NWL",'P-Info'!$B:$J,9,FALSE)="NAIA", VLOOKUP($B94 &amp; "NWL",Table1[#All],8,FALSE),VLOOKUP($B94 &amp; "NWL",'P-Info'!$B:$J,9,FALSE)="BR",VLOOKUP($B94 &amp; "NWL",Table1[#All],19,FALSE))</f>
        <v>#N/A</v>
      </c>
      <c r="I124" s="1" t="e" cm="1">
        <f t="array" ref="I124">_xlfn.IFS(VLOOKUP($B94 &amp; "NWL",'P-Info'!$B:$J,9,FALSE)="NAIA", VLOOKUP($B94 &amp; "NWL",Table1[#All],10,FALSE),VLOOKUP($B94 &amp; "NWL",'P-Info'!$B:$J,9,FALSE)="BR",VLOOKUP($B94 &amp; "NWL",Table1[#All],20,FALSE))</f>
        <v>#N/A</v>
      </c>
      <c r="J124" s="1" t="e" cm="1">
        <f t="array" ref="J124">_xlfn.IFS(VLOOKUP($B94 &amp; "NWL",'P-Info'!$B:$J,9,FALSE)="NAIA", VLOOKUP($B94 &amp; "NWL",Table1[#All],11,FALSE),VLOOKUP($B94 &amp; "NWL",'P-Info'!$B:$J,9,FALSE)="BR",VLOOKUP($B94 &amp; "NWL",Table1[#All],21,FALSE))</f>
        <v>#N/A</v>
      </c>
      <c r="K124" s="1" t="e" cm="1">
        <f t="array" ref="K124">_xlfn.IFS(VLOOKUP($B94 &amp; "NWL",'P-Info'!$B:$J,9,FALSE)="NAIA", VLOOKUP($B94 &amp; "NWL",Table1[#All],12,FALSE),VLOOKUP($B94 &amp; "NWL",'P-Info'!$B:$J,9,FALSE)="BR",VLOOKUP($B94 &amp; "NWL",Table1[#All],22,FALSE))</f>
        <v>#N/A</v>
      </c>
      <c r="L124" s="1" t="e" cm="1">
        <f t="array" ref="L124">_xlfn.IFS(VLOOKUP($B94 &amp; "NWL",'P-Info'!$B:$J,9,FALSE)="NAIA", VLOOKUP($B94 &amp; "NWL",Table1[#All],13,FALSE),VLOOKUP($B94 &amp; "NWL",'P-Info'!$B:$J,9,FALSE)="BR",VLOOKUP($B94 &amp; "NWL",Table1[#All],23,FALSE))</f>
        <v>#N/A</v>
      </c>
      <c r="M124" s="1" t="e" cm="1">
        <f t="array" ref="M124">_xlfn.IFS(VLOOKUP($B94 &amp; "NWL",'P-Info'!$B:$J,9,FALSE)="NAIA", VLOOKUP($B94 &amp; "NWL",Table1[#All],17,FALSE),VLOOKUP($B94 &amp; "NWL",'P-Info'!$B:$J,9,FALSE)="BR",VLOOKUP($B94 &amp; "NWL",Table1[#All],24,FALSE))</f>
        <v>#N/A</v>
      </c>
      <c r="N124" s="1" t="e" cm="1">
        <f t="array" ref="N124">_xlfn.IFS(VLOOKUP($B94 &amp; "NWL",'P-Info'!$B:$J,9,FALSE)="NAIA", VLOOKUP($B94 &amp; "NWL",Table1[#All],14,FALSE),VLOOKUP($B94 &amp; "NWL",'P-Info'!$B:$J,9,FALSE)="BR",VLOOKUP($B94 &amp; "NWL",Table1[#All],25,FALSE))</f>
        <v>#N/A</v>
      </c>
      <c r="O124" s="1" t="e" cm="1">
        <f t="array" ref="O124">_xlfn.IFS(VLOOKUP($B94 &amp; "NWL",'P-Info'!$B:$J,9,FALSE)="NAIA", VLOOKUP($B94 &amp; "NWL",Table1[#All],15,FALSE),VLOOKUP($B94 &amp; "NWL",'P-Info'!$B:$J,9,FALSE)="BR",VLOOKUP($B94 &amp; "NWL",Table1[#All],27,FALSE))</f>
        <v>#N/A</v>
      </c>
      <c r="P124" s="8" t="e" cm="1">
        <f t="array" ref="P124">_xlfn.IFS(VLOOKUP($B94 &amp; "NWL",'P-Info'!$B:$J,9,FALSE)="NAIA", VLOOKUP($B94 &amp; "NWL",Table1[#All],18,FALSE),VLOOKUP($B94 &amp; "NWL",'P-Info'!$B:$J,9,FALSE)="BR",VLOOKUP($B94 &amp; "NWL",Table1[#All],12,FALSE))</f>
        <v>#N/A</v>
      </c>
      <c r="Q124" s="8" t="e" cm="1">
        <f t="array" ref="Q124">_xlfn.IFS(VLOOKUP($B94 &amp; "NWL",'P-Info'!$B:$J,9,FALSE)="NAIA", (J124+N124)/I124,VLOOKUP($B94 &amp; "NWL",'P-Info'!$B:$J,9,FALSE)="BR",VLOOKUP($B94 &amp; "NWL",Table1[#All],32,FALSE))</f>
        <v>#N/A</v>
      </c>
      <c r="R124" s="62"/>
      <c r="S124" s="112" t="s">
        <v>27</v>
      </c>
      <c r="T124" s="112"/>
      <c r="U124" s="112"/>
      <c r="V124" s="112"/>
      <c r="W124" s="112"/>
      <c r="X124" s="106"/>
      <c r="Y124" s="106"/>
      <c r="Z124" s="114" t="s">
        <v>28</v>
      </c>
      <c r="AA124" s="114"/>
      <c r="AB124" s="114"/>
    </row>
    <row r="125" spans="2:29" x14ac:dyDescent="0.25">
      <c r="B125" s="57"/>
      <c r="C125" s="57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3"/>
      <c r="Q125" s="63"/>
      <c r="R125" s="62"/>
      <c r="S125" s="124"/>
      <c r="T125" s="124"/>
      <c r="U125" s="124"/>
      <c r="V125" s="124"/>
      <c r="W125" s="124"/>
      <c r="X125" s="106"/>
      <c r="Y125" s="106"/>
      <c r="Z125" s="113"/>
      <c r="AA125" s="113"/>
      <c r="AB125" s="113"/>
    </row>
    <row r="126" spans="2:29" x14ac:dyDescent="0.25">
      <c r="B126" s="57"/>
      <c r="C126" s="57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3"/>
      <c r="Q126" s="63"/>
      <c r="R126" s="62"/>
      <c r="S126" s="124"/>
      <c r="T126" s="124"/>
      <c r="U126" s="124"/>
      <c r="V126" s="124"/>
      <c r="W126" s="124"/>
      <c r="X126" s="106"/>
      <c r="Y126" s="106"/>
      <c r="Z126" s="113"/>
      <c r="AA126" s="113"/>
      <c r="AB126" s="113"/>
    </row>
    <row r="127" spans="2:29" x14ac:dyDescent="0.25">
      <c r="R127" s="65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</row>
    <row r="128" spans="2:29" x14ac:dyDescent="0.25">
      <c r="R128" s="65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</row>
    <row r="129" spans="2:28" x14ac:dyDescent="0.25">
      <c r="B129" s="55" t="s">
        <v>22</v>
      </c>
      <c r="C129" s="56"/>
      <c r="R129" s="65"/>
    </row>
    <row r="130" spans="2:28" x14ac:dyDescent="0.25">
      <c r="B130" s="115"/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  <c r="S130" s="116"/>
      <c r="T130" s="116"/>
      <c r="U130" s="116"/>
      <c r="V130" s="116"/>
      <c r="W130" s="116"/>
      <c r="X130" s="116"/>
      <c r="Y130" s="116"/>
      <c r="Z130" s="116"/>
      <c r="AA130" s="116"/>
      <c r="AB130" s="117"/>
    </row>
    <row r="131" spans="2:28" x14ac:dyDescent="0.25">
      <c r="B131" s="118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20"/>
    </row>
    <row r="132" spans="2:28" x14ac:dyDescent="0.25">
      <c r="B132" s="118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20"/>
    </row>
    <row r="133" spans="2:28" x14ac:dyDescent="0.25">
      <c r="B133" s="118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20"/>
    </row>
    <row r="134" spans="2:28" x14ac:dyDescent="0.25">
      <c r="B134" s="121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3"/>
    </row>
  </sheetData>
  <mergeCells count="200">
    <mergeCell ref="B122:Q122"/>
    <mergeCell ref="S124:W124"/>
    <mergeCell ref="Z124:AB124"/>
    <mergeCell ref="B129:C129"/>
    <mergeCell ref="B130:AB134"/>
    <mergeCell ref="B116:H116"/>
    <mergeCell ref="I116:Q116"/>
    <mergeCell ref="S117:W117"/>
    <mergeCell ref="Z117:AB117"/>
    <mergeCell ref="B118:Q118"/>
    <mergeCell ref="X106:Y106"/>
    <mergeCell ref="I107:K107"/>
    <mergeCell ref="L107:M107"/>
    <mergeCell ref="N107:O107"/>
    <mergeCell ref="S107:U107"/>
    <mergeCell ref="V107:W107"/>
    <mergeCell ref="X107:Y107"/>
    <mergeCell ref="I106:K106"/>
    <mergeCell ref="L106:M106"/>
    <mergeCell ref="N106:O106"/>
    <mergeCell ref="S106:U106"/>
    <mergeCell ref="V106:W106"/>
    <mergeCell ref="X104:Y104"/>
    <mergeCell ref="I105:K105"/>
    <mergeCell ref="L105:M105"/>
    <mergeCell ref="N105:O105"/>
    <mergeCell ref="S105:U105"/>
    <mergeCell ref="V105:W105"/>
    <mergeCell ref="X105:Y105"/>
    <mergeCell ref="I104:K104"/>
    <mergeCell ref="L104:M104"/>
    <mergeCell ref="N104:O104"/>
    <mergeCell ref="S104:U104"/>
    <mergeCell ref="V104:W104"/>
    <mergeCell ref="X102:Y102"/>
    <mergeCell ref="I103:K103"/>
    <mergeCell ref="L103:M103"/>
    <mergeCell ref="N103:O103"/>
    <mergeCell ref="S103:U103"/>
    <mergeCell ref="V103:W103"/>
    <mergeCell ref="X103:Y103"/>
    <mergeCell ref="I102:K102"/>
    <mergeCell ref="L102:M102"/>
    <mergeCell ref="N102:O102"/>
    <mergeCell ref="S102:U102"/>
    <mergeCell ref="V102:W102"/>
    <mergeCell ref="X100:Y100"/>
    <mergeCell ref="I101:K101"/>
    <mergeCell ref="L101:M101"/>
    <mergeCell ref="N101:O101"/>
    <mergeCell ref="S101:U101"/>
    <mergeCell ref="V101:W101"/>
    <mergeCell ref="X101:Y101"/>
    <mergeCell ref="I100:K100"/>
    <mergeCell ref="L100:M100"/>
    <mergeCell ref="N100:O100"/>
    <mergeCell ref="S100:U100"/>
    <mergeCell ref="V100:W100"/>
    <mergeCell ref="X98:Y98"/>
    <mergeCell ref="I99:K99"/>
    <mergeCell ref="L99:M99"/>
    <mergeCell ref="N99:O99"/>
    <mergeCell ref="S99:U99"/>
    <mergeCell ref="V99:W99"/>
    <mergeCell ref="X99:Y99"/>
    <mergeCell ref="I98:K98"/>
    <mergeCell ref="L98:M98"/>
    <mergeCell ref="N98:O98"/>
    <mergeCell ref="S98:U98"/>
    <mergeCell ref="V98:W98"/>
    <mergeCell ref="L97:M97"/>
    <mergeCell ref="N97:O97"/>
    <mergeCell ref="S97:U97"/>
    <mergeCell ref="V97:W97"/>
    <mergeCell ref="X97:Y97"/>
    <mergeCell ref="B85:C85"/>
    <mergeCell ref="B86:AB90"/>
    <mergeCell ref="B94:H95"/>
    <mergeCell ref="Y94:Z95"/>
    <mergeCell ref="AA94:AB95"/>
    <mergeCell ref="Y50:Z51"/>
    <mergeCell ref="AA50:AB51"/>
    <mergeCell ref="S73:W73"/>
    <mergeCell ref="Z73:AB73"/>
    <mergeCell ref="S80:W80"/>
    <mergeCell ref="Z80:AB80"/>
    <mergeCell ref="V63:W63"/>
    <mergeCell ref="X63:Y63"/>
    <mergeCell ref="V61:W61"/>
    <mergeCell ref="X61:Y61"/>
    <mergeCell ref="S62:U62"/>
    <mergeCell ref="V62:W62"/>
    <mergeCell ref="X62:Y62"/>
    <mergeCell ref="V59:W59"/>
    <mergeCell ref="X59:Y59"/>
    <mergeCell ref="S60:U60"/>
    <mergeCell ref="V60:W60"/>
    <mergeCell ref="X60:Y60"/>
    <mergeCell ref="V57:W57"/>
    <mergeCell ref="X57:Y57"/>
    <mergeCell ref="S58:U58"/>
    <mergeCell ref="V58:W58"/>
    <mergeCell ref="X58:Y58"/>
    <mergeCell ref="V55:W55"/>
    <mergeCell ref="X55:Y55"/>
    <mergeCell ref="S56:U56"/>
    <mergeCell ref="V56:W56"/>
    <mergeCell ref="X56:Y56"/>
    <mergeCell ref="V53:W53"/>
    <mergeCell ref="X53:Y53"/>
    <mergeCell ref="S54:U54"/>
    <mergeCell ref="V54:W54"/>
    <mergeCell ref="X54:Y54"/>
    <mergeCell ref="I63:K63"/>
    <mergeCell ref="L63:M63"/>
    <mergeCell ref="N63:O63"/>
    <mergeCell ref="S53:U53"/>
    <mergeCell ref="S55:U55"/>
    <mergeCell ref="S57:U57"/>
    <mergeCell ref="S59:U59"/>
    <mergeCell ref="S61:U61"/>
    <mergeCell ref="S63:U63"/>
    <mergeCell ref="B72:H72"/>
    <mergeCell ref="I72:Q72"/>
    <mergeCell ref="B74:Q74"/>
    <mergeCell ref="B78:Q78"/>
    <mergeCell ref="I59:K59"/>
    <mergeCell ref="L59:M59"/>
    <mergeCell ref="N59:O59"/>
    <mergeCell ref="I60:K60"/>
    <mergeCell ref="L60:M60"/>
    <mergeCell ref="N60:O60"/>
    <mergeCell ref="I61:K61"/>
    <mergeCell ref="L61:M61"/>
    <mergeCell ref="N61:O61"/>
    <mergeCell ref="I62:K62"/>
    <mergeCell ref="L62:M62"/>
    <mergeCell ref="N62:O62"/>
    <mergeCell ref="I57:K57"/>
    <mergeCell ref="L57:M57"/>
    <mergeCell ref="N57:O57"/>
    <mergeCell ref="I58:K58"/>
    <mergeCell ref="L58:M58"/>
    <mergeCell ref="N58:O58"/>
    <mergeCell ref="I55:K55"/>
    <mergeCell ref="L55:M55"/>
    <mergeCell ref="N55:O55"/>
    <mergeCell ref="I56:K56"/>
    <mergeCell ref="L56:M56"/>
    <mergeCell ref="N56:O56"/>
    <mergeCell ref="L53:M53"/>
    <mergeCell ref="N53:O53"/>
    <mergeCell ref="I54:K54"/>
    <mergeCell ref="L54:M54"/>
    <mergeCell ref="N54:O54"/>
    <mergeCell ref="D39:E39"/>
    <mergeCell ref="B40:C40"/>
    <mergeCell ref="D40:E40"/>
    <mergeCell ref="B24:R24"/>
    <mergeCell ref="B50:H51"/>
    <mergeCell ref="B44:R44"/>
    <mergeCell ref="B30:H31"/>
    <mergeCell ref="O30:P31"/>
    <mergeCell ref="Q30:R31"/>
    <mergeCell ref="B33:C33"/>
    <mergeCell ref="I33:K33"/>
    <mergeCell ref="I34:R41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I8:K8"/>
    <mergeCell ref="L8:M8"/>
    <mergeCell ref="N8:O8"/>
    <mergeCell ref="I9:K9"/>
    <mergeCell ref="L9:M9"/>
    <mergeCell ref="N9:O9"/>
    <mergeCell ref="B22:H22"/>
    <mergeCell ref="I10:K10"/>
    <mergeCell ref="L10:M10"/>
    <mergeCell ref="N10:O10"/>
    <mergeCell ref="I13:K13"/>
    <mergeCell ref="I14:R21"/>
    <mergeCell ref="B2:H3"/>
    <mergeCell ref="O2:P3"/>
    <mergeCell ref="Q2:R3"/>
    <mergeCell ref="I5:K5"/>
    <mergeCell ref="L5:M5"/>
    <mergeCell ref="N5:O5"/>
    <mergeCell ref="I6:K6"/>
    <mergeCell ref="L6:M6"/>
    <mergeCell ref="N6:O6"/>
    <mergeCell ref="I7:K7"/>
    <mergeCell ref="L7:M7"/>
    <mergeCell ref="N7:O7"/>
  </mergeCells>
  <pageMargins left="0.7" right="0.7" top="0.75" bottom="0.75" header="0.3" footer="0.3"/>
  <pageSetup scale="7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42B1-6036-45BB-9FBC-9D46E5554117}">
  <sheetPr>
    <pageSetUpPr fitToPage="1"/>
  </sheetPr>
  <dimension ref="B2:AC42"/>
  <sheetViews>
    <sheetView topLeftCell="A7" workbookViewId="0">
      <selection activeCell="M2" sqref="M2"/>
    </sheetView>
  </sheetViews>
  <sheetFormatPr defaultRowHeight="15" x14ac:dyDescent="0.25"/>
  <cols>
    <col min="2" max="2" width="5.42578125" customWidth="1"/>
    <col min="3" max="3" width="18.28515625" customWidth="1"/>
    <col min="4" max="8" width="4.42578125" customWidth="1"/>
    <col min="9" max="9" width="5.42578125" customWidth="1"/>
    <col min="10" max="14" width="4.42578125" customWidth="1"/>
    <col min="15" max="15" width="4.28515625" customWidth="1"/>
    <col min="16" max="18" width="7.7109375" customWidth="1"/>
    <col min="19" max="19" width="5.42578125" customWidth="1"/>
    <col min="20" max="24" width="4.42578125" customWidth="1"/>
    <col min="25" max="25" width="4.28515625" customWidth="1"/>
    <col min="26" max="28" width="7.7109375" customWidth="1"/>
  </cols>
  <sheetData>
    <row r="2" spans="2:28" ht="15" customHeight="1" x14ac:dyDescent="0.25">
      <c r="B2" s="38" t="s">
        <v>129</v>
      </c>
      <c r="C2" s="38"/>
      <c r="D2" s="38"/>
      <c r="E2" s="38"/>
      <c r="F2" s="38"/>
      <c r="G2" s="38"/>
      <c r="H2" s="38"/>
      <c r="I2" s="3"/>
      <c r="J2" s="3"/>
      <c r="K2" s="3"/>
      <c r="L2" s="3"/>
      <c r="M2" s="3"/>
      <c r="N2" s="3"/>
      <c r="O2" s="3"/>
      <c r="P2" s="3"/>
      <c r="Q2" s="3"/>
      <c r="R2" s="3"/>
      <c r="S2" s="65"/>
      <c r="T2" s="65"/>
      <c r="U2" s="65"/>
      <c r="V2" s="65"/>
      <c r="W2" s="65"/>
      <c r="X2" s="65"/>
      <c r="Y2" s="40" t="e">
        <f>VLOOKUP($B2,'P-Info'!L:T,8,FALSE)</f>
        <v>#N/A</v>
      </c>
      <c r="Z2" s="40"/>
      <c r="AA2" s="40" t="e">
        <f>"# " &amp; VLOOKUP($B2,CHOOSE({2,1},'P-Info'!K:K, 'P-Info'!L:L),2, FALSE)</f>
        <v>#N/A</v>
      </c>
      <c r="AB2" s="40"/>
    </row>
    <row r="3" spans="2:28" ht="15" customHeight="1" x14ac:dyDescent="0.25">
      <c r="B3" s="39"/>
      <c r="C3" s="39"/>
      <c r="D3" s="39"/>
      <c r="E3" s="39"/>
      <c r="F3" s="39"/>
      <c r="G3" s="39"/>
      <c r="H3" s="39"/>
      <c r="I3" s="4"/>
      <c r="J3" s="4"/>
      <c r="K3" s="4"/>
      <c r="L3" s="4"/>
      <c r="M3" s="4"/>
      <c r="N3" s="4"/>
      <c r="O3" s="4"/>
      <c r="P3" s="4"/>
      <c r="Q3" s="4"/>
      <c r="R3" s="4"/>
      <c r="S3" s="75"/>
      <c r="T3" s="75"/>
      <c r="U3" s="75"/>
      <c r="V3" s="75"/>
      <c r="W3" s="75"/>
      <c r="X3" s="75"/>
      <c r="Y3" s="41"/>
      <c r="Z3" s="41"/>
      <c r="AA3" s="41"/>
      <c r="AB3" s="41"/>
    </row>
    <row r="5" spans="2:28" x14ac:dyDescent="0.25">
      <c r="B5" s="84"/>
      <c r="C5" s="76"/>
      <c r="D5" s="76"/>
      <c r="E5" s="76"/>
      <c r="F5" s="76"/>
      <c r="G5" s="76"/>
      <c r="H5" s="85"/>
      <c r="I5" s="88"/>
      <c r="J5" s="89"/>
      <c r="K5" s="89"/>
      <c r="L5" s="90"/>
      <c r="M5" s="90"/>
      <c r="N5" s="90"/>
      <c r="O5" s="90"/>
      <c r="P5" s="91"/>
      <c r="Q5" s="92"/>
      <c r="R5" s="68"/>
      <c r="S5" s="42" t="s">
        <v>133</v>
      </c>
      <c r="T5" s="42"/>
      <c r="U5" s="42"/>
      <c r="V5" s="42" t="s">
        <v>32</v>
      </c>
      <c r="W5" s="42"/>
      <c r="X5" s="42" t="s">
        <v>23</v>
      </c>
      <c r="Y5" s="42"/>
      <c r="Z5" s="21" t="s">
        <v>24</v>
      </c>
      <c r="AA5" s="21" t="s">
        <v>36</v>
      </c>
      <c r="AB5" s="31" t="s">
        <v>34</v>
      </c>
    </row>
    <row r="6" spans="2:28" x14ac:dyDescent="0.25">
      <c r="B6" s="86"/>
      <c r="C6" s="65"/>
      <c r="D6" s="65"/>
      <c r="E6" s="65"/>
      <c r="F6" s="65"/>
      <c r="G6" s="65"/>
      <c r="H6" s="77"/>
      <c r="I6" s="93"/>
      <c r="J6" s="69"/>
      <c r="K6" s="69"/>
      <c r="L6" s="59"/>
      <c r="M6" s="59"/>
      <c r="N6" s="70"/>
      <c r="O6" s="70"/>
      <c r="P6" s="71"/>
      <c r="Q6" s="94"/>
      <c r="R6" s="71"/>
      <c r="S6" s="34" t="s">
        <v>25</v>
      </c>
      <c r="T6" s="34"/>
      <c r="U6" s="34"/>
      <c r="V6" s="35"/>
      <c r="W6" s="35"/>
      <c r="X6" s="36"/>
      <c r="Y6" s="36"/>
      <c r="Z6" s="32"/>
      <c r="AA6" s="32"/>
      <c r="AB6" s="32"/>
    </row>
    <row r="7" spans="2:28" x14ac:dyDescent="0.25">
      <c r="B7" s="86"/>
      <c r="C7" s="65"/>
      <c r="D7" s="65"/>
      <c r="E7" s="65"/>
      <c r="F7" s="65"/>
      <c r="G7" s="65"/>
      <c r="H7" s="77"/>
      <c r="I7" s="93"/>
      <c r="J7" s="69"/>
      <c r="K7" s="69"/>
      <c r="L7" s="59"/>
      <c r="M7" s="59"/>
      <c r="N7" s="70"/>
      <c r="O7" s="70"/>
      <c r="P7" s="71"/>
      <c r="Q7" s="94"/>
      <c r="R7" s="71"/>
      <c r="S7" s="37" t="s">
        <v>26</v>
      </c>
      <c r="T7" s="37"/>
      <c r="U7" s="37"/>
      <c r="V7" s="35"/>
      <c r="W7" s="35"/>
      <c r="X7" s="36"/>
      <c r="Y7" s="36"/>
      <c r="Z7" s="32"/>
      <c r="AA7" s="32"/>
      <c r="AB7" s="32"/>
    </row>
    <row r="8" spans="2:28" x14ac:dyDescent="0.25">
      <c r="B8" s="86"/>
      <c r="C8" s="65"/>
      <c r="D8" s="65"/>
      <c r="E8" s="65"/>
      <c r="F8" s="65"/>
      <c r="G8" s="65"/>
      <c r="H8" s="77"/>
      <c r="I8" s="93"/>
      <c r="J8" s="69"/>
      <c r="K8" s="69"/>
      <c r="L8" s="59"/>
      <c r="M8" s="59"/>
      <c r="N8" s="70"/>
      <c r="O8" s="70"/>
      <c r="P8" s="71"/>
      <c r="Q8" s="94"/>
      <c r="R8" s="71"/>
      <c r="S8" s="48" t="s">
        <v>27</v>
      </c>
      <c r="T8" s="48"/>
      <c r="U8" s="48"/>
      <c r="V8" s="35"/>
      <c r="W8" s="35"/>
      <c r="X8" s="36"/>
      <c r="Y8" s="36"/>
      <c r="Z8" s="32"/>
      <c r="AA8" s="32"/>
      <c r="AB8" s="32"/>
    </row>
    <row r="9" spans="2:28" x14ac:dyDescent="0.25">
      <c r="B9" s="86"/>
      <c r="C9" s="65"/>
      <c r="D9" s="65"/>
      <c r="E9" s="65"/>
      <c r="F9" s="65"/>
      <c r="G9" s="65"/>
      <c r="H9" s="77"/>
      <c r="I9" s="93"/>
      <c r="J9" s="69"/>
      <c r="K9" s="69"/>
      <c r="L9" s="59"/>
      <c r="M9" s="59"/>
      <c r="N9" s="70"/>
      <c r="O9" s="70"/>
      <c r="P9" s="71"/>
      <c r="Q9" s="94"/>
      <c r="R9" s="71"/>
      <c r="S9" s="49" t="s">
        <v>28</v>
      </c>
      <c r="T9" s="49"/>
      <c r="U9" s="49"/>
      <c r="V9" s="35"/>
      <c r="W9" s="35"/>
      <c r="X9" s="36"/>
      <c r="Y9" s="36"/>
      <c r="Z9" s="32"/>
      <c r="AA9" s="32"/>
      <c r="AB9" s="32"/>
    </row>
    <row r="10" spans="2:28" x14ac:dyDescent="0.25">
      <c r="B10" s="86"/>
      <c r="C10" s="65"/>
      <c r="D10" s="65"/>
      <c r="E10" s="65"/>
      <c r="F10" s="65"/>
      <c r="G10" s="65"/>
      <c r="H10" s="77"/>
      <c r="I10" s="95"/>
      <c r="J10" s="58"/>
      <c r="K10" s="58"/>
      <c r="L10" s="59"/>
      <c r="M10" s="59"/>
      <c r="N10" s="60"/>
      <c r="O10" s="60"/>
      <c r="P10" s="61"/>
      <c r="Q10" s="96"/>
      <c r="R10" s="61"/>
      <c r="S10" s="58"/>
      <c r="T10" s="58"/>
      <c r="U10" s="58"/>
      <c r="V10" s="59"/>
      <c r="W10" s="59"/>
      <c r="X10" s="60"/>
      <c r="Y10" s="60"/>
      <c r="Z10" s="61"/>
      <c r="AA10" s="61"/>
      <c r="AB10" s="61"/>
    </row>
    <row r="11" spans="2:28" x14ac:dyDescent="0.25">
      <c r="B11" s="86"/>
      <c r="C11" s="65"/>
      <c r="D11" s="65"/>
      <c r="E11" s="65"/>
      <c r="F11" s="65"/>
      <c r="G11" s="65"/>
      <c r="H11" s="77"/>
      <c r="I11" s="97"/>
      <c r="J11" s="66"/>
      <c r="K11" s="66"/>
      <c r="L11" s="66"/>
      <c r="M11" s="66"/>
      <c r="N11" s="66"/>
      <c r="O11" s="66"/>
      <c r="P11" s="67"/>
      <c r="Q11" s="98"/>
      <c r="R11" s="68"/>
      <c r="S11" s="42" t="s">
        <v>134</v>
      </c>
      <c r="T11" s="42"/>
      <c r="U11" s="42"/>
      <c r="V11" s="42" t="s">
        <v>32</v>
      </c>
      <c r="W11" s="42"/>
      <c r="X11" s="42" t="s">
        <v>23</v>
      </c>
      <c r="Y11" s="42"/>
      <c r="Z11" s="21" t="s">
        <v>24</v>
      </c>
      <c r="AA11" s="21" t="s">
        <v>36</v>
      </c>
      <c r="AB11" s="31" t="s">
        <v>34</v>
      </c>
    </row>
    <row r="12" spans="2:28" x14ac:dyDescent="0.25">
      <c r="B12" s="86"/>
      <c r="C12" s="65"/>
      <c r="D12" s="65"/>
      <c r="E12" s="65"/>
      <c r="F12" s="65"/>
      <c r="G12" s="65"/>
      <c r="H12" s="77"/>
      <c r="I12" s="93"/>
      <c r="J12" s="69"/>
      <c r="K12" s="69"/>
      <c r="L12" s="59"/>
      <c r="M12" s="59"/>
      <c r="N12" s="70"/>
      <c r="O12" s="70"/>
      <c r="P12" s="71"/>
      <c r="Q12" s="94"/>
      <c r="R12" s="71"/>
      <c r="S12" s="34" t="s">
        <v>25</v>
      </c>
      <c r="T12" s="34"/>
      <c r="U12" s="34"/>
      <c r="V12" s="35"/>
      <c r="W12" s="35"/>
      <c r="X12" s="36"/>
      <c r="Y12" s="36"/>
      <c r="Z12" s="32"/>
      <c r="AA12" s="32"/>
      <c r="AB12" s="32"/>
    </row>
    <row r="13" spans="2:28" x14ac:dyDescent="0.25">
      <c r="B13" s="86"/>
      <c r="C13" s="65"/>
      <c r="D13" s="65"/>
      <c r="E13" s="65"/>
      <c r="F13" s="65"/>
      <c r="G13" s="65"/>
      <c r="H13" s="77"/>
      <c r="I13" s="93"/>
      <c r="J13" s="69"/>
      <c r="K13" s="69"/>
      <c r="L13" s="59"/>
      <c r="M13" s="59"/>
      <c r="N13" s="70"/>
      <c r="O13" s="70"/>
      <c r="P13" s="71"/>
      <c r="Q13" s="94"/>
      <c r="R13" s="71"/>
      <c r="S13" s="37" t="s">
        <v>26</v>
      </c>
      <c r="T13" s="37"/>
      <c r="U13" s="37"/>
      <c r="V13" s="35"/>
      <c r="W13" s="35"/>
      <c r="X13" s="36"/>
      <c r="Y13" s="36"/>
      <c r="Z13" s="32"/>
      <c r="AA13" s="32"/>
      <c r="AB13" s="32"/>
    </row>
    <row r="14" spans="2:28" x14ac:dyDescent="0.25">
      <c r="B14" s="86"/>
      <c r="C14" s="65"/>
      <c r="D14" s="65"/>
      <c r="E14" s="65"/>
      <c r="F14" s="65"/>
      <c r="G14" s="65"/>
      <c r="H14" s="77"/>
      <c r="I14" s="93"/>
      <c r="J14" s="69"/>
      <c r="K14" s="69"/>
      <c r="L14" s="59"/>
      <c r="M14" s="59"/>
      <c r="N14" s="70"/>
      <c r="O14" s="70"/>
      <c r="P14" s="71"/>
      <c r="Q14" s="94"/>
      <c r="R14" s="71"/>
      <c r="S14" s="48" t="s">
        <v>27</v>
      </c>
      <c r="T14" s="48"/>
      <c r="U14" s="48"/>
      <c r="V14" s="35"/>
      <c r="W14" s="35"/>
      <c r="X14" s="36"/>
      <c r="Y14" s="36"/>
      <c r="Z14" s="32"/>
      <c r="AA14" s="32"/>
      <c r="AB14" s="32"/>
    </row>
    <row r="15" spans="2:28" x14ac:dyDescent="0.25">
      <c r="B15" s="86"/>
      <c r="C15" s="65"/>
      <c r="D15" s="65"/>
      <c r="E15" s="65"/>
      <c r="F15" s="65"/>
      <c r="G15" s="65"/>
      <c r="H15" s="77"/>
      <c r="I15" s="93"/>
      <c r="J15" s="69"/>
      <c r="K15" s="69"/>
      <c r="L15" s="59"/>
      <c r="M15" s="59"/>
      <c r="N15" s="70"/>
      <c r="O15" s="70"/>
      <c r="P15" s="71"/>
      <c r="Q15" s="94"/>
      <c r="R15" s="71"/>
      <c r="S15" s="49" t="s">
        <v>28</v>
      </c>
      <c r="T15" s="49"/>
      <c r="U15" s="49"/>
      <c r="V15" s="35"/>
      <c r="W15" s="35"/>
      <c r="X15" s="36"/>
      <c r="Y15" s="36"/>
      <c r="Z15" s="32"/>
      <c r="AA15" s="32"/>
      <c r="AB15" s="32"/>
    </row>
    <row r="16" spans="2:28" x14ac:dyDescent="0.25">
      <c r="B16" s="86"/>
      <c r="C16" s="65"/>
      <c r="D16" s="65"/>
      <c r="E16" s="65"/>
      <c r="F16" s="65"/>
      <c r="G16" s="65"/>
      <c r="H16" s="78"/>
      <c r="I16" s="99"/>
      <c r="J16" s="73"/>
      <c r="K16" s="73"/>
      <c r="L16" s="73"/>
      <c r="M16" s="73"/>
      <c r="N16" s="73"/>
      <c r="O16" s="73"/>
      <c r="P16" s="73"/>
      <c r="Q16" s="100"/>
      <c r="R16" s="73"/>
      <c r="S16" s="7"/>
    </row>
    <row r="17" spans="2:29" x14ac:dyDescent="0.25">
      <c r="B17" s="86"/>
      <c r="C17" s="65"/>
      <c r="D17" s="65"/>
      <c r="E17" s="65"/>
      <c r="F17" s="65"/>
      <c r="G17" s="65"/>
      <c r="H17" s="77"/>
      <c r="I17" s="99"/>
      <c r="J17" s="72"/>
      <c r="K17" s="72"/>
      <c r="L17" s="73"/>
      <c r="M17" s="73"/>
      <c r="N17" s="73"/>
      <c r="O17" s="73"/>
      <c r="P17" s="73"/>
      <c r="Q17" s="100"/>
      <c r="R17" s="73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</row>
    <row r="18" spans="2:29" x14ac:dyDescent="0.25">
      <c r="B18" s="86"/>
      <c r="C18" s="65"/>
      <c r="D18" s="65"/>
      <c r="E18" s="65"/>
      <c r="F18" s="65"/>
      <c r="G18" s="65"/>
      <c r="H18" s="77"/>
      <c r="I18" s="101"/>
      <c r="J18" s="74"/>
      <c r="K18" s="74"/>
      <c r="L18" s="74"/>
      <c r="M18" s="74"/>
      <c r="N18" s="74"/>
      <c r="O18" s="74"/>
      <c r="P18" s="74"/>
      <c r="Q18" s="102"/>
      <c r="R18" s="74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</row>
    <row r="19" spans="2:29" x14ac:dyDescent="0.25">
      <c r="B19" s="86"/>
      <c r="C19" s="65"/>
      <c r="D19" s="65"/>
      <c r="E19" s="65"/>
      <c r="F19" s="65"/>
      <c r="G19" s="65"/>
      <c r="H19" s="77"/>
      <c r="I19" s="101"/>
      <c r="J19" s="74"/>
      <c r="K19" s="74"/>
      <c r="L19" s="74"/>
      <c r="M19" s="74"/>
      <c r="N19" s="74"/>
      <c r="O19" s="74"/>
      <c r="P19" s="74"/>
      <c r="Q19" s="102"/>
      <c r="R19" s="74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</row>
    <row r="20" spans="2:29" x14ac:dyDescent="0.25">
      <c r="B20" s="86"/>
      <c r="C20" s="65"/>
      <c r="D20" s="65"/>
      <c r="E20" s="65"/>
      <c r="F20" s="65"/>
      <c r="G20" s="65"/>
      <c r="H20" s="77"/>
      <c r="I20" s="101"/>
      <c r="J20" s="74"/>
      <c r="K20" s="74"/>
      <c r="L20" s="74"/>
      <c r="M20" s="74"/>
      <c r="N20" s="74"/>
      <c r="O20" s="74"/>
      <c r="P20" s="74"/>
      <c r="Q20" s="102"/>
      <c r="R20" s="74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</row>
    <row r="21" spans="2:29" x14ac:dyDescent="0.25">
      <c r="B21" s="86"/>
      <c r="C21" s="65"/>
      <c r="D21" s="65"/>
      <c r="E21" s="65"/>
      <c r="F21" s="65"/>
      <c r="G21" s="65"/>
      <c r="H21" s="77"/>
      <c r="I21" s="101"/>
      <c r="J21" s="74"/>
      <c r="K21" s="74"/>
      <c r="L21" s="74"/>
      <c r="M21" s="74"/>
      <c r="N21" s="74"/>
      <c r="O21" s="74"/>
      <c r="P21" s="74"/>
      <c r="Q21" s="102"/>
      <c r="R21" s="74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</row>
    <row r="22" spans="2:29" x14ac:dyDescent="0.25">
      <c r="B22" s="86"/>
      <c r="C22" s="65"/>
      <c r="D22" s="65"/>
      <c r="E22" s="65"/>
      <c r="F22" s="65"/>
      <c r="G22" s="65"/>
      <c r="H22" s="77"/>
      <c r="I22" s="101"/>
      <c r="J22" s="74"/>
      <c r="K22" s="74"/>
      <c r="L22" s="74"/>
      <c r="M22" s="74"/>
      <c r="N22" s="74"/>
      <c r="O22" s="74"/>
      <c r="P22" s="74"/>
      <c r="Q22" s="102"/>
      <c r="R22" s="74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</row>
    <row r="23" spans="2:29" x14ac:dyDescent="0.25">
      <c r="B23" s="87"/>
      <c r="C23" s="75"/>
      <c r="D23" s="75"/>
      <c r="E23" s="75"/>
      <c r="F23" s="75"/>
      <c r="G23" s="75"/>
      <c r="H23" s="79"/>
      <c r="I23" s="103"/>
      <c r="J23" s="104"/>
      <c r="K23" s="104"/>
      <c r="L23" s="104"/>
      <c r="M23" s="104"/>
      <c r="N23" s="104"/>
      <c r="O23" s="104"/>
      <c r="P23" s="104"/>
      <c r="Q23" s="105"/>
      <c r="R23" s="74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</row>
    <row r="24" spans="2:29" x14ac:dyDescent="0.25">
      <c r="B24" s="55" t="s">
        <v>132</v>
      </c>
      <c r="C24" s="80"/>
      <c r="D24" s="80"/>
      <c r="E24" s="80"/>
      <c r="F24" s="80"/>
      <c r="G24" s="80"/>
      <c r="H24" s="56"/>
      <c r="I24" s="82" t="s">
        <v>131</v>
      </c>
      <c r="J24" s="81"/>
      <c r="K24" s="81"/>
      <c r="L24" s="81"/>
      <c r="M24" s="81"/>
      <c r="N24" s="81"/>
      <c r="O24" s="81"/>
      <c r="P24" s="81"/>
      <c r="Q24" s="83"/>
      <c r="R24" s="74"/>
      <c r="S24" s="75"/>
      <c r="T24" s="75"/>
      <c r="U24" s="75"/>
      <c r="V24" s="75"/>
      <c r="W24" s="75"/>
      <c r="X24" s="65"/>
      <c r="Y24" s="65"/>
      <c r="Z24" s="75"/>
      <c r="AA24" s="75"/>
      <c r="AB24" s="75"/>
      <c r="AC24" s="65"/>
    </row>
    <row r="25" spans="2:29" x14ac:dyDescent="0.25"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109" t="s">
        <v>25</v>
      </c>
      <c r="T25" s="109"/>
      <c r="U25" s="109"/>
      <c r="V25" s="109"/>
      <c r="W25" s="109"/>
      <c r="X25" s="106"/>
      <c r="Y25" s="106"/>
      <c r="Z25" s="111" t="s">
        <v>26</v>
      </c>
      <c r="AA25" s="110"/>
      <c r="AB25" s="110"/>
      <c r="AC25" s="65"/>
    </row>
    <row r="26" spans="2:29" x14ac:dyDescent="0.25">
      <c r="B26" s="50" t="s">
        <v>0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64"/>
      <c r="S26" s="64"/>
      <c r="T26" s="64"/>
      <c r="U26" s="64"/>
      <c r="V26" s="65"/>
      <c r="W26" s="65"/>
      <c r="X26" s="65"/>
      <c r="Y26" s="65"/>
      <c r="Z26" s="65"/>
      <c r="AA26" s="65"/>
      <c r="AB26" s="65"/>
      <c r="AC26" s="65"/>
    </row>
    <row r="27" spans="2:29" x14ac:dyDescent="0.25">
      <c r="B27" s="107" t="s">
        <v>1</v>
      </c>
      <c r="C27" s="107" t="s">
        <v>2</v>
      </c>
      <c r="D27" s="107" t="s">
        <v>3</v>
      </c>
      <c r="E27" s="107" t="s">
        <v>4</v>
      </c>
      <c r="F27" s="107" t="s">
        <v>5</v>
      </c>
      <c r="G27" s="107" t="s">
        <v>6</v>
      </c>
      <c r="H27" s="107" t="s">
        <v>7</v>
      </c>
      <c r="I27" s="107" t="s">
        <v>8</v>
      </c>
      <c r="J27" s="107" t="s">
        <v>9</v>
      </c>
      <c r="K27" s="107" t="s">
        <v>10</v>
      </c>
      <c r="L27" s="107" t="s">
        <v>11</v>
      </c>
      <c r="M27" s="107" t="s">
        <v>12</v>
      </c>
      <c r="N27" s="107" t="s">
        <v>13</v>
      </c>
      <c r="O27" s="107" t="s">
        <v>14</v>
      </c>
      <c r="P27" s="107" t="s">
        <v>15</v>
      </c>
      <c r="Q27" s="107" t="s">
        <v>16</v>
      </c>
      <c r="R27" s="57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65"/>
    </row>
    <row r="28" spans="2:29" x14ac:dyDescent="0.25">
      <c r="B28" s="33">
        <v>2022</v>
      </c>
      <c r="C28" s="33" t="e">
        <f>VLOOKUP($B2,'P-Info'!B:J,5,FALSE)</f>
        <v>#N/A</v>
      </c>
      <c r="D28" s="1" t="e" cm="1">
        <f t="array" ref="D28">_xlfn.IFS(VLOOKUP($B2,'P-Info'!$B:$J,9,FALSE)="NAIA", VLOOKUP($B2,Table1[#All],4,FALSE),VLOOKUP($B2,'P-Info'!$B:$J,9,FALSE)="BR",VLOOKUP($B2,Table1[#All],14,FALSE))</f>
        <v>#N/A</v>
      </c>
      <c r="E28" s="1" t="e" cm="1">
        <f t="array" ref="E28">_xlfn.IFS(VLOOKUP($B2,'P-Info'!$B:$J,9,FALSE)="NAIA", VLOOKUP($B2,Table1[#All],5,FALSE),VLOOKUP($B2,'P-Info'!$B:$J,9,FALSE)="BR",VLOOKUP($B2,Table1[#All],15,FALSE))</f>
        <v>#N/A</v>
      </c>
      <c r="F28" s="1" t="e" cm="1">
        <f t="array" ref="F28">_xlfn.IFS(VLOOKUP($B2,'P-Info'!$B:$J,9,FALSE)="NAIA", VLOOKUP($B2,Table1[#All],6,FALSE),VLOOKUP($B2,'P-Info'!$B:$J,9,FALSE)="BR",VLOOKUP($B2,Table1[#All],9,FALSE))</f>
        <v>#N/A</v>
      </c>
      <c r="G28" s="1" t="e" cm="1">
        <f t="array" ref="G28">_xlfn.IFS(VLOOKUP($B2,'P-Info'!$B:$J,9,FALSE)="NAIA", VLOOKUP($B2,Table1[#All],7,FALSE),VLOOKUP($B2,'P-Info'!$B:$J,9,FALSE)="BR",VLOOKUP($B2,Table1[#All],10,FALSE))</f>
        <v>#N/A</v>
      </c>
      <c r="H28" s="1" t="e" cm="1">
        <f t="array" ref="H28">_xlfn.IFS(VLOOKUP($B2,'P-Info'!$B:$J,9,FALSE)="NAIA", VLOOKUP($B2,Table1[#All],8,FALSE),VLOOKUP($B2,'P-Info'!$B:$J,9,FALSE)="BR",VLOOKUP($B2,Table1[#All],19,FALSE))</f>
        <v>#N/A</v>
      </c>
      <c r="I28" s="1" t="e" cm="1">
        <f t="array" ref="I28">_xlfn.IFS(VLOOKUP($B2,'P-Info'!$B:$J,9,FALSE)="NAIA", VLOOKUP($B2,Table1[#All],10,FALSE),VLOOKUP($B2,'P-Info'!$B:$J,9,FALSE)="BR",VLOOKUP($B2,Table1[#All],20,FALSE))</f>
        <v>#N/A</v>
      </c>
      <c r="J28" s="1" t="e" cm="1">
        <f t="array" ref="J28">_xlfn.IFS(VLOOKUP($B2,'P-Info'!$B:$J,9,FALSE)="NAIA", VLOOKUP($B2,Table1[#All],11,FALSE),VLOOKUP($B2,'P-Info'!$B:$J,9,FALSE)="BR",VLOOKUP($B2,Table1[#All],21,FALSE))</f>
        <v>#N/A</v>
      </c>
      <c r="K28" s="1" t="e" cm="1">
        <f t="array" ref="K28">_xlfn.IFS(VLOOKUP($B2,'P-Info'!$B:$J,9,FALSE)="NAIA", VLOOKUP($B2,Table1[#All],12,FALSE),VLOOKUP($B2,'P-Info'!$B:$J,9,FALSE)="BR",VLOOKUP($B2,Table1[#All],22,FALSE))</f>
        <v>#N/A</v>
      </c>
      <c r="L28" s="1" t="e" cm="1">
        <f t="array" ref="L28">_xlfn.IFS(VLOOKUP($B2,'P-Info'!$B:$J,9,FALSE)="NAIA", VLOOKUP($B2,Table1[#All],13,FALSE),VLOOKUP($B2,'P-Info'!$B:$J,9,FALSE)="BR",VLOOKUP($B2,Table1[#All],23,FALSE))</f>
        <v>#N/A</v>
      </c>
      <c r="M28" s="1" t="e" cm="1">
        <f t="array" ref="M28">_xlfn.IFS(VLOOKUP($B2,'P-Info'!$B:$J,9,FALSE)="NAIA", VLOOKUP($B2,Table1[#All],17,FALSE),VLOOKUP($B2,'P-Info'!$B:$J,9,FALSE)="BR",VLOOKUP($B2,Table1[#All],24,FALSE))</f>
        <v>#N/A</v>
      </c>
      <c r="N28" s="1" t="e" cm="1">
        <f t="array" ref="N28">_xlfn.IFS(VLOOKUP($B2,'P-Info'!$B:$J,9,FALSE)="NAIA", VLOOKUP($B2,Table1[#All],14,FALSE),VLOOKUP($B2,'P-Info'!$B:$J,9,FALSE)="BR",VLOOKUP($B2,Table1[#All],25,FALSE))</f>
        <v>#N/A</v>
      </c>
      <c r="O28" s="1" t="e" cm="1">
        <f t="array" ref="O28">_xlfn.IFS(VLOOKUP($B2,'P-Info'!$B:$J,9,FALSE)="NAIA", VLOOKUP($B2,Table1[#All],15,FALSE),VLOOKUP($B2,'P-Info'!$B:$J,9,FALSE)="BR",VLOOKUP($B2,Table1[#All],27,FALSE))</f>
        <v>#N/A</v>
      </c>
      <c r="P28" s="8" t="e" cm="1">
        <f t="array" ref="P28">_xlfn.IFS(VLOOKUP($B2,'P-Info'!$B:$J,9,FALSE)="NAIA", VLOOKUP($B2,Table1[#All],18,FALSE),VLOOKUP($B2,'P-Info'!$B:$J,9,FALSE)="BR",VLOOKUP($B2,Table1[#All],12,FALSE))</f>
        <v>#N/A</v>
      </c>
      <c r="Q28" s="8" t="e" cm="1">
        <f t="array" ref="Q28">_xlfn.IFS(VLOOKUP($B2,'P-Info'!$B:$J,9,FALSE)="NAIA", (J28+N28)/I28,VLOOKUP($B2,'P-Info'!$B:$J,9,FALSE)="BR",VLOOKUP($B2,Table1[#All],32,FALSE))</f>
        <v>#N/A</v>
      </c>
      <c r="R28" s="62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65"/>
    </row>
    <row r="29" spans="2:29" x14ac:dyDescent="0.25">
      <c r="R29" s="65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</row>
    <row r="30" spans="2:29" x14ac:dyDescent="0.25">
      <c r="B30" s="50" t="s">
        <v>130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64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</row>
    <row r="31" spans="2:29" x14ac:dyDescent="0.25">
      <c r="B31" s="107" t="s">
        <v>1</v>
      </c>
      <c r="C31" s="107" t="s">
        <v>2</v>
      </c>
      <c r="D31" s="107" t="s">
        <v>3</v>
      </c>
      <c r="E31" s="107" t="s">
        <v>4</v>
      </c>
      <c r="F31" s="107" t="s">
        <v>5</v>
      </c>
      <c r="G31" s="107" t="s">
        <v>6</v>
      </c>
      <c r="H31" s="107" t="s">
        <v>7</v>
      </c>
      <c r="I31" s="107" t="s">
        <v>8</v>
      </c>
      <c r="J31" s="107" t="s">
        <v>9</v>
      </c>
      <c r="K31" s="107" t="s">
        <v>10</v>
      </c>
      <c r="L31" s="107" t="s">
        <v>11</v>
      </c>
      <c r="M31" s="107" t="s">
        <v>12</v>
      </c>
      <c r="N31" s="107" t="s">
        <v>13</v>
      </c>
      <c r="O31" s="107" t="s">
        <v>14</v>
      </c>
      <c r="P31" s="107" t="s">
        <v>15</v>
      </c>
      <c r="Q31" s="107" t="s">
        <v>16</v>
      </c>
      <c r="R31" s="57"/>
      <c r="S31" s="108"/>
      <c r="T31" s="108"/>
      <c r="U31" s="108"/>
      <c r="V31" s="108"/>
      <c r="W31" s="108"/>
      <c r="X31" s="106"/>
      <c r="Y31" s="106"/>
      <c r="Z31" s="108"/>
      <c r="AA31" s="108"/>
      <c r="AB31" s="108"/>
    </row>
    <row r="32" spans="2:29" x14ac:dyDescent="0.25">
      <c r="B32" s="33">
        <v>2022</v>
      </c>
      <c r="C32" s="33" t="e">
        <f>VLOOKUP($B2 &amp; "NWL" &amp; "NWL",'P-Info'!B:J,5,FALSE)</f>
        <v>#N/A</v>
      </c>
      <c r="D32" s="1" t="e" cm="1">
        <f t="array" ref="D32">_xlfn.IFS(VLOOKUP($B2 &amp; "NWL",'P-Info'!$B:$J,9,FALSE)="NAIA", VLOOKUP($B2 &amp; "NWL",Table1[#All],4,FALSE),VLOOKUP($B2 &amp; "NWL",'P-Info'!$B:$J,9,FALSE)="BR",VLOOKUP($B2 &amp; "NWL",Table1[#All],14,FALSE))</f>
        <v>#N/A</v>
      </c>
      <c r="E32" s="1" t="e" cm="1">
        <f t="array" ref="E32">_xlfn.IFS(VLOOKUP($B2 &amp; "NWL",'P-Info'!$B:$J,9,FALSE)="NAIA", VLOOKUP($B2 &amp; "NWL",Table1[#All],5,FALSE),VLOOKUP($B2 &amp; "NWL",'P-Info'!$B:$J,9,FALSE)="BR",VLOOKUP($B2 &amp; "NWL",Table1[#All],15,FALSE))</f>
        <v>#N/A</v>
      </c>
      <c r="F32" s="1" t="e" cm="1">
        <f t="array" ref="F32">_xlfn.IFS(VLOOKUP($B2 &amp; "NWL",'P-Info'!$B:$J,9,FALSE)="NAIA", VLOOKUP($B2 &amp; "NWL",Table1[#All],6,FALSE),VLOOKUP($B2 &amp; "NWL",'P-Info'!$B:$J,9,FALSE)="BR",VLOOKUP($B2 &amp; "NWL",Table1[#All],9,FALSE))</f>
        <v>#N/A</v>
      </c>
      <c r="G32" s="1" t="e" cm="1">
        <f t="array" ref="G32">_xlfn.IFS(VLOOKUP($B2 &amp; "NWL",'P-Info'!$B:$J,9,FALSE)="NAIA", VLOOKUP($B2 &amp; "NWL",Table1[#All],7,FALSE),VLOOKUP($B2 &amp; "NWL",'P-Info'!$B:$J,9,FALSE)="BR",VLOOKUP($B2 &amp; "NWL",Table1[#All],10,FALSE))</f>
        <v>#N/A</v>
      </c>
      <c r="H32" s="1" t="e" cm="1">
        <f t="array" ref="H32">_xlfn.IFS(VLOOKUP($B2 &amp; "NWL",'P-Info'!$B:$J,9,FALSE)="NAIA", VLOOKUP($B2 &amp; "NWL",Table1[#All],8,FALSE),VLOOKUP($B2 &amp; "NWL",'P-Info'!$B:$J,9,FALSE)="BR",VLOOKUP($B2 &amp; "NWL",Table1[#All],19,FALSE))</f>
        <v>#N/A</v>
      </c>
      <c r="I32" s="1" t="e" cm="1">
        <f t="array" ref="I32">_xlfn.IFS(VLOOKUP($B2 &amp; "NWL",'P-Info'!$B:$J,9,FALSE)="NAIA", VLOOKUP($B2 &amp; "NWL",Table1[#All],10,FALSE),VLOOKUP($B2 &amp; "NWL",'P-Info'!$B:$J,9,FALSE)="BR",VLOOKUP($B2 &amp; "NWL",Table1[#All],20,FALSE))</f>
        <v>#N/A</v>
      </c>
      <c r="J32" s="1" t="e" cm="1">
        <f t="array" ref="J32">_xlfn.IFS(VLOOKUP($B2 &amp; "NWL",'P-Info'!$B:$J,9,FALSE)="NAIA", VLOOKUP($B2 &amp; "NWL",Table1[#All],11,FALSE),VLOOKUP($B2 &amp; "NWL",'P-Info'!$B:$J,9,FALSE)="BR",VLOOKUP($B2 &amp; "NWL",Table1[#All],21,FALSE))</f>
        <v>#N/A</v>
      </c>
      <c r="K32" s="1" t="e" cm="1">
        <f t="array" ref="K32">_xlfn.IFS(VLOOKUP($B2 &amp; "NWL",'P-Info'!$B:$J,9,FALSE)="NAIA", VLOOKUP($B2 &amp; "NWL",Table1[#All],12,FALSE),VLOOKUP($B2 &amp; "NWL",'P-Info'!$B:$J,9,FALSE)="BR",VLOOKUP($B2 &amp; "NWL",Table1[#All],22,FALSE))</f>
        <v>#N/A</v>
      </c>
      <c r="L32" s="1" t="e" cm="1">
        <f t="array" ref="L32">_xlfn.IFS(VLOOKUP($B2 &amp; "NWL",'P-Info'!$B:$J,9,FALSE)="NAIA", VLOOKUP($B2 &amp; "NWL",Table1[#All],13,FALSE),VLOOKUP($B2 &amp; "NWL",'P-Info'!$B:$J,9,FALSE)="BR",VLOOKUP($B2 &amp; "NWL",Table1[#All],23,FALSE))</f>
        <v>#N/A</v>
      </c>
      <c r="M32" s="1" t="e" cm="1">
        <f t="array" ref="M32">_xlfn.IFS(VLOOKUP($B2 &amp; "NWL",'P-Info'!$B:$J,9,FALSE)="NAIA", VLOOKUP($B2 &amp; "NWL",Table1[#All],17,FALSE),VLOOKUP($B2 &amp; "NWL",'P-Info'!$B:$J,9,FALSE)="BR",VLOOKUP($B2 &amp; "NWL",Table1[#All],24,FALSE))</f>
        <v>#N/A</v>
      </c>
      <c r="N32" s="1" t="e" cm="1">
        <f t="array" ref="N32">_xlfn.IFS(VLOOKUP($B2 &amp; "NWL",'P-Info'!$B:$J,9,FALSE)="NAIA", VLOOKUP($B2 &amp; "NWL",Table1[#All],14,FALSE),VLOOKUP($B2 &amp; "NWL",'P-Info'!$B:$J,9,FALSE)="BR",VLOOKUP($B2 &amp; "NWL",Table1[#All],25,FALSE))</f>
        <v>#N/A</v>
      </c>
      <c r="O32" s="1" t="e" cm="1">
        <f t="array" ref="O32">_xlfn.IFS(VLOOKUP($B2 &amp; "NWL",'P-Info'!$B:$J,9,FALSE)="NAIA", VLOOKUP($B2 &amp; "NWL",Table1[#All],15,FALSE),VLOOKUP($B2 &amp; "NWL",'P-Info'!$B:$J,9,FALSE)="BR",VLOOKUP($B2 &amp; "NWL",Table1[#All],27,FALSE))</f>
        <v>#N/A</v>
      </c>
      <c r="P32" s="8" t="e" cm="1">
        <f t="array" ref="P32">_xlfn.IFS(VLOOKUP($B2 &amp; "NWL",'P-Info'!$B:$J,9,FALSE)="NAIA", VLOOKUP($B2 &amp; "NWL",Table1[#All],18,FALSE),VLOOKUP($B2 &amp; "NWL",'P-Info'!$B:$J,9,FALSE)="BR",VLOOKUP($B2 &amp; "NWL",Table1[#All],12,FALSE))</f>
        <v>#N/A</v>
      </c>
      <c r="Q32" s="8" t="e" cm="1">
        <f t="array" ref="Q32">_xlfn.IFS(VLOOKUP($B2 &amp; "NWL",'P-Info'!$B:$J,9,FALSE)="NAIA", (J32+N32)/I32,VLOOKUP($B2 &amp; "NWL",'P-Info'!$B:$J,9,FALSE)="BR",VLOOKUP($B2 &amp; "NWL",Table1[#All],32,FALSE))</f>
        <v>#N/A</v>
      </c>
      <c r="R32" s="62"/>
      <c r="S32" s="112" t="s">
        <v>27</v>
      </c>
      <c r="T32" s="112"/>
      <c r="U32" s="112"/>
      <c r="V32" s="112"/>
      <c r="W32" s="112"/>
      <c r="X32" s="106"/>
      <c r="Y32" s="106"/>
      <c r="Z32" s="114" t="s">
        <v>28</v>
      </c>
      <c r="AA32" s="114"/>
      <c r="AB32" s="114"/>
    </row>
    <row r="33" spans="2:28" x14ac:dyDescent="0.25">
      <c r="B33" s="57"/>
      <c r="C33" s="57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3"/>
      <c r="R33" s="62"/>
      <c r="S33" s="124"/>
      <c r="T33" s="124"/>
      <c r="U33" s="124"/>
      <c r="V33" s="124"/>
      <c r="W33" s="124"/>
      <c r="X33" s="106"/>
      <c r="Y33" s="106"/>
      <c r="Z33" s="113"/>
      <c r="AA33" s="113"/>
      <c r="AB33" s="113"/>
    </row>
    <row r="34" spans="2:28" x14ac:dyDescent="0.25">
      <c r="B34" s="57"/>
      <c r="C34" s="57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3"/>
      <c r="R34" s="62"/>
      <c r="S34" s="124"/>
      <c r="T34" s="124"/>
      <c r="U34" s="124"/>
      <c r="V34" s="124"/>
      <c r="W34" s="124"/>
      <c r="X34" s="106"/>
      <c r="Y34" s="106"/>
      <c r="Z34" s="113"/>
      <c r="AA34" s="113"/>
      <c r="AB34" s="113"/>
    </row>
    <row r="35" spans="2:28" x14ac:dyDescent="0.25">
      <c r="B35" s="57"/>
      <c r="C35" s="57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3"/>
      <c r="R35" s="62"/>
      <c r="S35" s="124"/>
      <c r="T35" s="124"/>
      <c r="U35" s="124"/>
      <c r="V35" s="124"/>
      <c r="W35" s="124"/>
      <c r="X35" s="106"/>
      <c r="Y35" s="106"/>
      <c r="Z35" s="113"/>
      <c r="AA35" s="113"/>
      <c r="AB35" s="113"/>
    </row>
    <row r="36" spans="2:28" x14ac:dyDescent="0.25">
      <c r="B36" s="57"/>
      <c r="C36" s="57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3"/>
      <c r="R36" s="62"/>
      <c r="S36" s="124"/>
      <c r="T36" s="124"/>
      <c r="U36" s="124"/>
      <c r="V36" s="124"/>
      <c r="W36" s="124"/>
      <c r="X36" s="106"/>
      <c r="Y36" s="106"/>
      <c r="Z36" s="113"/>
      <c r="AA36" s="113"/>
      <c r="AB36" s="113"/>
    </row>
    <row r="37" spans="2:28" x14ac:dyDescent="0.25">
      <c r="B37" s="55" t="s">
        <v>22</v>
      </c>
      <c r="C37" s="56"/>
      <c r="R37" s="65"/>
    </row>
    <row r="38" spans="2:28" x14ac:dyDescent="0.25">
      <c r="B38" s="115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7"/>
    </row>
    <row r="39" spans="2:28" x14ac:dyDescent="0.25">
      <c r="B39" s="118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20"/>
    </row>
    <row r="40" spans="2:28" x14ac:dyDescent="0.25">
      <c r="B40" s="118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20"/>
    </row>
    <row r="41" spans="2:28" x14ac:dyDescent="0.25">
      <c r="B41" s="118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20"/>
    </row>
    <row r="42" spans="2:28" x14ac:dyDescent="0.25">
      <c r="B42" s="121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3"/>
    </row>
  </sheetData>
  <mergeCells count="78">
    <mergeCell ref="S32:W32"/>
    <mergeCell ref="Z32:AB32"/>
    <mergeCell ref="B37:C37"/>
    <mergeCell ref="B38:AB42"/>
    <mergeCell ref="B24:H24"/>
    <mergeCell ref="I24:Q24"/>
    <mergeCell ref="S25:W25"/>
    <mergeCell ref="Z25:AB25"/>
    <mergeCell ref="B26:Q26"/>
    <mergeCell ref="B30:Q30"/>
    <mergeCell ref="I15:K15"/>
    <mergeCell ref="L15:M15"/>
    <mergeCell ref="N15:O15"/>
    <mergeCell ref="S15:U15"/>
    <mergeCell ref="V15:W15"/>
    <mergeCell ref="X15:Y15"/>
    <mergeCell ref="I14:K14"/>
    <mergeCell ref="L14:M14"/>
    <mergeCell ref="N14:O14"/>
    <mergeCell ref="S14:U14"/>
    <mergeCell ref="V14:W14"/>
    <mergeCell ref="X14:Y14"/>
    <mergeCell ref="I13:K13"/>
    <mergeCell ref="L13:M13"/>
    <mergeCell ref="N13:O13"/>
    <mergeCell ref="S13:U13"/>
    <mergeCell ref="V13:W13"/>
    <mergeCell ref="X13:Y13"/>
    <mergeCell ref="I12:K12"/>
    <mergeCell ref="L12:M12"/>
    <mergeCell ref="N12:O12"/>
    <mergeCell ref="S12:U12"/>
    <mergeCell ref="V12:W12"/>
    <mergeCell ref="X12:Y12"/>
    <mergeCell ref="I11:K11"/>
    <mergeCell ref="L11:M11"/>
    <mergeCell ref="N11:O11"/>
    <mergeCell ref="S11:U11"/>
    <mergeCell ref="V11:W11"/>
    <mergeCell ref="X11:Y11"/>
    <mergeCell ref="I10:K10"/>
    <mergeCell ref="L10:M10"/>
    <mergeCell ref="N10:O10"/>
    <mergeCell ref="S10:U10"/>
    <mergeCell ref="V10:W10"/>
    <mergeCell ref="X10:Y10"/>
    <mergeCell ref="I9:K9"/>
    <mergeCell ref="L9:M9"/>
    <mergeCell ref="N9:O9"/>
    <mergeCell ref="S9:U9"/>
    <mergeCell ref="V9:W9"/>
    <mergeCell ref="X9:Y9"/>
    <mergeCell ref="I8:K8"/>
    <mergeCell ref="L8:M8"/>
    <mergeCell ref="N8:O8"/>
    <mergeCell ref="S8:U8"/>
    <mergeCell ref="V8:W8"/>
    <mergeCell ref="X8:Y8"/>
    <mergeCell ref="I7:K7"/>
    <mergeCell ref="L7:M7"/>
    <mergeCell ref="N7:O7"/>
    <mergeCell ref="S7:U7"/>
    <mergeCell ref="V7:W7"/>
    <mergeCell ref="X7:Y7"/>
    <mergeCell ref="I6:K6"/>
    <mergeCell ref="L6:M6"/>
    <mergeCell ref="N6:O6"/>
    <mergeCell ref="S6:U6"/>
    <mergeCell ref="V6:W6"/>
    <mergeCell ref="X6:Y6"/>
    <mergeCell ref="B2:H3"/>
    <mergeCell ref="Y2:Z3"/>
    <mergeCell ref="AA2:AB3"/>
    <mergeCell ref="L5:M5"/>
    <mergeCell ref="N5:O5"/>
    <mergeCell ref="S5:U5"/>
    <mergeCell ref="V5:W5"/>
    <mergeCell ref="X5:Y5"/>
  </mergeCells>
  <printOptions verticalCentered="1"/>
  <pageMargins left="0.25" right="0.25" top="0.25" bottom="0.25" header="0.3" footer="0.3"/>
  <pageSetup scale="8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7D58-BCC6-4111-813F-7F8019209096}">
  <dimension ref="B2:S75"/>
  <sheetViews>
    <sheetView workbookViewId="0">
      <selection sqref="A1:XFD1048576"/>
    </sheetView>
  </sheetViews>
  <sheetFormatPr defaultRowHeight="15" x14ac:dyDescent="0.25"/>
  <cols>
    <col min="2" max="2" width="5.42578125" customWidth="1"/>
    <col min="3" max="3" width="18.28515625" customWidth="1"/>
    <col min="4" max="8" width="4.42578125" customWidth="1"/>
    <col min="9" max="9" width="5.42578125" customWidth="1"/>
    <col min="10" max="15" width="4.42578125" customWidth="1"/>
    <col min="16" max="19" width="7.7109375" customWidth="1"/>
  </cols>
  <sheetData>
    <row r="2" spans="2:19" ht="23.25" x14ac:dyDescent="0.25">
      <c r="B2" s="38" t="s">
        <v>125</v>
      </c>
      <c r="C2" s="38"/>
      <c r="D2" s="38"/>
      <c r="E2" s="38"/>
      <c r="F2" s="38"/>
      <c r="G2" s="38"/>
      <c r="H2" s="38"/>
      <c r="I2" s="3"/>
      <c r="J2" s="3"/>
      <c r="K2" s="3"/>
      <c r="L2" s="3"/>
      <c r="M2" s="3"/>
      <c r="N2" s="3"/>
      <c r="O2" s="3"/>
      <c r="P2" s="40" t="e">
        <f>VLOOKUP($B2,'B-Info'!B:J,8,FALSE)</f>
        <v>#N/A</v>
      </c>
      <c r="Q2" s="40"/>
      <c r="R2" s="40" t="e">
        <f>"# " &amp; VLOOKUP($B2,CHOOSE({2,1},'B-Info'!A:A, 'B-Info'!B:B),2, FALSE)</f>
        <v>#N/A</v>
      </c>
      <c r="S2" s="40"/>
    </row>
    <row r="3" spans="2:19" ht="23.25" x14ac:dyDescent="0.25">
      <c r="B3" s="39"/>
      <c r="C3" s="39"/>
      <c r="D3" s="39"/>
      <c r="E3" s="39"/>
      <c r="F3" s="39"/>
      <c r="G3" s="39"/>
      <c r="H3" s="39"/>
      <c r="I3" s="4"/>
      <c r="J3" s="4"/>
      <c r="K3" s="4"/>
      <c r="L3" s="4"/>
      <c r="M3" s="4"/>
      <c r="N3" s="4"/>
      <c r="O3" s="4"/>
      <c r="P3" s="41"/>
      <c r="Q3" s="41"/>
      <c r="R3" s="41"/>
      <c r="S3" s="41"/>
    </row>
    <row r="4" spans="2:19" x14ac:dyDescent="0.25">
      <c r="C4" s="26"/>
    </row>
    <row r="5" spans="2:19" x14ac:dyDescent="0.25">
      <c r="I5" s="13"/>
      <c r="J5" s="13"/>
      <c r="K5" s="13"/>
      <c r="L5" s="13"/>
      <c r="M5" s="13"/>
      <c r="N5" s="13"/>
      <c r="O5" s="13"/>
      <c r="P5" s="15"/>
      <c r="Q5" s="16"/>
      <c r="R5" s="15"/>
    </row>
    <row r="6" spans="2:19" x14ac:dyDescent="0.25">
      <c r="I6" s="13"/>
      <c r="J6" s="13"/>
      <c r="K6" s="13"/>
      <c r="L6" s="17"/>
      <c r="M6" s="17"/>
      <c r="N6" s="17"/>
      <c r="O6" s="17"/>
      <c r="P6" s="18"/>
      <c r="Q6" s="19"/>
      <c r="R6" s="19"/>
    </row>
    <row r="7" spans="2:19" x14ac:dyDescent="0.25">
      <c r="I7" s="13"/>
      <c r="J7" s="13"/>
      <c r="K7" s="13"/>
      <c r="L7" s="17"/>
      <c r="M7" s="17"/>
      <c r="N7" s="17"/>
      <c r="O7" s="17"/>
      <c r="P7" s="18"/>
      <c r="Q7" s="19"/>
      <c r="R7" s="19"/>
    </row>
    <row r="8" spans="2:19" x14ac:dyDescent="0.25">
      <c r="I8" s="13"/>
      <c r="J8" s="13"/>
      <c r="K8" s="13"/>
      <c r="L8" s="17"/>
      <c r="M8" s="17"/>
      <c r="N8" s="17"/>
      <c r="O8" s="17"/>
      <c r="P8" s="18"/>
      <c r="Q8" s="19"/>
      <c r="R8" s="19"/>
    </row>
    <row r="9" spans="2:19" x14ac:dyDescent="0.25">
      <c r="I9" s="13"/>
      <c r="J9" s="13"/>
      <c r="K9" s="13"/>
      <c r="L9" s="17"/>
      <c r="M9" s="17"/>
      <c r="N9" s="17"/>
      <c r="O9" s="17"/>
      <c r="P9" s="18"/>
      <c r="Q9" s="19"/>
      <c r="R9" s="19"/>
    </row>
    <row r="10" spans="2:19" x14ac:dyDescent="0.25">
      <c r="I10" s="13"/>
      <c r="J10" s="13"/>
      <c r="K10" s="13"/>
      <c r="L10" s="17"/>
      <c r="M10" s="17"/>
      <c r="N10" s="17"/>
      <c r="O10" s="17"/>
      <c r="P10" s="18"/>
      <c r="Q10" s="19"/>
      <c r="R10" s="19"/>
    </row>
    <row r="11" spans="2:19" x14ac:dyDescent="0.25">
      <c r="I11" s="13"/>
      <c r="J11" s="13"/>
      <c r="K11" s="13"/>
      <c r="L11" s="17"/>
      <c r="M11" s="17"/>
      <c r="N11" s="17"/>
      <c r="O11" s="17"/>
      <c r="P11" s="18"/>
      <c r="Q11" s="19"/>
      <c r="R11" s="19"/>
    </row>
    <row r="12" spans="2:19" x14ac:dyDescent="0.25">
      <c r="H12" s="7"/>
      <c r="I12" s="13"/>
      <c r="J12" s="20"/>
      <c r="K12" s="20"/>
      <c r="L12" s="20"/>
      <c r="M12" s="20"/>
      <c r="N12" s="20"/>
      <c r="O12" s="20"/>
      <c r="P12" s="20"/>
      <c r="Q12" s="20"/>
      <c r="R12" s="20"/>
    </row>
    <row r="13" spans="2:19" x14ac:dyDescent="0.25">
      <c r="I13" s="20"/>
      <c r="J13" s="13"/>
      <c r="K13" s="13"/>
      <c r="L13" s="20"/>
      <c r="M13" s="20"/>
      <c r="N13" s="20"/>
      <c r="O13" s="20"/>
      <c r="P13" s="20"/>
      <c r="Q13" s="20"/>
      <c r="R13" s="20"/>
    </row>
    <row r="14" spans="2:19" x14ac:dyDescent="0.25">
      <c r="I14" s="13"/>
      <c r="J14" s="13"/>
      <c r="K14" s="13"/>
      <c r="L14" s="20"/>
      <c r="M14" s="20"/>
      <c r="N14" s="20"/>
      <c r="O14" s="20"/>
      <c r="P14" s="20"/>
      <c r="Q14" s="20"/>
      <c r="R14" s="20"/>
    </row>
    <row r="15" spans="2:19" x14ac:dyDescent="0.25"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2:19" x14ac:dyDescent="0.25"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2:19" x14ac:dyDescent="0.25"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9" x14ac:dyDescent="0.25"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2:19" x14ac:dyDescent="0.25"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19" x14ac:dyDescent="0.25"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2:19" x14ac:dyDescent="0.25">
      <c r="B21" s="7"/>
      <c r="C21" s="7"/>
      <c r="D21" s="7"/>
      <c r="E21" s="7"/>
      <c r="F21" s="7"/>
      <c r="G21" s="7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19" x14ac:dyDescent="0.25"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2:19" x14ac:dyDescent="0.25">
      <c r="B23" s="51" t="s">
        <v>35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</row>
    <row r="24" spans="2:19" x14ac:dyDescent="0.25">
      <c r="C24" s="26"/>
    </row>
    <row r="25" spans="2:19" x14ac:dyDescent="0.25">
      <c r="B25" s="50" t="s">
        <v>0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2:19" x14ac:dyDescent="0.25">
      <c r="B26" s="25" t="s">
        <v>1</v>
      </c>
      <c r="C26" s="25" t="s">
        <v>2</v>
      </c>
      <c r="D26" s="25" t="s">
        <v>3</v>
      </c>
      <c r="E26" s="25" t="s">
        <v>85</v>
      </c>
      <c r="F26" s="25" t="s">
        <v>10</v>
      </c>
      <c r="G26" s="25" t="s">
        <v>9</v>
      </c>
      <c r="H26" s="25" t="s">
        <v>86</v>
      </c>
      <c r="I26" s="25" t="s">
        <v>87</v>
      </c>
      <c r="J26" s="25" t="s">
        <v>12</v>
      </c>
      <c r="K26" s="25" t="s">
        <v>88</v>
      </c>
      <c r="L26" s="25" t="s">
        <v>89</v>
      </c>
      <c r="M26" s="25" t="s">
        <v>90</v>
      </c>
      <c r="N26" s="25" t="s">
        <v>13</v>
      </c>
      <c r="O26" s="25" t="s">
        <v>14</v>
      </c>
      <c r="P26" s="25" t="s">
        <v>91</v>
      </c>
      <c r="Q26" s="25" t="s">
        <v>92</v>
      </c>
      <c r="R26" s="25" t="s">
        <v>93</v>
      </c>
      <c r="S26" s="25" t="s">
        <v>94</v>
      </c>
    </row>
    <row r="27" spans="2:19" x14ac:dyDescent="0.25">
      <c r="B27" s="25">
        <v>2022</v>
      </c>
      <c r="C27" s="25" t="e">
        <f>VLOOKUP($B2,'B-Info'!B:J,5,FALSE)</f>
        <v>#N/A</v>
      </c>
      <c r="D27" s="25" t="e" cm="1">
        <f t="array" ref="D27">_xlfn.IFS(VLOOKUP($B2,'B-Info'!$B:$J,9,FALSE)="NAIA",VLOOKUP($B2,Table2[#All],4,FALSE),VLOOKUP($B2,'B-Info'!$B:$J,9,FALSE)="BR",VLOOKUP($B2,Table2[#All],9,FALSE))</f>
        <v>#N/A</v>
      </c>
      <c r="E27" s="25" t="e" cm="1">
        <f t="array" ref="E27">_xlfn.IFS(VLOOKUP($B2,'B-Info'!$B:$J,9,FALSE)="NAIA",VLOOKUP($B2,Table2[#All],5,FALSE),VLOOKUP($B2,'B-Info'!$B:$J,9,FALSE)="BR",VLOOKUP($B2,Table2[#All],11,FALSE))</f>
        <v>#N/A</v>
      </c>
      <c r="F27" s="25" t="e" cm="1">
        <f t="array" ref="F27">_xlfn.IFS(VLOOKUP($B2,'B-Info'!$B:$J,9,FALSE)="NAIA",VLOOKUP($B2,Table2[#All],6,FALSE),VLOOKUP($B2,'B-Info'!$B:$J,9,FALSE)="BR",VLOOKUP($B2,Table2[#All],12,FALSE))</f>
        <v>#N/A</v>
      </c>
      <c r="G27" s="25" t="e" cm="1">
        <f t="array" ref="G27">_xlfn.IFS(VLOOKUP($B2,'B-Info'!$B:$J,9,FALSE)="NAIA",VLOOKUP($B2,Table2[#All],7,FALSE),VLOOKUP($B2,'B-Info'!$B:$J,9,FALSE)="BR",VLOOKUP($B2,Table2[#All],13,FALSE))</f>
        <v>#N/A</v>
      </c>
      <c r="H27" s="25" t="e" cm="1">
        <f t="array" ref="H27">_xlfn.IFS(VLOOKUP($B2,'B-Info'!$B:$J,9,FALSE)="NAIA",VLOOKUP($B2,Table2[#All],8,FALSE),VLOOKUP($B2,'B-Info'!$B:$J,9,FALSE)="BR",VLOOKUP($B2,Table2[#All],14,FALSE))</f>
        <v>#N/A</v>
      </c>
      <c r="I27" s="25" t="e" cm="1">
        <f t="array" ref="I27">_xlfn.IFS(VLOOKUP($B2,'B-Info'!$B:$J,9,FALSE)="NAIA",VLOOKUP($B2,Table2[#All],9,FALSE),VLOOKUP($B2,'B-Info'!$B:$J,9,FALSE)="BR",VLOOKUP($B2,Table2[#All],15,FALSE))</f>
        <v>#N/A</v>
      </c>
      <c r="J27" s="25" t="e" cm="1">
        <f t="array" ref="J27">_xlfn.IFS(VLOOKUP($B2,'B-Info'!$B:$J,9,FALSE)="NAIA",VLOOKUP($B2,Table2[#All],10,FALSE),VLOOKUP($B2,'B-Info'!$B:$J,9,FALSE)="BR",VLOOKUP($B2,Table2[#All],16,FALSE))</f>
        <v>#N/A</v>
      </c>
      <c r="K27" s="25" t="e" cm="1">
        <f t="array" ref="K27">_xlfn.IFS(VLOOKUP($B2,'B-Info'!$B:$J,9,FALSE)="NAIA",VLOOKUP($B2,Table2[#All],11,FALSE),VLOOKUP($B2,'B-Info'!$B:$J,9,FALSE)="BR",VLOOKUP($B2,Table2[#All],17,FALSE))</f>
        <v>#N/A</v>
      </c>
      <c r="L27" s="25" t="e" cm="1">
        <f t="array" ref="L27">_xlfn.IFS(VLOOKUP($B2,'B-Info'!$B:$J,9,FALSE)="NAIA",VLOOKUP($B2,Table2[#All],14,FALSE),VLOOKUP($B2,'B-Info'!$B:$J,9,FALSE)="BR",VLOOKUP($B2,Table2[#All],18,FALSE))</f>
        <v>#N/A</v>
      </c>
      <c r="M27" s="25" t="e" cm="1">
        <f t="array" ref="M27">_xlfn.IFS(VLOOKUP($B2,'B-Info'!$B:$J,9,FALSE)="NAIA",VLOOKUP($B2,Table2[#All],15,FALSE),VLOOKUP($B2,'B-Info'!$B:$J,9,FALSE)="BR",VLOOKUP($B2,Table2[#All],19,FALSE))</f>
        <v>#N/A</v>
      </c>
      <c r="N27" s="25" t="e" cm="1">
        <f t="array" ref="N27">_xlfn.IFS(VLOOKUP($B2,'B-Info'!$B:$J,9,FALSE)="NAIA",VLOOKUP($B2,Table2[#All],12,FALSE),VLOOKUP($B2,'B-Info'!$B:$J,9,FALSE)="BR",VLOOKUP($B2,Table2[#All],20,FALSE))</f>
        <v>#N/A</v>
      </c>
      <c r="O27" s="25" t="e" cm="1">
        <f t="array" ref="O27">_xlfn.IFS(VLOOKUP($B2,'B-Info'!$B:$J,9,FALSE)="NAIA",VLOOKUP($B2,Table2[#All],13,FALSE),VLOOKUP($B2,'B-Info'!$B:$J,9,FALSE)="BR",VLOOKUP($B2,Table2[#All],21,FALSE))</f>
        <v>#N/A</v>
      </c>
      <c r="P27" s="28" t="e" cm="1">
        <f t="array" ref="P27">_xlfn.IFS(VLOOKUP($B2,'B-Info'!$B:$J,9,FALSE)="NAIA",VLOOKUP($B2,Table2[#All],16,FALSE),VLOOKUP($B2,'B-Info'!$B:$J,9,FALSE)="BR",VLOOKUP($B2,Table2[#All],22,FALSE))</f>
        <v>#N/A</v>
      </c>
      <c r="Q27" s="28" t="e" cm="1">
        <f t="array" ref="Q27">_xlfn.IFS(VLOOKUP($B2,'B-Info'!$B:$J,9,FALSE)="NAIA",VLOOKUP($B2,Table2[#All],17,FALSE),VLOOKUP($B2,'B-Info'!$B:$J,9,FALSE)="BR",VLOOKUP($B2,Table2[#All],23,FALSE))</f>
        <v>#N/A</v>
      </c>
      <c r="R27" s="28" t="e" cm="1">
        <f t="array" ref="R27">_xlfn.IFS(VLOOKUP($B2,'B-Info'!$B:$J,9,FALSE)="NAIA",VLOOKUP($B2,Table2[#All],18,FALSE),VLOOKUP($B2,'B-Info'!$B:$J,9,FALSE)="BR",VLOOKUP($B2,Table2[#All],24,FALSE))</f>
        <v>#N/A</v>
      </c>
      <c r="S27" s="28" t="e" cm="1">
        <f t="array" ref="S27">_xlfn.IFS(VLOOKUP($B2,'B-Info'!$B:$J,9,FALSE)="NAIA",Q27+R27,VLOOKUP($B2,'B-Info'!$B:$J,9,FALSE)="BR",VLOOKUP($B2,Table2[#All],25,FALSE))</f>
        <v>#N/A</v>
      </c>
    </row>
    <row r="28" spans="2:19" x14ac:dyDescent="0.25">
      <c r="I28" s="13"/>
      <c r="J28" s="13"/>
      <c r="K28" s="13"/>
      <c r="L28" s="17"/>
      <c r="M28" s="17"/>
      <c r="N28" s="17"/>
      <c r="O28" s="17"/>
      <c r="P28" s="18"/>
      <c r="Q28" s="19"/>
      <c r="R28" s="19"/>
    </row>
    <row r="30" spans="2:19" ht="23.25" x14ac:dyDescent="0.25">
      <c r="B30" s="38" t="s">
        <v>82</v>
      </c>
      <c r="C30" s="38"/>
      <c r="D30" s="38"/>
      <c r="E30" s="38"/>
      <c r="F30" s="38"/>
      <c r="G30" s="38"/>
      <c r="H30" s="38"/>
      <c r="I30" s="3"/>
      <c r="J30" s="3"/>
      <c r="K30" s="3"/>
      <c r="L30" s="3"/>
      <c r="M30" s="3"/>
      <c r="N30" s="3"/>
      <c r="O30" s="3"/>
      <c r="P30" s="40" t="e">
        <f>VLOOKUP($B30,'B-Info'!B:J,8,FALSE)</f>
        <v>#N/A</v>
      </c>
      <c r="Q30" s="40"/>
      <c r="R30" s="40" t="e">
        <f>"# " &amp; VLOOKUP($B30,CHOOSE({2,1},'B-Info'!A:A, 'B-Info'!B:B),2, FALSE)</f>
        <v>#N/A</v>
      </c>
      <c r="S30" s="40"/>
    </row>
    <row r="31" spans="2:19" ht="23.25" x14ac:dyDescent="0.25">
      <c r="B31" s="39"/>
      <c r="C31" s="39"/>
      <c r="D31" s="39"/>
      <c r="E31" s="39"/>
      <c r="F31" s="39"/>
      <c r="G31" s="39"/>
      <c r="H31" s="39"/>
      <c r="I31" s="4"/>
      <c r="J31" s="4"/>
      <c r="K31" s="4"/>
      <c r="L31" s="4"/>
      <c r="M31" s="4"/>
      <c r="N31" s="4"/>
      <c r="O31" s="4"/>
      <c r="P31" s="41"/>
      <c r="Q31" s="41"/>
      <c r="R31" s="41"/>
      <c r="S31" s="41"/>
    </row>
    <row r="32" spans="2:19" x14ac:dyDescent="0.25">
      <c r="C32" s="24" t="s">
        <v>83</v>
      </c>
    </row>
    <row r="33" spans="8:18" x14ac:dyDescent="0.25">
      <c r="I33" s="13"/>
      <c r="J33" s="13"/>
      <c r="K33" s="13"/>
      <c r="L33" s="13"/>
      <c r="M33" s="13"/>
      <c r="N33" s="13"/>
      <c r="O33" s="13"/>
      <c r="P33" s="15"/>
      <c r="Q33" s="16"/>
      <c r="R33" s="15"/>
    </row>
    <row r="34" spans="8:18" x14ac:dyDescent="0.25">
      <c r="I34" s="13"/>
      <c r="J34" s="13"/>
      <c r="K34" s="13"/>
      <c r="L34" s="17"/>
      <c r="M34" s="17"/>
      <c r="N34" s="17"/>
      <c r="O34" s="17"/>
      <c r="P34" s="18"/>
      <c r="Q34" s="19"/>
      <c r="R34" s="19"/>
    </row>
    <row r="35" spans="8:18" x14ac:dyDescent="0.25">
      <c r="I35" s="13"/>
      <c r="J35" s="13"/>
      <c r="K35" s="13"/>
      <c r="L35" s="17"/>
      <c r="M35" s="17"/>
      <c r="N35" s="17"/>
      <c r="O35" s="17"/>
      <c r="P35" s="18"/>
      <c r="Q35" s="19"/>
      <c r="R35" s="19"/>
    </row>
    <row r="36" spans="8:18" x14ac:dyDescent="0.25">
      <c r="I36" s="13"/>
      <c r="J36" s="13"/>
      <c r="K36" s="13"/>
      <c r="L36" s="17"/>
      <c r="M36" s="17"/>
      <c r="N36" s="17"/>
      <c r="O36" s="17"/>
      <c r="P36" s="18"/>
      <c r="Q36" s="19"/>
      <c r="R36" s="19"/>
    </row>
    <row r="37" spans="8:18" x14ac:dyDescent="0.25">
      <c r="I37" s="13"/>
      <c r="J37" s="13"/>
      <c r="K37" s="13"/>
      <c r="L37" s="17"/>
      <c r="M37" s="17"/>
      <c r="N37" s="17"/>
      <c r="O37" s="17"/>
      <c r="P37" s="18"/>
      <c r="Q37" s="19"/>
      <c r="R37" s="19"/>
    </row>
    <row r="38" spans="8:18" x14ac:dyDescent="0.25">
      <c r="I38" s="13"/>
      <c r="J38" s="13"/>
      <c r="K38" s="13"/>
      <c r="L38" s="17"/>
      <c r="M38" s="17"/>
      <c r="N38" s="17"/>
      <c r="O38" s="17"/>
      <c r="P38" s="18"/>
      <c r="Q38" s="19"/>
      <c r="R38" s="19"/>
    </row>
    <row r="39" spans="8:18" x14ac:dyDescent="0.25">
      <c r="I39" s="13"/>
      <c r="J39" s="13"/>
      <c r="K39" s="13"/>
      <c r="L39" s="17"/>
      <c r="M39" s="17"/>
      <c r="N39" s="17"/>
      <c r="O39" s="17"/>
      <c r="P39" s="18"/>
      <c r="Q39" s="19"/>
      <c r="R39" s="19"/>
    </row>
    <row r="40" spans="8:18" x14ac:dyDescent="0.25">
      <c r="H40" s="7"/>
      <c r="I40" s="13"/>
      <c r="J40" s="20"/>
      <c r="K40" s="20"/>
      <c r="L40" s="20"/>
      <c r="M40" s="20"/>
      <c r="N40" s="20"/>
      <c r="O40" s="20"/>
      <c r="P40" s="20"/>
      <c r="Q40" s="20"/>
      <c r="R40" s="20"/>
    </row>
    <row r="41" spans="8:18" x14ac:dyDescent="0.25">
      <c r="I41" s="20"/>
      <c r="J41" s="13"/>
      <c r="K41" s="13"/>
      <c r="L41" s="20"/>
      <c r="M41" s="20"/>
      <c r="N41" s="20"/>
      <c r="O41" s="20"/>
      <c r="P41" s="20"/>
      <c r="Q41" s="20"/>
      <c r="R41" s="20"/>
    </row>
    <row r="42" spans="8:18" x14ac:dyDescent="0.25">
      <c r="I42" s="13"/>
      <c r="J42" s="13"/>
      <c r="K42" s="13"/>
      <c r="L42" s="20"/>
      <c r="M42" s="20"/>
      <c r="N42" s="20"/>
      <c r="O42" s="20"/>
      <c r="P42" s="20"/>
      <c r="Q42" s="20"/>
      <c r="R42" s="20"/>
    </row>
    <row r="43" spans="8:18" x14ac:dyDescent="0.25"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8:18" x14ac:dyDescent="0.25"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8:18" x14ac:dyDescent="0.25"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8:18" x14ac:dyDescent="0.25"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8:18" x14ac:dyDescent="0.25"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8:18" x14ac:dyDescent="0.25"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2:19" x14ac:dyDescent="0.25">
      <c r="B49" s="7"/>
      <c r="C49" s="7"/>
      <c r="D49" s="7"/>
      <c r="E49" s="7"/>
      <c r="F49" s="7"/>
      <c r="G49" s="7"/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2:19" x14ac:dyDescent="0.25"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2:19" x14ac:dyDescent="0.25">
      <c r="B51" s="51" t="s">
        <v>35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</row>
    <row r="52" spans="2:19" x14ac:dyDescent="0.25">
      <c r="C52" s="24" t="s">
        <v>84</v>
      </c>
    </row>
    <row r="53" spans="2:19" x14ac:dyDescent="0.25">
      <c r="I53" s="13"/>
      <c r="J53" s="13"/>
      <c r="K53" s="13"/>
      <c r="L53" s="13"/>
      <c r="M53" s="13"/>
      <c r="N53" s="13"/>
      <c r="O53" s="13"/>
      <c r="P53" s="15"/>
      <c r="Q53" s="16"/>
      <c r="R53" s="15"/>
    </row>
    <row r="54" spans="2:19" x14ac:dyDescent="0.25">
      <c r="I54" s="13"/>
      <c r="J54" s="13"/>
      <c r="K54" s="13"/>
      <c r="L54" s="17"/>
      <c r="M54" s="17"/>
      <c r="N54" s="17"/>
      <c r="O54" s="17"/>
      <c r="P54" s="18"/>
      <c r="Q54" s="19"/>
      <c r="R54" s="19"/>
    </row>
    <row r="55" spans="2:19" x14ac:dyDescent="0.25">
      <c r="I55" s="13"/>
      <c r="J55" s="13"/>
      <c r="K55" s="13"/>
      <c r="L55" s="17"/>
      <c r="M55" s="17"/>
      <c r="N55" s="17"/>
      <c r="O55" s="17"/>
      <c r="P55" s="18"/>
      <c r="Q55" s="19"/>
      <c r="R55" s="19"/>
    </row>
    <row r="56" spans="2:19" x14ac:dyDescent="0.25">
      <c r="I56" s="13"/>
      <c r="J56" s="13"/>
      <c r="K56" s="13"/>
      <c r="L56" s="17"/>
      <c r="M56" s="17"/>
      <c r="N56" s="17"/>
      <c r="O56" s="17"/>
      <c r="P56" s="18"/>
      <c r="Q56" s="19"/>
      <c r="R56" s="19"/>
    </row>
    <row r="57" spans="2:19" x14ac:dyDescent="0.25">
      <c r="I57" s="13"/>
      <c r="J57" s="13"/>
      <c r="K57" s="13"/>
      <c r="L57" s="17"/>
      <c r="M57" s="17"/>
      <c r="N57" s="17"/>
      <c r="O57" s="17"/>
      <c r="P57" s="18"/>
      <c r="Q57" s="19"/>
      <c r="R57" s="19"/>
    </row>
    <row r="58" spans="2:19" x14ac:dyDescent="0.25">
      <c r="I58" s="13"/>
      <c r="J58" s="13"/>
      <c r="K58" s="13"/>
      <c r="L58" s="17"/>
      <c r="M58" s="17"/>
      <c r="N58" s="17"/>
      <c r="O58" s="17"/>
      <c r="P58" s="18"/>
      <c r="Q58" s="19"/>
      <c r="R58" s="19"/>
    </row>
    <row r="59" spans="2:19" x14ac:dyDescent="0.25">
      <c r="I59" s="13"/>
      <c r="J59" s="13"/>
      <c r="K59" s="13"/>
      <c r="L59" s="17"/>
      <c r="M59" s="17"/>
      <c r="N59" s="17"/>
      <c r="O59" s="17"/>
      <c r="P59" s="18"/>
      <c r="Q59" s="19"/>
      <c r="R59" s="19"/>
    </row>
    <row r="60" spans="2:19" x14ac:dyDescent="0.25">
      <c r="H60" s="7"/>
      <c r="I60" s="13"/>
      <c r="J60" s="20"/>
      <c r="K60" s="20"/>
      <c r="L60" s="20"/>
      <c r="M60" s="20"/>
      <c r="N60" s="20"/>
      <c r="O60" s="20"/>
      <c r="P60" s="20"/>
      <c r="Q60" s="20"/>
      <c r="R60" s="20"/>
    </row>
    <row r="61" spans="2:19" x14ac:dyDescent="0.25">
      <c r="I61" s="20"/>
      <c r="J61" s="13"/>
      <c r="K61" s="13"/>
      <c r="L61" s="20"/>
      <c r="M61" s="20"/>
      <c r="N61" s="20"/>
      <c r="O61" s="20"/>
      <c r="P61" s="20"/>
      <c r="Q61" s="20"/>
      <c r="R61" s="20"/>
    </row>
    <row r="62" spans="2:19" x14ac:dyDescent="0.25">
      <c r="I62" s="13"/>
      <c r="J62" s="13"/>
      <c r="K62" s="13"/>
      <c r="L62" s="20"/>
      <c r="M62" s="20"/>
      <c r="N62" s="20"/>
      <c r="O62" s="20"/>
      <c r="P62" s="20"/>
      <c r="Q62" s="20"/>
      <c r="R62" s="20"/>
    </row>
    <row r="63" spans="2:19" x14ac:dyDescent="0.25"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2:19" x14ac:dyDescent="0.25"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2:19" x14ac:dyDescent="0.25"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2:19" x14ac:dyDescent="0.25"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2:19" x14ac:dyDescent="0.25"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2:19" x14ac:dyDescent="0.25"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2:19" x14ac:dyDescent="0.25">
      <c r="B69" s="7"/>
      <c r="C69" s="7"/>
      <c r="D69" s="7"/>
      <c r="E69" s="7"/>
      <c r="F69" s="7"/>
      <c r="G69" s="7"/>
      <c r="H69" s="12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2:19" x14ac:dyDescent="0.25"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2:19" x14ac:dyDescent="0.25">
      <c r="B71" s="51" t="s">
        <v>35</v>
      </c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</row>
    <row r="73" spans="2:19" x14ac:dyDescent="0.25">
      <c r="B73" s="50" t="s">
        <v>0</v>
      </c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</row>
    <row r="74" spans="2:19" x14ac:dyDescent="0.25">
      <c r="B74" s="25" t="s">
        <v>1</v>
      </c>
      <c r="C74" s="25" t="s">
        <v>2</v>
      </c>
      <c r="D74" s="25" t="s">
        <v>3</v>
      </c>
      <c r="E74" s="25" t="s">
        <v>85</v>
      </c>
      <c r="F74" s="25" t="s">
        <v>10</v>
      </c>
      <c r="G74" s="25" t="s">
        <v>9</v>
      </c>
      <c r="H74" s="25" t="s">
        <v>86</v>
      </c>
      <c r="I74" s="25" t="s">
        <v>87</v>
      </c>
      <c r="J74" s="25" t="s">
        <v>12</v>
      </c>
      <c r="K74" s="25" t="s">
        <v>88</v>
      </c>
      <c r="L74" s="25" t="s">
        <v>89</v>
      </c>
      <c r="M74" s="25" t="s">
        <v>90</v>
      </c>
      <c r="N74" s="25" t="s">
        <v>13</v>
      </c>
      <c r="O74" s="25" t="s">
        <v>14</v>
      </c>
      <c r="P74" s="25" t="s">
        <v>91</v>
      </c>
      <c r="Q74" s="25" t="s">
        <v>92</v>
      </c>
      <c r="R74" s="25" t="s">
        <v>93</v>
      </c>
      <c r="S74" s="25" t="s">
        <v>94</v>
      </c>
    </row>
    <row r="75" spans="2:19" x14ac:dyDescent="0.25">
      <c r="B75" s="25">
        <v>2022</v>
      </c>
      <c r="C75" s="25" t="e">
        <f>VLOOKUP($B30,'B-Info'!B:J,5,FALSE)</f>
        <v>#N/A</v>
      </c>
      <c r="D75" s="25" t="e" cm="1">
        <f t="array" ref="D75">_xlfn.IFS(VLOOKUP($B30,'B-Info'!$B:$J,9,FALSE)="NAIA",VLOOKUP($B30,Table2[#All],4,FALSE),VLOOKUP($B30,'B-Info'!$B:$J,9,FALSE)="BR",VLOOKUP($B30,Table2[#All],9,FALSE))</f>
        <v>#N/A</v>
      </c>
      <c r="E75" s="25" t="e" cm="1">
        <f t="array" ref="E75">_xlfn.IFS(VLOOKUP($B30,'B-Info'!$B:$J,9,FALSE)="NAIA",VLOOKUP($B30,Table2[#All],5,FALSE),VLOOKUP($B30,'B-Info'!$B:$J,9,FALSE)="BR",VLOOKUP($B30,Table2[#All],11,FALSE))</f>
        <v>#N/A</v>
      </c>
      <c r="F75" s="25" t="e" cm="1">
        <f t="array" ref="F75">_xlfn.IFS(VLOOKUP($B30,'B-Info'!$B:$J,9,FALSE)="NAIA",VLOOKUP($B30,Table2[#All],6,FALSE),VLOOKUP($B30,'B-Info'!$B:$J,9,FALSE)="BR",VLOOKUP($B30,Table2[#All],12,FALSE))</f>
        <v>#N/A</v>
      </c>
      <c r="G75" s="25" t="e" cm="1">
        <f t="array" ref="G75">_xlfn.IFS(VLOOKUP($B30,'B-Info'!$B:$J,9,FALSE)="NAIA",VLOOKUP($B30,Table2[#All],7,FALSE),VLOOKUP($B30,'B-Info'!$B:$J,9,FALSE)="BR",VLOOKUP($B30,Table2[#All],13,FALSE))</f>
        <v>#N/A</v>
      </c>
      <c r="H75" s="25" t="e" cm="1">
        <f t="array" ref="H75">_xlfn.IFS(VLOOKUP($B30,'B-Info'!$B:$J,9,FALSE)="NAIA",VLOOKUP($B30,Table2[#All],8,FALSE),VLOOKUP($B30,'B-Info'!$B:$J,9,FALSE)="BR",VLOOKUP($B30,Table2[#All],14,FALSE))</f>
        <v>#N/A</v>
      </c>
      <c r="I75" s="25" t="e" cm="1">
        <f t="array" ref="I75">_xlfn.IFS(VLOOKUP($B30,'B-Info'!$B:$J,9,FALSE)="NAIA",VLOOKUP($B30,Table2[#All],9,FALSE),VLOOKUP($B30,'B-Info'!$B:$J,9,FALSE)="BR",VLOOKUP($B30,Table2[#All],15,FALSE))</f>
        <v>#N/A</v>
      </c>
      <c r="J75" s="25" t="e" cm="1">
        <f t="array" ref="J75">_xlfn.IFS(VLOOKUP($B30,'B-Info'!$B:$J,9,FALSE)="NAIA",VLOOKUP($B30,Table2[#All],10,FALSE),VLOOKUP($B30,'B-Info'!$B:$J,9,FALSE)="BR",VLOOKUP($B30,Table2[#All],16,FALSE))</f>
        <v>#N/A</v>
      </c>
      <c r="K75" s="25" t="e" cm="1">
        <f t="array" ref="K75">_xlfn.IFS(VLOOKUP($B30,'B-Info'!$B:$J,9,FALSE)="NAIA",VLOOKUP($B30,Table2[#All],11,FALSE),VLOOKUP($B30,'B-Info'!$B:$J,9,FALSE)="BR",VLOOKUP($B30,Table2[#All],17,FALSE))</f>
        <v>#N/A</v>
      </c>
      <c r="L75" s="25" t="e" cm="1">
        <f t="array" ref="L75">_xlfn.IFS(VLOOKUP($B30,'B-Info'!$B:$J,9,FALSE)="NAIA",VLOOKUP($B30,Table2[#All],14,FALSE),VLOOKUP($B30,'B-Info'!$B:$J,9,FALSE)="BR",VLOOKUP($B30,Table2[#All],18,FALSE))</f>
        <v>#N/A</v>
      </c>
      <c r="M75" s="25" t="e" cm="1">
        <f t="array" ref="M75">_xlfn.IFS(VLOOKUP($B30,'B-Info'!$B:$J,9,FALSE)="NAIA",VLOOKUP($B30,Table2[#All],15,FALSE),VLOOKUP($B30,'B-Info'!$B:$J,9,FALSE)="BR",VLOOKUP($B30,Table2[#All],19,FALSE))</f>
        <v>#N/A</v>
      </c>
      <c r="N75" s="25" t="e" cm="1">
        <f t="array" ref="N75">_xlfn.IFS(VLOOKUP($B30,'B-Info'!$B:$J,9,FALSE)="NAIA",VLOOKUP($B30,Table2[#All],12,FALSE),VLOOKUP($B30,'B-Info'!$B:$J,9,FALSE)="BR",VLOOKUP($B30,Table2[#All],20,FALSE))</f>
        <v>#N/A</v>
      </c>
      <c r="O75" s="25" t="e" cm="1">
        <f t="array" ref="O75">_xlfn.IFS(VLOOKUP($B30,'B-Info'!$B:$J,9,FALSE)="NAIA",VLOOKUP($B30,Table2[#All],13,FALSE),VLOOKUP($B30,'B-Info'!$B:$J,9,FALSE)="BR",VLOOKUP($B30,Table2[#All],21,FALSE))</f>
        <v>#N/A</v>
      </c>
      <c r="P75" s="28" t="e" cm="1">
        <f t="array" ref="P75">_xlfn.IFS(VLOOKUP($B30,'B-Info'!$B:$J,9,FALSE)="NAIA",VLOOKUP($B30,Table2[#All],16,FALSE),VLOOKUP($B30,'B-Info'!$B:$J,9,FALSE)="BR",VLOOKUP($B30,Table2[#All],22,FALSE))</f>
        <v>#N/A</v>
      </c>
      <c r="Q75" s="28" t="e" cm="1">
        <f t="array" ref="Q75">_xlfn.IFS(VLOOKUP($B30,'B-Info'!$B:$J,9,FALSE)="NAIA",VLOOKUP($B30,Table2[#All],17,FALSE),VLOOKUP($B30,'B-Info'!$B:$J,9,FALSE)="BR",VLOOKUP($B30,Table2[#All],23,FALSE))</f>
        <v>#N/A</v>
      </c>
      <c r="R75" s="28" t="e" cm="1">
        <f t="array" ref="R75">_xlfn.IFS(VLOOKUP($B30,'B-Info'!$B:$J,9,FALSE)="NAIA",VLOOKUP($B30,Table2[#All],18,FALSE),VLOOKUP($B30,'B-Info'!$B:$J,9,FALSE)="BR",VLOOKUP($B30,Table2[#All],24,FALSE))</f>
        <v>#N/A</v>
      </c>
      <c r="S75" s="28" t="e" cm="1">
        <f t="array" ref="S75">_xlfn.IFS(VLOOKUP($B30,'B-Info'!$B:$J,9,FALSE)="NAIA",Q75+R75,VLOOKUP($B30,'B-Info'!$B:$J,9,FALSE)="BR",VLOOKUP($B30,Table2[#All],25,FALSE))</f>
        <v>#N/A</v>
      </c>
    </row>
  </sheetData>
  <mergeCells count="11">
    <mergeCell ref="B73:S73"/>
    <mergeCell ref="B2:H3"/>
    <mergeCell ref="P2:Q3"/>
    <mergeCell ref="R2:S3"/>
    <mergeCell ref="B25:S25"/>
    <mergeCell ref="B23:S23"/>
    <mergeCell ref="B71:S71"/>
    <mergeCell ref="B51:S51"/>
    <mergeCell ref="B30:H31"/>
    <mergeCell ref="P30:Q31"/>
    <mergeCell ref="R30:S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P-Info</vt:lpstr>
      <vt:lpstr>P-Stats</vt:lpstr>
      <vt:lpstr>B-Info</vt:lpstr>
      <vt:lpstr>B-Stats</vt:lpstr>
      <vt:lpstr>Pitchers</vt:lpstr>
      <vt:lpstr>Printer</vt:lpstr>
      <vt:lpstr>Hitters</vt:lpstr>
      <vt:lpstr>Pitchers!Print_Area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Banks</dc:creator>
  <cp:lastModifiedBy>Jack Banks</cp:lastModifiedBy>
  <cp:lastPrinted>2022-07-16T16:18:31Z</cp:lastPrinted>
  <dcterms:created xsi:type="dcterms:W3CDTF">2022-05-27T02:13:51Z</dcterms:created>
  <dcterms:modified xsi:type="dcterms:W3CDTF">2022-07-16T16:58:16Z</dcterms:modified>
</cp:coreProperties>
</file>