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y Laptop\OneDrive\Desktop\Battle Creek\Reshaped Standings\"/>
    </mc:Choice>
  </mc:AlternateContent>
  <xr:revisionPtr revIDLastSave="0" documentId="13_ncr:1_{9096B246-F0AF-460C-96B8-16320A83E657}" xr6:coauthVersionLast="47" xr6:coauthVersionMax="47" xr10:uidLastSave="{00000000-0000-0000-0000-000000000000}"/>
  <bookViews>
    <workbookView xWindow="-120" yWindow="-120" windowWidth="20730" windowHeight="11160" activeTab="5" xr2:uid="{EC7A165E-E8CD-44FA-BDD6-60B6515EE798}"/>
  </bookViews>
  <sheets>
    <sheet name="Clean" sheetId="5" r:id="rId1"/>
    <sheet name="Master" sheetId="3" r:id="rId2"/>
    <sheet name="Hitting" sheetId="1" r:id="rId3"/>
    <sheet name="Pitching" sheetId="2" r:id="rId4"/>
    <sheet name="StandingsRAW" sheetId="4" r:id="rId5"/>
    <sheet name="For Pub" sheetId="6" r:id="rId6"/>
  </sheets>
  <externalReferences>
    <externalReference r:id="rId7"/>
  </externalReferences>
  <definedNames>
    <definedName name="_xlnm.Print_Area" localSheetId="0">Clean!$A$1:$P$25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4" l="1"/>
  <c r="H25" i="4"/>
  <c r="H24" i="4"/>
  <c r="H23" i="4"/>
  <c r="H22" i="4"/>
  <c r="H20" i="4"/>
  <c r="H19" i="4"/>
  <c r="H18" i="4"/>
  <c r="H17" i="4"/>
  <c r="H16" i="4"/>
  <c r="H14" i="4"/>
  <c r="H13" i="4"/>
  <c r="H12" i="4"/>
  <c r="H11" i="4"/>
  <c r="H10" i="4"/>
  <c r="H9" i="4"/>
  <c r="H3" i="4"/>
  <c r="H4" i="4"/>
  <c r="H5" i="4"/>
  <c r="H6" i="4"/>
  <c r="H7" i="4"/>
  <c r="H2" i="4"/>
  <c r="F3" i="6" l="1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G2" i="6"/>
  <c r="F2" i="6"/>
  <c r="L28" i="3" l="1"/>
  <c r="AF2" i="2" l="1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P5" i="3" l="1"/>
  <c r="AA5" i="3"/>
  <c r="AA15" i="3"/>
  <c r="AA10" i="3"/>
  <c r="AA19" i="3"/>
  <c r="AA22" i="3"/>
  <c r="AA8" i="3"/>
  <c r="AA11" i="3"/>
  <c r="AA3" i="3"/>
  <c r="AA18" i="3"/>
  <c r="AA16" i="3"/>
  <c r="AA2" i="3"/>
  <c r="AA9" i="3"/>
  <c r="AA17" i="3"/>
  <c r="AA13" i="3"/>
  <c r="AA23" i="3"/>
  <c r="AA12" i="3"/>
  <c r="AA6" i="3"/>
  <c r="AA20" i="3"/>
  <c r="AA14" i="3"/>
  <c r="AA21" i="3"/>
  <c r="AA4" i="3"/>
  <c r="AA7" i="3"/>
  <c r="W5" i="3"/>
  <c r="W15" i="3"/>
  <c r="W10" i="3"/>
  <c r="W19" i="3"/>
  <c r="W22" i="3"/>
  <c r="W8" i="3"/>
  <c r="W11" i="3"/>
  <c r="W3" i="3"/>
  <c r="W18" i="3"/>
  <c r="W16" i="3"/>
  <c r="W2" i="3"/>
  <c r="W9" i="3"/>
  <c r="W17" i="3"/>
  <c r="W13" i="3"/>
  <c r="W23" i="3"/>
  <c r="W12" i="3"/>
  <c r="W6" i="3"/>
  <c r="W20" i="3"/>
  <c r="W14" i="3"/>
  <c r="W21" i="3"/>
  <c r="W4" i="3"/>
  <c r="W7" i="3"/>
  <c r="X15" i="3"/>
  <c r="X19" i="3"/>
  <c r="X16" i="3"/>
  <c r="X8" i="3"/>
  <c r="X11" i="3"/>
  <c r="X17" i="3"/>
  <c r="X14" i="3"/>
  <c r="X22" i="3"/>
  <c r="X9" i="3"/>
  <c r="X18" i="3"/>
  <c r="X12" i="3"/>
  <c r="X20" i="3"/>
  <c r="X6" i="3"/>
  <c r="X23" i="3"/>
  <c r="X7" i="3"/>
  <c r="X13" i="3"/>
  <c r="X2" i="3"/>
  <c r="X4" i="3"/>
  <c r="X21" i="3"/>
  <c r="X10" i="3"/>
  <c r="X3" i="3"/>
  <c r="X5" i="3"/>
  <c r="Q15" i="3"/>
  <c r="Q19" i="3"/>
  <c r="Q16" i="3"/>
  <c r="Q8" i="3"/>
  <c r="Q11" i="3"/>
  <c r="Q17" i="3"/>
  <c r="Q14" i="3"/>
  <c r="Q22" i="3"/>
  <c r="Q9" i="3"/>
  <c r="Q18" i="3"/>
  <c r="Q12" i="3"/>
  <c r="Q20" i="3"/>
  <c r="Q6" i="3"/>
  <c r="Q23" i="3"/>
  <c r="Q7" i="3"/>
  <c r="Q13" i="3"/>
  <c r="Q2" i="3"/>
  <c r="Q4" i="3"/>
  <c r="Q21" i="3"/>
  <c r="Q10" i="3"/>
  <c r="Q3" i="3"/>
  <c r="Q5" i="3"/>
  <c r="P15" i="3"/>
  <c r="P19" i="3"/>
  <c r="P16" i="3"/>
  <c r="P8" i="3"/>
  <c r="P11" i="3"/>
  <c r="P17" i="3"/>
  <c r="P14" i="3"/>
  <c r="P22" i="3"/>
  <c r="P9" i="3"/>
  <c r="P18" i="3"/>
  <c r="P12" i="3"/>
  <c r="P20" i="3"/>
  <c r="P6" i="3"/>
  <c r="P23" i="3"/>
  <c r="P7" i="3"/>
  <c r="P13" i="3"/>
  <c r="P2" i="3"/>
  <c r="P4" i="3"/>
  <c r="P21" i="3"/>
  <c r="P10" i="3"/>
  <c r="P3" i="3"/>
  <c r="E15" i="3"/>
  <c r="C17" i="6" s="1"/>
  <c r="E19" i="3"/>
  <c r="C20" i="6" s="1"/>
  <c r="E16" i="3"/>
  <c r="E8" i="3"/>
  <c r="E11" i="3"/>
  <c r="E17" i="3"/>
  <c r="C18" i="6" s="1"/>
  <c r="E14" i="3"/>
  <c r="E22" i="3"/>
  <c r="E9" i="3"/>
  <c r="E18" i="3"/>
  <c r="E12" i="3"/>
  <c r="E20" i="3"/>
  <c r="C19" i="6" s="1"/>
  <c r="E6" i="3"/>
  <c r="E23" i="3"/>
  <c r="E7" i="3"/>
  <c r="E13" i="3"/>
  <c r="C16" i="6" s="1"/>
  <c r="E2" i="3"/>
  <c r="E4" i="3"/>
  <c r="C6" i="6" s="1"/>
  <c r="E21" i="3"/>
  <c r="E10" i="3"/>
  <c r="C11" i="6" s="1"/>
  <c r="E3" i="3"/>
  <c r="E5" i="3"/>
  <c r="D15" i="3"/>
  <c r="D19" i="3"/>
  <c r="D16" i="3"/>
  <c r="D8" i="3"/>
  <c r="D11" i="3"/>
  <c r="D17" i="3"/>
  <c r="D14" i="3"/>
  <c r="D22" i="3"/>
  <c r="D9" i="3"/>
  <c r="D18" i="3"/>
  <c r="D12" i="3"/>
  <c r="D20" i="3"/>
  <c r="D6" i="3"/>
  <c r="D23" i="3"/>
  <c r="D7" i="3"/>
  <c r="D13" i="3"/>
  <c r="D2" i="3"/>
  <c r="D4" i="3"/>
  <c r="D21" i="3"/>
  <c r="D10" i="3"/>
  <c r="D3" i="3"/>
  <c r="D5" i="3"/>
  <c r="C15" i="3"/>
  <c r="B17" i="6" s="1"/>
  <c r="C19" i="3"/>
  <c r="C16" i="3"/>
  <c r="C8" i="3"/>
  <c r="C11" i="3"/>
  <c r="C17" i="3"/>
  <c r="C14" i="3"/>
  <c r="B13" i="6" s="1"/>
  <c r="C22" i="3"/>
  <c r="C9" i="3"/>
  <c r="C18" i="3"/>
  <c r="C12" i="3"/>
  <c r="C20" i="3"/>
  <c r="B19" i="6" s="1"/>
  <c r="C6" i="3"/>
  <c r="C23" i="3"/>
  <c r="C7" i="3"/>
  <c r="C13" i="3"/>
  <c r="B16" i="6" s="1"/>
  <c r="C2" i="3"/>
  <c r="C4" i="3"/>
  <c r="C21" i="3"/>
  <c r="C10" i="3"/>
  <c r="C3" i="3"/>
  <c r="C5" i="3"/>
  <c r="B11" i="6" l="1"/>
  <c r="C21" i="6"/>
  <c r="C14" i="6"/>
  <c r="B15" i="6"/>
  <c r="C9" i="6"/>
  <c r="C15" i="6"/>
  <c r="B12" i="6"/>
  <c r="B10" i="6"/>
  <c r="B22" i="6"/>
  <c r="B7" i="6"/>
  <c r="C3" i="6"/>
  <c r="C7" i="6"/>
  <c r="C12" i="6"/>
  <c r="B8" i="6"/>
  <c r="B5" i="6"/>
  <c r="C22" i="6"/>
  <c r="C10" i="6"/>
  <c r="C13" i="6"/>
  <c r="B9" i="6"/>
  <c r="C2" i="6"/>
  <c r="C5" i="6"/>
  <c r="C8" i="6"/>
  <c r="B18" i="6"/>
  <c r="B21" i="6"/>
  <c r="B3" i="6"/>
  <c r="B2" i="6"/>
  <c r="B23" i="6"/>
  <c r="B4" i="6"/>
  <c r="B6" i="6"/>
  <c r="B14" i="6"/>
  <c r="B20" i="6"/>
  <c r="D24" i="5"/>
  <c r="C23" i="6"/>
  <c r="D5" i="5"/>
  <c r="C4" i="6"/>
  <c r="K7" i="6"/>
  <c r="K5" i="6"/>
  <c r="K19" i="6"/>
  <c r="K8" i="6"/>
  <c r="K11" i="6"/>
  <c r="K21" i="6"/>
  <c r="K9" i="6"/>
  <c r="K15" i="6"/>
  <c r="K6" i="6"/>
  <c r="K14" i="6"/>
  <c r="K20" i="6"/>
  <c r="K3" i="6"/>
  <c r="K12" i="6"/>
  <c r="K17" i="6"/>
  <c r="K16" i="6"/>
  <c r="K22" i="6"/>
  <c r="K10" i="6"/>
  <c r="K13" i="6"/>
  <c r="K2" i="6"/>
  <c r="K23" i="6"/>
  <c r="K18" i="6"/>
  <c r="J10" i="6"/>
  <c r="J13" i="6"/>
  <c r="J23" i="6"/>
  <c r="J18" i="6"/>
  <c r="J4" i="6"/>
  <c r="J7" i="6"/>
  <c r="J5" i="6"/>
  <c r="J11" i="6"/>
  <c r="J19" i="6"/>
  <c r="J8" i="6"/>
  <c r="J21" i="6"/>
  <c r="J9" i="6"/>
  <c r="J15" i="6"/>
  <c r="J14" i="6"/>
  <c r="J20" i="6"/>
  <c r="J3" i="6"/>
  <c r="J12" i="6"/>
  <c r="J17" i="6"/>
  <c r="J6" i="6"/>
  <c r="J16" i="6"/>
  <c r="J22" i="6"/>
  <c r="J2" i="6"/>
  <c r="D3" i="5"/>
  <c r="D4" i="5"/>
  <c r="D14" i="5"/>
  <c r="D20" i="5"/>
  <c r="AB16" i="3"/>
  <c r="AB19" i="3"/>
  <c r="AB18" i="3"/>
  <c r="D17" i="5"/>
  <c r="H21" i="3"/>
  <c r="H9" i="3"/>
  <c r="H7" i="3"/>
  <c r="H14" i="3"/>
  <c r="H19" i="3"/>
  <c r="H18" i="3"/>
  <c r="H17" i="3"/>
  <c r="H3" i="3"/>
  <c r="H6" i="3"/>
  <c r="H11" i="3"/>
  <c r="H12" i="3"/>
  <c r="H23" i="3"/>
  <c r="H10" i="3"/>
  <c r="H20" i="3"/>
  <c r="H8" i="3"/>
  <c r="H4" i="3"/>
  <c r="H16" i="3"/>
  <c r="H2" i="3"/>
  <c r="H15" i="3"/>
  <c r="H13" i="3"/>
  <c r="H22" i="3"/>
  <c r="H5" i="3"/>
  <c r="D19" i="5"/>
  <c r="D22" i="5"/>
  <c r="D8" i="5"/>
  <c r="D15" i="5"/>
  <c r="R18" i="3"/>
  <c r="R19" i="3"/>
  <c r="L20" i="6" s="1"/>
  <c r="R9" i="3"/>
  <c r="D7" i="5"/>
  <c r="C12" i="5"/>
  <c r="D6" i="5"/>
  <c r="D12" i="5"/>
  <c r="D21" i="5"/>
  <c r="C11" i="5"/>
  <c r="D16" i="5"/>
  <c r="C4" i="5"/>
  <c r="C17" i="5"/>
  <c r="D23" i="5"/>
  <c r="C22" i="5"/>
  <c r="C18" i="5"/>
  <c r="D10" i="5"/>
  <c r="C14" i="5"/>
  <c r="C7" i="5"/>
  <c r="C21" i="5"/>
  <c r="C3" i="5"/>
  <c r="C8" i="5"/>
  <c r="C16" i="5"/>
  <c r="D11" i="5"/>
  <c r="C5" i="5"/>
  <c r="D13" i="5"/>
  <c r="D9" i="5"/>
  <c r="C6" i="5"/>
  <c r="C10" i="5"/>
  <c r="D18" i="5"/>
  <c r="H17" i="5"/>
  <c r="H13" i="5"/>
  <c r="H9" i="5"/>
  <c r="H22" i="5"/>
  <c r="H15" i="5"/>
  <c r="H18" i="5"/>
  <c r="H14" i="5"/>
  <c r="H7" i="5"/>
  <c r="H21" i="5"/>
  <c r="H11" i="5"/>
  <c r="H3" i="5"/>
  <c r="H8" i="5"/>
  <c r="H16" i="5"/>
  <c r="H19" i="5"/>
  <c r="H23" i="5"/>
  <c r="H5" i="5"/>
  <c r="R16" i="3"/>
  <c r="R2" i="3"/>
  <c r="H6" i="5"/>
  <c r="H10" i="5"/>
  <c r="H12" i="5"/>
  <c r="H4" i="5"/>
  <c r="H24" i="5"/>
  <c r="H20" i="5"/>
  <c r="G10" i="5"/>
  <c r="G24" i="5"/>
  <c r="G20" i="5"/>
  <c r="G6" i="5"/>
  <c r="R7" i="3"/>
  <c r="G5" i="5"/>
  <c r="G11" i="5"/>
  <c r="G12" i="5"/>
  <c r="G17" i="5"/>
  <c r="G13" i="5"/>
  <c r="G9" i="5"/>
  <c r="G22" i="5"/>
  <c r="G15" i="5"/>
  <c r="G18" i="5"/>
  <c r="R14" i="3"/>
  <c r="L13" i="6" s="1"/>
  <c r="G14" i="5"/>
  <c r="G7" i="5"/>
  <c r="G21" i="5"/>
  <c r="G3" i="5"/>
  <c r="G8" i="5"/>
  <c r="G16" i="5"/>
  <c r="G19" i="5"/>
  <c r="G23" i="5"/>
  <c r="G4" i="5"/>
  <c r="AB23" i="3"/>
  <c r="C24" i="5"/>
  <c r="AB17" i="3"/>
  <c r="C20" i="5"/>
  <c r="AB20" i="3"/>
  <c r="C13" i="5"/>
  <c r="AB8" i="3"/>
  <c r="C9" i="5"/>
  <c r="AB12" i="3"/>
  <c r="C15" i="5"/>
  <c r="AB13" i="3"/>
  <c r="C19" i="5"/>
  <c r="AB22" i="3"/>
  <c r="C23" i="5"/>
  <c r="AB6" i="3"/>
  <c r="AB11" i="3"/>
  <c r="D25" i="3"/>
  <c r="E25" i="3"/>
  <c r="AB9" i="3"/>
  <c r="AB15" i="3"/>
  <c r="Y19" i="3"/>
  <c r="R10" i="3"/>
  <c r="R21" i="3"/>
  <c r="R23" i="3"/>
  <c r="R17" i="3"/>
  <c r="L18" i="6" s="1"/>
  <c r="R20" i="3"/>
  <c r="L19" i="6" s="1"/>
  <c r="R8" i="3"/>
  <c r="R12" i="3"/>
  <c r="R5" i="3"/>
  <c r="AB14" i="3"/>
  <c r="R15" i="3"/>
  <c r="L17" i="6" s="1"/>
  <c r="R3" i="3"/>
  <c r="R6" i="3"/>
  <c r="R11" i="3"/>
  <c r="R13" i="3"/>
  <c r="R22" i="3"/>
  <c r="R4" i="3"/>
  <c r="AB2" i="3"/>
  <c r="AB7" i="3"/>
  <c r="L16" i="6" l="1"/>
  <c r="V18" i="3"/>
  <c r="T18" i="3" s="1"/>
  <c r="L23" i="6"/>
  <c r="L6" i="6"/>
  <c r="L9" i="6"/>
  <c r="L5" i="6"/>
  <c r="Y16" i="3"/>
  <c r="L11" i="6"/>
  <c r="L8" i="6"/>
  <c r="L3" i="6"/>
  <c r="L21" i="6"/>
  <c r="L2" i="6"/>
  <c r="L22" i="6"/>
  <c r="L12" i="6"/>
  <c r="L10" i="6"/>
  <c r="L14" i="6"/>
  <c r="L7" i="6"/>
  <c r="I5" i="5"/>
  <c r="L4" i="6"/>
  <c r="S16" i="3"/>
  <c r="L15" i="6"/>
  <c r="I4" i="5"/>
  <c r="V19" i="3"/>
  <c r="T19" i="3" s="1"/>
  <c r="M20" i="6" s="1"/>
  <c r="Z19" i="3"/>
  <c r="U19" i="3" s="1"/>
  <c r="N20" i="6" s="1"/>
  <c r="G19" i="3"/>
  <c r="V16" i="3"/>
  <c r="T16" i="3" s="1"/>
  <c r="Z16" i="3"/>
  <c r="I3" i="5"/>
  <c r="S18" i="3"/>
  <c r="Y18" i="3"/>
  <c r="Z18" i="3"/>
  <c r="S19" i="3"/>
  <c r="F16" i="3"/>
  <c r="I21" i="5"/>
  <c r="G18" i="3"/>
  <c r="Z20" i="3"/>
  <c r="G20" i="3"/>
  <c r="Y13" i="3"/>
  <c r="Z17" i="3"/>
  <c r="I19" i="5"/>
  <c r="I22" i="5"/>
  <c r="G13" i="3"/>
  <c r="Z13" i="3"/>
  <c r="G17" i="3"/>
  <c r="Y17" i="3"/>
  <c r="Q26" i="3"/>
  <c r="V11" i="3"/>
  <c r="T11" i="3" s="1"/>
  <c r="V20" i="3"/>
  <c r="T20" i="3" s="1"/>
  <c r="M19" i="6" s="1"/>
  <c r="I8" i="5"/>
  <c r="I7" i="5"/>
  <c r="Y11" i="3"/>
  <c r="Z8" i="3"/>
  <c r="V8" i="3"/>
  <c r="T8" i="3" s="1"/>
  <c r="G8" i="3"/>
  <c r="Y8" i="3"/>
  <c r="I23" i="5"/>
  <c r="F19" i="3"/>
  <c r="I17" i="5"/>
  <c r="I16" i="5"/>
  <c r="V6" i="3"/>
  <c r="T6" i="3" s="1"/>
  <c r="V17" i="3"/>
  <c r="T17" i="3" s="1"/>
  <c r="M18" i="6" s="1"/>
  <c r="I10" i="5"/>
  <c r="Y20" i="3"/>
  <c r="I18" i="5"/>
  <c r="V23" i="3"/>
  <c r="T23" i="3" s="1"/>
  <c r="Z11" i="3"/>
  <c r="I6" i="5"/>
  <c r="I14" i="5"/>
  <c r="F17" i="3"/>
  <c r="F11" i="3"/>
  <c r="Z23" i="3"/>
  <c r="V12" i="3"/>
  <c r="T12" i="3" s="1"/>
  <c r="Y23" i="3"/>
  <c r="Y12" i="3"/>
  <c r="F15" i="3"/>
  <c r="F23" i="3"/>
  <c r="F12" i="3"/>
  <c r="Z12" i="3"/>
  <c r="Z22" i="3"/>
  <c r="S11" i="3"/>
  <c r="I12" i="5"/>
  <c r="S6" i="3"/>
  <c r="I11" i="5"/>
  <c r="F18" i="3"/>
  <c r="G16" i="3"/>
  <c r="S12" i="3"/>
  <c r="I15" i="5"/>
  <c r="G12" i="3"/>
  <c r="S8" i="3"/>
  <c r="I9" i="5"/>
  <c r="G23" i="3"/>
  <c r="S20" i="3"/>
  <c r="I13" i="5"/>
  <c r="S17" i="3"/>
  <c r="I20" i="5"/>
  <c r="S23" i="3"/>
  <c r="I24" i="5"/>
  <c r="F9" i="3"/>
  <c r="F6" i="3"/>
  <c r="Z6" i="3"/>
  <c r="D27" i="3"/>
  <c r="Y6" i="3"/>
  <c r="Y22" i="3"/>
  <c r="V13" i="3"/>
  <c r="T13" i="3" s="1"/>
  <c r="G22" i="3"/>
  <c r="V22" i="3"/>
  <c r="T22" i="3" s="1"/>
  <c r="S22" i="3"/>
  <c r="S13" i="3"/>
  <c r="S9" i="3"/>
  <c r="S15" i="3"/>
  <c r="F8" i="3"/>
  <c r="V7" i="3"/>
  <c r="T7" i="3" s="1"/>
  <c r="Y7" i="3"/>
  <c r="Z7" i="3"/>
  <c r="S14" i="3"/>
  <c r="Z14" i="3"/>
  <c r="V14" i="3"/>
  <c r="T14" i="3" s="1"/>
  <c r="Y14" i="3"/>
  <c r="S2" i="3"/>
  <c r="Z2" i="3"/>
  <c r="V2" i="3"/>
  <c r="T2" i="3" s="1"/>
  <c r="Y2" i="3"/>
  <c r="Z15" i="3"/>
  <c r="V15" i="3"/>
  <c r="T15" i="3" s="1"/>
  <c r="M17" i="6" s="1"/>
  <c r="Y15" i="3"/>
  <c r="Y9" i="3"/>
  <c r="Z9" i="3"/>
  <c r="V9" i="3"/>
  <c r="T9" i="3" s="1"/>
  <c r="M12" i="6" s="1"/>
  <c r="G6" i="3"/>
  <c r="G11" i="3"/>
  <c r="F20" i="3"/>
  <c r="G15" i="3"/>
  <c r="G9" i="3"/>
  <c r="F13" i="3"/>
  <c r="F22" i="3"/>
  <c r="G2" i="3"/>
  <c r="F2" i="3"/>
  <c r="G14" i="3"/>
  <c r="F7" i="3"/>
  <c r="S7" i="3"/>
  <c r="F14" i="3"/>
  <c r="G7" i="3"/>
  <c r="M15" i="6" l="1"/>
  <c r="M16" i="6"/>
  <c r="M14" i="6"/>
  <c r="D12" i="6"/>
  <c r="U16" i="3"/>
  <c r="K16" i="3" s="1"/>
  <c r="I16" i="3" s="1"/>
  <c r="M13" i="6"/>
  <c r="M8" i="6"/>
  <c r="M7" i="6"/>
  <c r="O16" i="6"/>
  <c r="D16" i="6"/>
  <c r="D18" i="6"/>
  <c r="O18" i="6"/>
  <c r="D13" i="6"/>
  <c r="O13" i="6"/>
  <c r="D14" i="6"/>
  <c r="O14" i="6"/>
  <c r="D19" i="6"/>
  <c r="O19" i="6"/>
  <c r="D7" i="6"/>
  <c r="O7" i="6"/>
  <c r="D17" i="6"/>
  <c r="O17" i="6"/>
  <c r="O12" i="6"/>
  <c r="D20" i="6"/>
  <c r="O20" i="6"/>
  <c r="N16" i="3"/>
  <c r="D15" i="6"/>
  <c r="O15" i="6"/>
  <c r="O8" i="6"/>
  <c r="D8" i="6"/>
  <c r="K19" i="3"/>
  <c r="I19" i="3" s="1"/>
  <c r="U18" i="3"/>
  <c r="L24" i="5"/>
  <c r="L20" i="5"/>
  <c r="U20" i="3"/>
  <c r="N19" i="6" s="1"/>
  <c r="U17" i="3"/>
  <c r="U13" i="3"/>
  <c r="J21" i="5"/>
  <c r="J20" i="5"/>
  <c r="L19" i="5"/>
  <c r="L21" i="5"/>
  <c r="U11" i="3"/>
  <c r="U8" i="3"/>
  <c r="L9" i="5"/>
  <c r="E21" i="5"/>
  <c r="N19" i="3"/>
  <c r="N23" i="3"/>
  <c r="N15" i="3"/>
  <c r="U12" i="3"/>
  <c r="N6" i="3"/>
  <c r="N12" i="3"/>
  <c r="N11" i="3"/>
  <c r="N18" i="3"/>
  <c r="E20" i="5"/>
  <c r="U22" i="3"/>
  <c r="N17" i="3"/>
  <c r="U6" i="3"/>
  <c r="J24" i="5"/>
  <c r="E24" i="5"/>
  <c r="N9" i="3"/>
  <c r="J9" i="5"/>
  <c r="U23" i="3"/>
  <c r="N14" i="3"/>
  <c r="N22" i="3"/>
  <c r="N8" i="3"/>
  <c r="E9" i="5"/>
  <c r="U2" i="3"/>
  <c r="N7" i="3"/>
  <c r="N13" i="3"/>
  <c r="E19" i="5"/>
  <c r="N2" i="3"/>
  <c r="N20" i="3"/>
  <c r="J19" i="5"/>
  <c r="U15" i="3"/>
  <c r="U7" i="3"/>
  <c r="U9" i="3"/>
  <c r="U14" i="3"/>
  <c r="AB10" i="3"/>
  <c r="AB5" i="3"/>
  <c r="AB4" i="3"/>
  <c r="AB3" i="3"/>
  <c r="AB21" i="3"/>
  <c r="N15" i="6" l="1"/>
  <c r="N7" i="6"/>
  <c r="J16" i="3"/>
  <c r="K23" i="3"/>
  <c r="I23" i="3" s="1"/>
  <c r="K13" i="3"/>
  <c r="I13" i="3" s="1"/>
  <c r="O13" i="3" s="1"/>
  <c r="N16" i="6"/>
  <c r="K9" i="3"/>
  <c r="I9" i="3" s="1"/>
  <c r="N12" i="6"/>
  <c r="K17" i="3"/>
  <c r="I17" i="3" s="1"/>
  <c r="N18" i="6"/>
  <c r="K8" i="3"/>
  <c r="I8" i="3" s="1"/>
  <c r="N8" i="6"/>
  <c r="K11" i="3"/>
  <c r="J11" i="3" s="1"/>
  <c r="K14" i="3"/>
  <c r="I14" i="3" s="1"/>
  <c r="N13" i="6"/>
  <c r="K7" i="3"/>
  <c r="J7" i="3" s="1"/>
  <c r="K15" i="3"/>
  <c r="I15" i="3" s="1"/>
  <c r="N17" i="6"/>
  <c r="K18" i="3"/>
  <c r="J18" i="3" s="1"/>
  <c r="N14" i="6"/>
  <c r="K22" i="3"/>
  <c r="J22" i="3" s="1"/>
  <c r="P20" i="6"/>
  <c r="K19" i="5"/>
  <c r="K20" i="3"/>
  <c r="J20" i="3" s="1"/>
  <c r="K20" i="5"/>
  <c r="K2" i="3"/>
  <c r="I2" i="3" s="1"/>
  <c r="K12" i="3"/>
  <c r="I12" i="3" s="1"/>
  <c r="K6" i="3"/>
  <c r="I6" i="3" s="1"/>
  <c r="K9" i="5"/>
  <c r="Q25" i="3"/>
  <c r="K24" i="5"/>
  <c r="K21" i="5"/>
  <c r="O19" i="3"/>
  <c r="O16" i="3"/>
  <c r="J19" i="3"/>
  <c r="E20" i="6" s="1"/>
  <c r="S21" i="3"/>
  <c r="Y21" i="3"/>
  <c r="Z21" i="3"/>
  <c r="V21" i="3"/>
  <c r="T21" i="3" s="1"/>
  <c r="M23" i="6" s="1"/>
  <c r="S4" i="3"/>
  <c r="Y4" i="3"/>
  <c r="Z4" i="3"/>
  <c r="V4" i="3"/>
  <c r="T4" i="3" s="1"/>
  <c r="M5" i="6" s="1"/>
  <c r="S3" i="3"/>
  <c r="V3" i="3"/>
  <c r="T3" i="3" s="1"/>
  <c r="Y3" i="3"/>
  <c r="Z3" i="3"/>
  <c r="S5" i="3"/>
  <c r="V5" i="3"/>
  <c r="T5" i="3" s="1"/>
  <c r="Y5" i="3"/>
  <c r="Z5" i="3"/>
  <c r="S10" i="3"/>
  <c r="Z10" i="3"/>
  <c r="V10" i="3"/>
  <c r="T10" i="3" s="1"/>
  <c r="M9" i="6" s="1"/>
  <c r="Y10" i="3"/>
  <c r="G21" i="3"/>
  <c r="F21" i="3"/>
  <c r="F3" i="3"/>
  <c r="G3" i="3"/>
  <c r="F4" i="3"/>
  <c r="G4" i="3"/>
  <c r="G5" i="3"/>
  <c r="F5" i="3"/>
  <c r="G10" i="3"/>
  <c r="F10" i="3"/>
  <c r="D9" i="6" l="1"/>
  <c r="O9" i="6"/>
  <c r="D23" i="6"/>
  <c r="O23" i="6"/>
  <c r="M3" i="6"/>
  <c r="M4" i="6"/>
  <c r="I18" i="3"/>
  <c r="J8" i="3"/>
  <c r="J23" i="3"/>
  <c r="F24" i="5" s="1"/>
  <c r="I11" i="3"/>
  <c r="P16" i="6"/>
  <c r="J13" i="3"/>
  <c r="E16" i="6" s="1"/>
  <c r="O5" i="6"/>
  <c r="D5" i="6"/>
  <c r="J15" i="3"/>
  <c r="E17" i="6" s="1"/>
  <c r="I22" i="3"/>
  <c r="O10" i="6"/>
  <c r="D10" i="6"/>
  <c r="D22" i="6"/>
  <c r="O22" i="6"/>
  <c r="M21" i="6"/>
  <c r="M22" i="6"/>
  <c r="D3" i="6"/>
  <c r="O3" i="6"/>
  <c r="M11" i="6"/>
  <c r="M10" i="6"/>
  <c r="J17" i="3"/>
  <c r="E18" i="6" s="1"/>
  <c r="D4" i="6"/>
  <c r="O4" i="6"/>
  <c r="D2" i="6"/>
  <c r="O2" i="6"/>
  <c r="O6" i="3"/>
  <c r="P18" i="6"/>
  <c r="O11" i="3"/>
  <c r="D6" i="6"/>
  <c r="O6" i="6"/>
  <c r="J12" i="5"/>
  <c r="M6" i="6"/>
  <c r="D11" i="6"/>
  <c r="O11" i="6"/>
  <c r="D21" i="6"/>
  <c r="O21" i="6"/>
  <c r="O8" i="3"/>
  <c r="J3" i="5"/>
  <c r="M2" i="6"/>
  <c r="P17" i="6"/>
  <c r="M21" i="5"/>
  <c r="P14" i="6"/>
  <c r="L3" i="5"/>
  <c r="E3" i="5"/>
  <c r="J7" i="5"/>
  <c r="M24" i="5"/>
  <c r="I20" i="3"/>
  <c r="E12" i="5"/>
  <c r="L12" i="5"/>
  <c r="E7" i="5"/>
  <c r="L7" i="5"/>
  <c r="O22" i="3"/>
  <c r="J12" i="3"/>
  <c r="M19" i="5"/>
  <c r="J6" i="3"/>
  <c r="O12" i="3"/>
  <c r="J6" i="5"/>
  <c r="J23" i="5"/>
  <c r="J8" i="5"/>
  <c r="E8" i="5"/>
  <c r="L8" i="5"/>
  <c r="L15" i="5"/>
  <c r="E15" i="5"/>
  <c r="J18" i="5"/>
  <c r="J15" i="5"/>
  <c r="L10" i="5"/>
  <c r="E10" i="5"/>
  <c r="J11" i="5"/>
  <c r="J10" i="5"/>
  <c r="L5" i="5"/>
  <c r="L6" i="5"/>
  <c r="E6" i="5"/>
  <c r="L14" i="5"/>
  <c r="E11" i="5"/>
  <c r="L11" i="5"/>
  <c r="L17" i="5"/>
  <c r="E18" i="5"/>
  <c r="L18" i="5"/>
  <c r="O17" i="3"/>
  <c r="L22" i="5"/>
  <c r="L23" i="5"/>
  <c r="E23" i="5"/>
  <c r="J2" i="3"/>
  <c r="O18" i="3"/>
  <c r="J14" i="3"/>
  <c r="J16" i="5"/>
  <c r="O23" i="3"/>
  <c r="L13" i="5"/>
  <c r="E13" i="5"/>
  <c r="L16" i="5"/>
  <c r="E16" i="5"/>
  <c r="E4" i="5"/>
  <c r="L4" i="5"/>
  <c r="F21" i="5"/>
  <c r="J13" i="5"/>
  <c r="I7" i="3"/>
  <c r="J9" i="3"/>
  <c r="E12" i="6" s="1"/>
  <c r="O9" i="3"/>
  <c r="O14" i="3"/>
  <c r="J5" i="5"/>
  <c r="O15" i="3"/>
  <c r="J14" i="5"/>
  <c r="J22" i="5"/>
  <c r="J4" i="5"/>
  <c r="N10" i="3"/>
  <c r="E17" i="5"/>
  <c r="N21" i="3"/>
  <c r="E22" i="5"/>
  <c r="N4" i="3"/>
  <c r="E14" i="5"/>
  <c r="U10" i="3"/>
  <c r="N9" i="6" s="1"/>
  <c r="N3" i="3"/>
  <c r="E5" i="5"/>
  <c r="J17" i="5"/>
  <c r="O2" i="3"/>
  <c r="U5" i="3"/>
  <c r="U21" i="3"/>
  <c r="U4" i="3"/>
  <c r="U3" i="3"/>
  <c r="N5" i="3"/>
  <c r="G25" i="3"/>
  <c r="H25" i="3"/>
  <c r="E14" i="6" l="1"/>
  <c r="P13" i="6"/>
  <c r="P15" i="6"/>
  <c r="N22" i="6"/>
  <c r="N23" i="6"/>
  <c r="E15" i="6"/>
  <c r="P12" i="6"/>
  <c r="P8" i="6"/>
  <c r="P7" i="6"/>
  <c r="E7" i="6"/>
  <c r="N6" i="6"/>
  <c r="N5" i="6"/>
  <c r="N11" i="6"/>
  <c r="N10" i="6"/>
  <c r="N2" i="6"/>
  <c r="N3" i="6"/>
  <c r="E8" i="6"/>
  <c r="E13" i="6"/>
  <c r="K3" i="3"/>
  <c r="I3" i="3" s="1"/>
  <c r="N4" i="6"/>
  <c r="K21" i="3"/>
  <c r="I21" i="3" s="1"/>
  <c r="P23" i="6" s="1"/>
  <c r="N21" i="6"/>
  <c r="O20" i="3"/>
  <c r="E19" i="6"/>
  <c r="P19" i="6"/>
  <c r="K4" i="5"/>
  <c r="K3" i="5"/>
  <c r="F20" i="5"/>
  <c r="M20" i="5"/>
  <c r="F19" i="5"/>
  <c r="K10" i="5"/>
  <c r="K12" i="5"/>
  <c r="K8" i="5"/>
  <c r="K7" i="5"/>
  <c r="K5" i="3"/>
  <c r="I5" i="3" s="1"/>
  <c r="P3" i="6" s="1"/>
  <c r="K4" i="3"/>
  <c r="J4" i="3" s="1"/>
  <c r="K10" i="3"/>
  <c r="I10" i="3" s="1"/>
  <c r="P9" i="6" s="1"/>
  <c r="G27" i="3"/>
  <c r="I27" i="3" s="1"/>
  <c r="K18" i="5"/>
  <c r="K15" i="5"/>
  <c r="O7" i="3"/>
  <c r="K5" i="5"/>
  <c r="K6" i="5"/>
  <c r="K13" i="5"/>
  <c r="K11" i="5"/>
  <c r="K23" i="5"/>
  <c r="F9" i="5"/>
  <c r="M9" i="5"/>
  <c r="K17" i="5"/>
  <c r="K16" i="5"/>
  <c r="K14" i="5"/>
  <c r="K22" i="5"/>
  <c r="P10" i="6" l="1"/>
  <c r="P22" i="6"/>
  <c r="P21" i="6"/>
  <c r="P11" i="6"/>
  <c r="P4" i="6"/>
  <c r="P2" i="6"/>
  <c r="M4" i="5"/>
  <c r="M3" i="5"/>
  <c r="M15" i="5"/>
  <c r="M18" i="5"/>
  <c r="M5" i="5"/>
  <c r="M16" i="5"/>
  <c r="M17" i="5"/>
  <c r="M22" i="5"/>
  <c r="M23" i="5"/>
  <c r="I4" i="3"/>
  <c r="J5" i="3"/>
  <c r="F4" i="5" s="1"/>
  <c r="O5" i="3"/>
  <c r="J21" i="3"/>
  <c r="F22" i="5" s="1"/>
  <c r="O3" i="3"/>
  <c r="O10" i="3"/>
  <c r="F14" i="5"/>
  <c r="J3" i="3"/>
  <c r="O21" i="3"/>
  <c r="J10" i="3"/>
  <c r="F17" i="5" s="1"/>
  <c r="E23" i="6" l="1"/>
  <c r="E9" i="6"/>
  <c r="E4" i="6"/>
  <c r="E5" i="6"/>
  <c r="P5" i="6"/>
  <c r="E22" i="6"/>
  <c r="E3" i="6"/>
  <c r="E10" i="6"/>
  <c r="E2" i="6"/>
  <c r="E11" i="6"/>
  <c r="M7" i="5"/>
  <c r="E6" i="6"/>
  <c r="P6" i="6"/>
  <c r="E21" i="6"/>
  <c r="M6" i="5"/>
  <c r="M8" i="5"/>
  <c r="F3" i="5"/>
  <c r="F6" i="5"/>
  <c r="F13" i="5"/>
  <c r="F12" i="5"/>
  <c r="M12" i="5"/>
  <c r="F7" i="5"/>
  <c r="M13" i="5"/>
  <c r="F8" i="5"/>
  <c r="O4" i="3"/>
  <c r="M10" i="5"/>
  <c r="F10" i="5"/>
  <c r="F15" i="5"/>
  <c r="M14" i="5"/>
  <c r="F11" i="5"/>
  <c r="M11" i="5"/>
  <c r="F18" i="5"/>
  <c r="F23" i="5"/>
  <c r="J25" i="3"/>
  <c r="F16" i="5"/>
  <c r="K25" i="3"/>
  <c r="F5" i="5"/>
  <c r="J27" i="3" l="1"/>
  <c r="L27" i="3" s="1"/>
  <c r="Q24" i="5" l="1"/>
  <c r="P24" i="5"/>
  <c r="Q5" i="5" l="1"/>
  <c r="P5" i="5"/>
  <c r="P13" i="5"/>
  <c r="Q13" i="5"/>
  <c r="P4" i="5"/>
  <c r="Q4" i="5"/>
  <c r="P17" i="5"/>
  <c r="Q17" i="5"/>
  <c r="P10" i="5"/>
  <c r="Q10" i="5"/>
  <c r="Q8" i="5"/>
  <c r="P8" i="5"/>
  <c r="Q22" i="5"/>
  <c r="P22" i="5"/>
  <c r="Q21" i="5"/>
  <c r="P21" i="5"/>
  <c r="P15" i="5"/>
  <c r="Q15" i="5"/>
  <c r="I2" i="6" l="1"/>
  <c r="H2" i="6"/>
  <c r="L3" i="3"/>
  <c r="H7" i="6"/>
  <c r="L6" i="3"/>
  <c r="L11" i="3"/>
  <c r="I8" i="6"/>
  <c r="L7" i="3"/>
  <c r="L12" i="3"/>
  <c r="L13" i="3"/>
  <c r="L2" i="3"/>
  <c r="H9" i="6"/>
  <c r="I9" i="6"/>
  <c r="L10" i="3"/>
  <c r="L18" i="3"/>
  <c r="I22" i="6"/>
  <c r="L22" i="3"/>
  <c r="L5" i="3"/>
  <c r="L14" i="3"/>
  <c r="L8" i="3"/>
  <c r="I21" i="6"/>
  <c r="H21" i="6"/>
  <c r="L23" i="3"/>
  <c r="H18" i="6"/>
  <c r="L17" i="3"/>
  <c r="H12" i="6"/>
  <c r="L9" i="3"/>
  <c r="L21" i="3"/>
  <c r="L20" i="3"/>
  <c r="L19" i="3"/>
  <c r="H17" i="6"/>
  <c r="L15" i="3"/>
  <c r="L16" i="3"/>
  <c r="L4" i="3"/>
  <c r="I19" i="6" l="1"/>
  <c r="I23" i="6"/>
  <c r="I14" i="6"/>
  <c r="H10" i="6"/>
  <c r="H19" i="6"/>
  <c r="I6" i="6"/>
  <c r="I10" i="6"/>
  <c r="H6" i="6"/>
  <c r="I18" i="6"/>
  <c r="I13" i="6"/>
  <c r="H5" i="6"/>
  <c r="I3" i="6"/>
  <c r="H11" i="6"/>
  <c r="I12" i="6"/>
  <c r="I4" i="6"/>
  <c r="I15" i="6"/>
  <c r="Q3" i="6"/>
  <c r="N4" i="5"/>
  <c r="M2" i="3"/>
  <c r="H14" i="6"/>
  <c r="H8" i="6"/>
  <c r="Q13" i="6"/>
  <c r="M14" i="3"/>
  <c r="N16" i="5"/>
  <c r="N11" i="5"/>
  <c r="M7" i="3"/>
  <c r="Q8" i="6"/>
  <c r="I5" i="6"/>
  <c r="I17" i="6"/>
  <c r="Q19" i="6"/>
  <c r="N20" i="5"/>
  <c r="M20" i="3"/>
  <c r="H13" i="6"/>
  <c r="M22" i="3"/>
  <c r="N23" i="5"/>
  <c r="Q22" i="6"/>
  <c r="N10" i="5"/>
  <c r="M6" i="3"/>
  <c r="Q7" i="6"/>
  <c r="H15" i="6"/>
  <c r="N12" i="5"/>
  <c r="M12" i="3"/>
  <c r="Q11" i="6"/>
  <c r="Q6" i="6"/>
  <c r="N8" i="5"/>
  <c r="M8" i="3"/>
  <c r="H16" i="6"/>
  <c r="M10" i="3"/>
  <c r="Q9" i="6"/>
  <c r="N7" i="5"/>
  <c r="Q12" i="6"/>
  <c r="N14" i="5"/>
  <c r="M9" i="3"/>
  <c r="Q18" i="6"/>
  <c r="M17" i="3"/>
  <c r="N18" i="5"/>
  <c r="Q4" i="6"/>
  <c r="N3" i="5"/>
  <c r="M5" i="3"/>
  <c r="H22" i="6"/>
  <c r="H3" i="6"/>
  <c r="I11" i="6"/>
  <c r="Q10" i="6"/>
  <c r="M11" i="3"/>
  <c r="N9" i="5"/>
  <c r="N24" i="5"/>
  <c r="Q21" i="6"/>
  <c r="M23" i="3"/>
  <c r="N17" i="5"/>
  <c r="Q14" i="6"/>
  <c r="M13" i="3"/>
  <c r="I7" i="6"/>
  <c r="Q17" i="6"/>
  <c r="N19" i="5"/>
  <c r="M15" i="3"/>
  <c r="Q16" i="6"/>
  <c r="M16" i="3"/>
  <c r="N15" i="5"/>
  <c r="H23" i="6"/>
  <c r="Q20" i="6"/>
  <c r="M19" i="3"/>
  <c r="N21" i="5"/>
  <c r="M4" i="3"/>
  <c r="Q5" i="6"/>
  <c r="N6" i="5"/>
  <c r="H20" i="6"/>
  <c r="I16" i="6"/>
  <c r="I20" i="6"/>
  <c r="M21" i="3"/>
  <c r="Q23" i="6"/>
  <c r="N22" i="5"/>
  <c r="H4" i="6"/>
  <c r="Q15" i="6"/>
  <c r="N13" i="5"/>
  <c r="M18" i="3"/>
  <c r="M3" i="3"/>
  <c r="N5" i="5"/>
  <c r="Q2" i="6"/>
  <c r="P7" i="5"/>
  <c r="Q7" i="5"/>
  <c r="Q3" i="5"/>
  <c r="P3" i="5"/>
  <c r="Q6" i="5"/>
  <c r="P6" i="5"/>
  <c r="P18" i="5"/>
  <c r="Q18" i="5"/>
  <c r="P20" i="5"/>
  <c r="Q20" i="5"/>
  <c r="P19" i="5"/>
  <c r="Q19" i="5"/>
  <c r="Q9" i="5"/>
  <c r="P9" i="5"/>
  <c r="Q11" i="5"/>
  <c r="P11" i="5"/>
  <c r="P12" i="5"/>
  <c r="Q12" i="5"/>
  <c r="Q16" i="5"/>
  <c r="P16" i="5"/>
  <c r="Q23" i="5"/>
  <c r="P23" i="5"/>
  <c r="P14" i="5"/>
  <c r="Q14" i="5"/>
  <c r="O15" i="5" l="1"/>
  <c r="R16" i="6"/>
  <c r="R5" i="6"/>
  <c r="O6" i="5"/>
  <c r="R17" i="6"/>
  <c r="O19" i="5"/>
  <c r="O3" i="5"/>
  <c r="R4" i="6"/>
  <c r="O4" i="5"/>
  <c r="R3" i="6"/>
  <c r="O24" i="5"/>
  <c r="R21" i="6"/>
  <c r="R11" i="6"/>
  <c r="O12" i="5"/>
  <c r="O23" i="5"/>
  <c r="R22" i="6"/>
  <c r="R8" i="6"/>
  <c r="O11" i="5"/>
  <c r="O22" i="5"/>
  <c r="R23" i="6"/>
  <c r="O21" i="5"/>
  <c r="R20" i="6"/>
  <c r="O14" i="5"/>
  <c r="R12" i="6"/>
  <c r="R2" i="6"/>
  <c r="O5" i="5"/>
  <c r="O9" i="5"/>
  <c r="R10" i="6"/>
  <c r="R9" i="6"/>
  <c r="O7" i="5"/>
  <c r="O20" i="5"/>
  <c r="R19" i="6"/>
  <c r="O13" i="5"/>
  <c r="R15" i="6"/>
  <c r="R14" i="6"/>
  <c r="O17" i="5"/>
  <c r="R18" i="6"/>
  <c r="O18" i="5"/>
  <c r="O16" i="5"/>
  <c r="R13" i="6"/>
  <c r="R6" i="6"/>
  <c r="O8" i="5"/>
  <c r="O10" i="5"/>
  <c r="R7" i="6"/>
</calcChain>
</file>

<file path=xl/sharedStrings.xml><?xml version="1.0" encoding="utf-8"?>
<sst xmlns="http://schemas.openxmlformats.org/spreadsheetml/2006/main" count="405" uniqueCount="173">
  <si>
    <t>Team</t>
  </si>
  <si>
    <t>G</t>
  </si>
  <si>
    <t>AVG</t>
  </si>
  <si>
    <t>AB</t>
  </si>
  <si>
    <t>R</t>
  </si>
  <si>
    <t>H</t>
  </si>
  <si>
    <t>2B</t>
  </si>
  <si>
    <t>3B</t>
  </si>
  <si>
    <t>HR</t>
  </si>
  <si>
    <t>RBI</t>
  </si>
  <si>
    <t>BB</t>
  </si>
  <si>
    <t>HBP</t>
  </si>
  <si>
    <t>K</t>
  </si>
  <si>
    <t>SF</t>
  </si>
  <si>
    <t>SH</t>
  </si>
  <si>
    <t>DP</t>
  </si>
  <si>
    <t>ROE</t>
  </si>
  <si>
    <t>SB</t>
  </si>
  <si>
    <t>CS</t>
  </si>
  <si>
    <t>PK</t>
  </si>
  <si>
    <t>OBP</t>
  </si>
  <si>
    <t>SLG</t>
  </si>
  <si>
    <t>OPS</t>
  </si>
  <si>
    <t>PA</t>
  </si>
  <si>
    <t>AB/HR</t>
  </si>
  <si>
    <t>BB/PA</t>
  </si>
  <si>
    <t>BB/K</t>
  </si>
  <si>
    <t>SECA</t>
  </si>
  <si>
    <t>ISOP</t>
  </si>
  <si>
    <t>RC</t>
  </si>
  <si>
    <t>WIL</t>
  </si>
  <si>
    <t>STC</t>
  </si>
  <si>
    <t>MAN</t>
  </si>
  <si>
    <t>BC</t>
  </si>
  <si>
    <t>WIR</t>
  </si>
  <si>
    <t>LAC</t>
  </si>
  <si>
    <t>KZO</t>
  </si>
  <si>
    <t>WAT</t>
  </si>
  <si>
    <t>FDL</t>
  </si>
  <si>
    <t>RFD</t>
  </si>
  <si>
    <t>DUL</t>
  </si>
  <si>
    <t>MAD</t>
  </si>
  <si>
    <t>KEN</t>
  </si>
  <si>
    <t>LAK</t>
  </si>
  <si>
    <t>BIS</t>
  </si>
  <si>
    <t>TVC</t>
  </si>
  <si>
    <t>KMO</t>
  </si>
  <si>
    <t>ROC</t>
  </si>
  <si>
    <t>EC</t>
  </si>
  <si>
    <t>GB</t>
  </si>
  <si>
    <t>WAU</t>
  </si>
  <si>
    <t>MIN</t>
  </si>
  <si>
    <t>GS</t>
  </si>
  <si>
    <t>CG</t>
  </si>
  <si>
    <t>W</t>
  </si>
  <si>
    <t>L</t>
  </si>
  <si>
    <t>SV</t>
  </si>
  <si>
    <t>IP</t>
  </si>
  <si>
    <t>ER</t>
  </si>
  <si>
    <t>ERA</t>
  </si>
  <si>
    <t>BF</t>
  </si>
  <si>
    <t>BK</t>
  </si>
  <si>
    <t>IBB</t>
  </si>
  <si>
    <t>SHO</t>
  </si>
  <si>
    <t>BAA</t>
  </si>
  <si>
    <t>WP</t>
  </si>
  <si>
    <t>HB</t>
  </si>
  <si>
    <t>WHIP</t>
  </si>
  <si>
    <t>PFR</t>
  </si>
  <si>
    <t>BABIP</t>
  </si>
  <si>
    <t>K/9</t>
  </si>
  <si>
    <t>ERC</t>
  </si>
  <si>
    <t>PTB</t>
  </si>
  <si>
    <t>FPS%</t>
  </si>
  <si>
    <t>pythW</t>
  </si>
  <si>
    <t>W%</t>
  </si>
  <si>
    <t>pythL</t>
  </si>
  <si>
    <t>pyth%</t>
  </si>
  <si>
    <t>xpythW</t>
  </si>
  <si>
    <t>xpythL</t>
  </si>
  <si>
    <t>xpyth%</t>
  </si>
  <si>
    <t>SOS</t>
  </si>
  <si>
    <t>SRS</t>
  </si>
  <si>
    <t>LUCK</t>
  </si>
  <si>
    <t>xLUCK</t>
  </si>
  <si>
    <t>RA</t>
  </si>
  <si>
    <t>xR</t>
  </si>
  <si>
    <t>xRA</t>
  </si>
  <si>
    <t>Games</t>
  </si>
  <si>
    <t>Diff</t>
  </si>
  <si>
    <t>Great Lakes East</t>
  </si>
  <si>
    <t>PCT</t>
  </si>
  <si>
    <t>STREAK</t>
  </si>
  <si>
    <t>LAST 10</t>
  </si>
  <si>
    <t>Battle Creek Battle Jacks</t>
  </si>
  <si>
    <t>-</t>
  </si>
  <si>
    <t>Bismarck Larks</t>
  </si>
  <si>
    <t>Bismarck</t>
  </si>
  <si>
    <t>Kenosha Kingfish</t>
  </si>
  <si>
    <t>1L</t>
  </si>
  <si>
    <t>Duluth Huskies</t>
  </si>
  <si>
    <t>Duluth</t>
  </si>
  <si>
    <t>Kalamazoo Growlers</t>
  </si>
  <si>
    <t>Eau Claire Express</t>
  </si>
  <si>
    <t>Eau Claire</t>
  </si>
  <si>
    <t>Rockford Rivets</t>
  </si>
  <si>
    <t>2W</t>
  </si>
  <si>
    <t>Fond du Lac Dock Spiders</t>
  </si>
  <si>
    <t>Fond du Lac</t>
  </si>
  <si>
    <t>Traverse City Pit Spitters</t>
  </si>
  <si>
    <t>Green Bay Rockers</t>
  </si>
  <si>
    <t>Green Bay</t>
  </si>
  <si>
    <t>Kokomo Jackrabbits</t>
  </si>
  <si>
    <t>1W</t>
  </si>
  <si>
    <t>Kalamazoo</t>
  </si>
  <si>
    <t>Great Lakes West</t>
  </si>
  <si>
    <t>Kenosha</t>
  </si>
  <si>
    <t>Wisconsin Rapids Rafters</t>
  </si>
  <si>
    <t>Kokomo</t>
  </si>
  <si>
    <t>La Crosse Loggers</t>
  </si>
  <si>
    <t>La Crosse</t>
  </si>
  <si>
    <t>Wausau Woodchucks</t>
  </si>
  <si>
    <t>Lakeshore Chinooks</t>
  </si>
  <si>
    <t>Lakeshore</t>
  </si>
  <si>
    <t>Madison Mallards</t>
  </si>
  <si>
    <t>Madison</t>
  </si>
  <si>
    <t>Mankato MoonDogs</t>
  </si>
  <si>
    <t>Mankato</t>
  </si>
  <si>
    <t>Minnesota Mud Puppies</t>
  </si>
  <si>
    <t>Minnesota</t>
  </si>
  <si>
    <t>Great Plains East</t>
  </si>
  <si>
    <t>Rochester Honkers</t>
  </si>
  <si>
    <t>Rochester</t>
  </si>
  <si>
    <t>Rockford</t>
  </si>
  <si>
    <t>St. Cloud Rox</t>
  </si>
  <si>
    <t>St. Cloud</t>
  </si>
  <si>
    <t>Traverse City</t>
  </si>
  <si>
    <t>Waterloo Bucks</t>
  </si>
  <si>
    <t>Waterloo</t>
  </si>
  <si>
    <t>Wausau</t>
  </si>
  <si>
    <t>Great Plains West</t>
  </si>
  <si>
    <t>Willmar Stingers</t>
  </si>
  <si>
    <t>Willmar</t>
  </si>
  <si>
    <t>Wisconsin Rapids</t>
  </si>
  <si>
    <t>Diff/g</t>
  </si>
  <si>
    <t>*Battle Creek*</t>
  </si>
  <si>
    <t>HRA</t>
  </si>
  <si>
    <t>ABBR</t>
  </si>
  <si>
    <t>Name</t>
  </si>
  <si>
    <t>Battle Creek</t>
  </si>
  <si>
    <t>Wasau</t>
  </si>
  <si>
    <t>W-L</t>
  </si>
  <si>
    <t>pythW-L</t>
  </si>
  <si>
    <t>xpW-L</t>
  </si>
  <si>
    <t>RS</t>
  </si>
  <si>
    <t>xRS</t>
  </si>
  <si>
    <t>Luck</t>
  </si>
  <si>
    <t>xLuck</t>
  </si>
  <si>
    <r>
      <t xml:space="preserve">Park Factors </t>
    </r>
    <r>
      <rPr>
        <sz val="10"/>
        <color theme="1"/>
        <rFont val="Calibri"/>
        <family val="2"/>
        <scheme val="minor"/>
      </rPr>
      <t>(OFF/DEF)</t>
    </r>
  </si>
  <si>
    <t>*highlighted records would lead division</t>
  </si>
  <si>
    <t>BJRPG</t>
  </si>
  <si>
    <t>LGRPG</t>
  </si>
  <si>
    <t>PP RepR</t>
  </si>
  <si>
    <t>IPx</t>
  </si>
  <si>
    <t>*Minnesota does not have a home ballpark</t>
  </si>
  <si>
    <t>Home</t>
  </si>
  <si>
    <t>Away</t>
  </si>
  <si>
    <t>vs Strong</t>
  </si>
  <si>
    <t>vs Weak</t>
  </si>
  <si>
    <t>2L</t>
  </si>
  <si>
    <t>3L</t>
  </si>
  <si>
    <t>s</t>
  </si>
  <si>
    <t>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</si>
</sst>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.000"/>
    <numFmt numFmtId="165" formatCode="\+0;\-0;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67">
    <xf numFmtId="0" fontId="0" fillId="0" borderId="0" xfId="0"/>
    <xf numFmtId="10" fontId="0" fillId="0" borderId="0" xfId="0" applyNumberFormat="1"/>
    <xf numFmtId="0" fontId="0" fillId="0" borderId="0" xfId="0" quotePrefix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5" xfId="0" applyFill="1" applyBorder="1"/>
    <xf numFmtId="16" fontId="0" fillId="0" borderId="0" xfId="0" applyNumberFormat="1"/>
    <xf numFmtId="0" fontId="2" fillId="2" borderId="8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164" fontId="3" fillId="5" borderId="9" xfId="0" applyNumberFormat="1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164" fontId="3" fillId="6" borderId="9" xfId="0" applyNumberFormat="1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4" borderId="11" xfId="0" applyNumberFormat="1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6" fillId="3" borderId="5" xfId="0" applyFont="1" applyFill="1" applyBorder="1"/>
    <xf numFmtId="0" fontId="6" fillId="4" borderId="7" xfId="0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165" fontId="6" fillId="4" borderId="9" xfId="0" applyNumberFormat="1" applyFont="1" applyFill="1" applyBorder="1" applyAlignment="1">
      <alignment horizontal="center"/>
    </xf>
    <xf numFmtId="1" fontId="6" fillId="4" borderId="7" xfId="0" applyNumberFormat="1" applyFont="1" applyFill="1" applyBorder="1" applyAlignment="1">
      <alignment horizontal="center"/>
    </xf>
    <xf numFmtId="1" fontId="6" fillId="4" borderId="9" xfId="0" applyNumberFormat="1" applyFont="1" applyFill="1" applyBorder="1" applyAlignment="1">
      <alignment horizontal="center"/>
    </xf>
    <xf numFmtId="165" fontId="6" fillId="4" borderId="7" xfId="0" applyNumberFormat="1" applyFont="1" applyFill="1" applyBorder="1" applyAlignment="1">
      <alignment horizontal="center"/>
    </xf>
    <xf numFmtId="2" fontId="6" fillId="4" borderId="5" xfId="0" applyNumberFormat="1" applyFont="1" applyFill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164" fontId="7" fillId="4" borderId="0" xfId="0" applyNumberFormat="1" applyFont="1" applyFill="1" applyAlignment="1">
      <alignment horizontal="center"/>
    </xf>
    <xf numFmtId="164" fontId="7" fillId="4" borderId="12" xfId="0" applyNumberFormat="1" applyFont="1" applyFill="1" applyBorder="1" applyAlignment="1">
      <alignment horizontal="center"/>
    </xf>
    <xf numFmtId="164" fontId="7" fillId="4" borderId="9" xfId="0" applyNumberFormat="1" applyFont="1" applyFill="1" applyBorder="1" applyAlignment="1">
      <alignment horizontal="center"/>
    </xf>
    <xf numFmtId="164" fontId="7" fillId="4" borderId="11" xfId="0" applyNumberFormat="1" applyFont="1" applyFill="1" applyBorder="1" applyAlignment="1">
      <alignment horizontal="center"/>
    </xf>
    <xf numFmtId="4" fontId="0" fillId="0" borderId="0" xfId="0" applyNumberFormat="1"/>
    <xf numFmtId="0" fontId="0" fillId="0" borderId="13" xfId="0" applyBorder="1"/>
    <xf numFmtId="0" fontId="0" fillId="0" borderId="14" xfId="0" applyBorder="1"/>
    <xf numFmtId="0" fontId="4" fillId="2" borderId="8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3" borderId="10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3" borderId="8" xfId="0" applyFill="1" applyBorder="1" applyAlignment="1">
      <alignment horizontal="right"/>
    </xf>
  </cellXfs>
  <cellStyles count="1">
    <cellStyle name="Normal" xfId="0" builtinId="0"/>
  </cellStyles>
  <dxfs count="53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2" formatCode="0.00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%20Laptop/OneDrive/Desktop/Battle%20Creek/Park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League"/>
      <sheetName val="Raw"/>
      <sheetName val="BC"/>
      <sheetName val="BIS"/>
      <sheetName val="DUL"/>
      <sheetName val="EC"/>
      <sheetName val="FDL"/>
      <sheetName val="GB"/>
      <sheetName val="KEN"/>
      <sheetName val="KMO"/>
      <sheetName val="KZO"/>
      <sheetName val="LAC"/>
      <sheetName val="LAK"/>
      <sheetName val="MAD"/>
      <sheetName val="MAN"/>
      <sheetName val="MIN"/>
      <sheetName val="RFD"/>
      <sheetName val="ROC"/>
      <sheetName val="STC"/>
      <sheetName val="TVC"/>
      <sheetName val="WAT"/>
      <sheetName val="WAU"/>
      <sheetName val="WIL"/>
      <sheetName val="WIR"/>
    </sheetNames>
    <sheetDataSet>
      <sheetData sheetId="0">
        <row r="2">
          <cell r="A2" t="str">
            <v>BC</v>
          </cell>
          <cell r="B2" t="str">
            <v>GL</v>
          </cell>
          <cell r="C2">
            <v>144</v>
          </cell>
          <cell r="D2">
            <v>768</v>
          </cell>
          <cell r="E2">
            <v>961</v>
          </cell>
          <cell r="F2">
            <v>1729</v>
          </cell>
          <cell r="G2">
            <v>12.006944444444445</v>
          </cell>
          <cell r="H2">
            <v>92.419690824598916</v>
          </cell>
          <cell r="I2">
            <v>94.422005103291411</v>
          </cell>
        </row>
        <row r="3">
          <cell r="A3" t="str">
            <v>BIS</v>
          </cell>
          <cell r="B3" t="str">
            <v>GP</v>
          </cell>
          <cell r="C3">
            <v>136</v>
          </cell>
          <cell r="D3">
            <v>733</v>
          </cell>
          <cell r="E3">
            <v>913</v>
          </cell>
          <cell r="F3">
            <v>1646</v>
          </cell>
          <cell r="G3">
            <v>12.102941176470589</v>
          </cell>
          <cell r="H3">
            <v>93.578980387591287</v>
          </cell>
          <cell r="I3">
            <v>95.835835570054059</v>
          </cell>
        </row>
        <row r="4">
          <cell r="A4" t="str">
            <v>DUL</v>
          </cell>
          <cell r="B4" t="str">
            <v>GP</v>
          </cell>
          <cell r="C4">
            <v>135</v>
          </cell>
          <cell r="D4">
            <v>727</v>
          </cell>
          <cell r="E4">
            <v>807</v>
          </cell>
          <cell r="F4">
            <v>1534</v>
          </cell>
          <cell r="G4">
            <v>11.362962962962962</v>
          </cell>
          <cell r="H4">
            <v>101.06251745075383</v>
          </cell>
          <cell r="I4">
            <v>102.13231095819111</v>
          </cell>
        </row>
        <row r="5">
          <cell r="A5" t="str">
            <v>EC</v>
          </cell>
          <cell r="B5" t="str">
            <v>GP</v>
          </cell>
          <cell r="C5">
            <v>136</v>
          </cell>
          <cell r="D5">
            <v>708</v>
          </cell>
          <cell r="E5">
            <v>714</v>
          </cell>
          <cell r="F5">
            <v>1422</v>
          </cell>
          <cell r="G5">
            <v>10.455882352941176</v>
          </cell>
          <cell r="H5">
            <v>95.627004985760095</v>
          </cell>
          <cell r="I5">
            <v>95.697606835770301</v>
          </cell>
        </row>
        <row r="6">
          <cell r="A6" t="str">
            <v>FDL</v>
          </cell>
          <cell r="B6" t="str">
            <v>GL</v>
          </cell>
          <cell r="C6">
            <v>142</v>
          </cell>
          <cell r="D6">
            <v>943</v>
          </cell>
          <cell r="E6">
            <v>816</v>
          </cell>
          <cell r="F6">
            <v>1759</v>
          </cell>
          <cell r="G6">
            <v>12.387323943661972</v>
          </cell>
          <cell r="H6">
            <v>103.35246637265764</v>
          </cell>
          <cell r="I6">
            <v>102.06765452290851</v>
          </cell>
        </row>
        <row r="7">
          <cell r="A7" t="str">
            <v>GB</v>
          </cell>
          <cell r="B7" t="str">
            <v>GL</v>
          </cell>
          <cell r="C7">
            <v>144</v>
          </cell>
          <cell r="D7">
            <v>691</v>
          </cell>
          <cell r="E7">
            <v>891</v>
          </cell>
          <cell r="F7">
            <v>1582</v>
          </cell>
          <cell r="G7">
            <v>10.986111111111111</v>
          </cell>
          <cell r="H7">
            <v>104.54002912116363</v>
          </cell>
          <cell r="I7">
            <v>106.58412360486997</v>
          </cell>
        </row>
        <row r="8">
          <cell r="A8" t="str">
            <v>KEN</v>
          </cell>
          <cell r="B8" t="str">
            <v>GL</v>
          </cell>
          <cell r="C8">
            <v>143</v>
          </cell>
          <cell r="D8">
            <v>860</v>
          </cell>
          <cell r="E8">
            <v>813</v>
          </cell>
          <cell r="F8">
            <v>1673</v>
          </cell>
          <cell r="G8">
            <v>11.6993006993007</v>
          </cell>
          <cell r="H8">
            <v>107.64896652458256</v>
          </cell>
          <cell r="I8">
            <v>107.19607164511214</v>
          </cell>
        </row>
        <row r="9">
          <cell r="A9" t="str">
            <v>KMO</v>
          </cell>
          <cell r="B9" t="str">
            <v>GL</v>
          </cell>
          <cell r="C9">
            <v>143</v>
          </cell>
          <cell r="D9">
            <v>762</v>
          </cell>
          <cell r="E9">
            <v>908</v>
          </cell>
          <cell r="F9">
            <v>1670</v>
          </cell>
          <cell r="G9">
            <v>11.678321678321678</v>
          </cell>
          <cell r="H9">
            <v>94.972810650464865</v>
          </cell>
          <cell r="I9">
            <v>96.405971413338165</v>
          </cell>
        </row>
        <row r="10">
          <cell r="A10" t="str">
            <v>KZO</v>
          </cell>
          <cell r="B10" t="str">
            <v>GL</v>
          </cell>
          <cell r="C10">
            <v>143</v>
          </cell>
          <cell r="D10">
            <v>874</v>
          </cell>
          <cell r="E10">
            <v>902</v>
          </cell>
          <cell r="F10">
            <v>1776</v>
          </cell>
          <cell r="G10">
            <v>12.41958041958042</v>
          </cell>
          <cell r="H10">
            <v>99.081867665575672</v>
          </cell>
          <cell r="I10">
            <v>99.41078019773056</v>
          </cell>
        </row>
        <row r="11">
          <cell r="A11" t="str">
            <v>LAC</v>
          </cell>
          <cell r="B11" t="str">
            <v>GP</v>
          </cell>
          <cell r="C11">
            <v>136</v>
          </cell>
          <cell r="D11">
            <v>797</v>
          </cell>
          <cell r="E11">
            <v>895</v>
          </cell>
          <cell r="F11">
            <v>1692</v>
          </cell>
          <cell r="G11">
            <v>12.441176470588236</v>
          </cell>
          <cell r="H11">
            <v>107.2268498852269</v>
          </cell>
          <cell r="I11">
            <v>108.51784028113178</v>
          </cell>
        </row>
        <row r="12">
          <cell r="A12" t="str">
            <v>LAK</v>
          </cell>
          <cell r="B12" t="str">
            <v>GL</v>
          </cell>
          <cell r="C12">
            <v>143</v>
          </cell>
          <cell r="D12">
            <v>759</v>
          </cell>
          <cell r="E12">
            <v>731</v>
          </cell>
          <cell r="F12">
            <v>1490</v>
          </cell>
          <cell r="G12">
            <v>10.41958041958042</v>
          </cell>
          <cell r="H12">
            <v>100.31297401058086</v>
          </cell>
          <cell r="I12">
            <v>100.06457524815109</v>
          </cell>
        </row>
        <row r="13">
          <cell r="A13" t="str">
            <v>MAD</v>
          </cell>
          <cell r="B13" t="str">
            <v>GL</v>
          </cell>
          <cell r="C13">
            <v>144</v>
          </cell>
          <cell r="D13">
            <v>774</v>
          </cell>
          <cell r="E13">
            <v>891</v>
          </cell>
          <cell r="F13">
            <v>1665</v>
          </cell>
          <cell r="G13">
            <v>11.5625</v>
          </cell>
          <cell r="H13">
            <v>93.811548169395721</v>
          </cell>
          <cell r="I13">
            <v>94.945194183486976</v>
          </cell>
        </row>
        <row r="14">
          <cell r="A14" t="str">
            <v>MAN</v>
          </cell>
          <cell r="B14" t="str">
            <v>GP</v>
          </cell>
          <cell r="C14">
            <v>136</v>
          </cell>
          <cell r="D14">
            <v>779</v>
          </cell>
          <cell r="E14">
            <v>672</v>
          </cell>
          <cell r="F14">
            <v>1451</v>
          </cell>
          <cell r="G14">
            <v>10.669117647058824</v>
          </cell>
          <cell r="H14">
            <v>92.725443464655029</v>
          </cell>
          <cell r="I14">
            <v>91.323875776346156</v>
          </cell>
        </row>
        <row r="15">
          <cell r="A15" t="str">
            <v>MIN</v>
          </cell>
          <cell r="B15" t="str">
            <v>GP</v>
          </cell>
          <cell r="C15">
            <v>72</v>
          </cell>
          <cell r="D15">
            <v>332</v>
          </cell>
          <cell r="E15">
            <v>493</v>
          </cell>
          <cell r="F15">
            <v>825</v>
          </cell>
          <cell r="G15">
            <v>11.458333333333334</v>
          </cell>
          <cell r="H15">
            <v>100</v>
          </cell>
          <cell r="I15">
            <v>100</v>
          </cell>
        </row>
        <row r="16">
          <cell r="A16" t="str">
            <v>RFD</v>
          </cell>
          <cell r="B16" t="str">
            <v>GL</v>
          </cell>
          <cell r="C16">
            <v>143</v>
          </cell>
          <cell r="D16">
            <v>838</v>
          </cell>
          <cell r="E16">
            <v>876</v>
          </cell>
          <cell r="F16">
            <v>1714</v>
          </cell>
          <cell r="G16">
            <v>11.986013986013987</v>
          </cell>
          <cell r="H16">
            <v>115.09522310841493</v>
          </cell>
          <cell r="I16">
            <v>115.6559603129344</v>
          </cell>
        </row>
        <row r="17">
          <cell r="A17" t="str">
            <v>ROC</v>
          </cell>
          <cell r="B17" t="str">
            <v>GP</v>
          </cell>
          <cell r="C17">
            <v>135</v>
          </cell>
          <cell r="D17">
            <v>816</v>
          </cell>
          <cell r="E17">
            <v>867</v>
          </cell>
          <cell r="F17">
            <v>1683</v>
          </cell>
          <cell r="G17">
            <v>12.466666666666667</v>
          </cell>
          <cell r="H17">
            <v>101.40928674631904</v>
          </cell>
          <cell r="I17">
            <v>102.1389348939574</v>
          </cell>
        </row>
        <row r="18">
          <cell r="A18" t="str">
            <v>STC</v>
          </cell>
          <cell r="B18" t="str">
            <v>GP</v>
          </cell>
          <cell r="C18">
            <v>136</v>
          </cell>
          <cell r="D18">
            <v>879</v>
          </cell>
          <cell r="E18">
            <v>517</v>
          </cell>
          <cell r="F18">
            <v>1396</v>
          </cell>
          <cell r="G18">
            <v>10.264705882352942</v>
          </cell>
          <cell r="H18">
            <v>102.40678238643272</v>
          </cell>
          <cell r="I18">
            <v>97.72617800580214</v>
          </cell>
        </row>
        <row r="19">
          <cell r="A19" t="str">
            <v>TVC</v>
          </cell>
          <cell r="B19" t="str">
            <v>GL</v>
          </cell>
          <cell r="C19">
            <v>143</v>
          </cell>
          <cell r="D19">
            <v>884</v>
          </cell>
          <cell r="E19">
            <v>657</v>
          </cell>
          <cell r="F19">
            <v>1541</v>
          </cell>
          <cell r="G19">
            <v>10.776223776223777</v>
          </cell>
          <cell r="H19">
            <v>90.284629639428047</v>
          </cell>
          <cell r="I19">
            <v>87.79316902104604</v>
          </cell>
        </row>
        <row r="20">
          <cell r="A20" t="str">
            <v>WAT</v>
          </cell>
          <cell r="B20" t="str">
            <v>GP</v>
          </cell>
          <cell r="C20">
            <v>135</v>
          </cell>
          <cell r="D20">
            <v>830</v>
          </cell>
          <cell r="E20">
            <v>922</v>
          </cell>
          <cell r="F20">
            <v>1752</v>
          </cell>
          <cell r="G20">
            <v>12.977777777777778</v>
          </cell>
          <cell r="H20">
            <v>105.59504820763959</v>
          </cell>
          <cell r="I20">
            <v>106.83575891028218</v>
          </cell>
        </row>
        <row r="21">
          <cell r="A21" t="str">
            <v>WAU</v>
          </cell>
          <cell r="B21" t="str">
            <v>GL</v>
          </cell>
          <cell r="C21">
            <v>143</v>
          </cell>
          <cell r="D21">
            <v>803</v>
          </cell>
          <cell r="E21">
            <v>773</v>
          </cell>
          <cell r="F21">
            <v>1576</v>
          </cell>
          <cell r="G21">
            <v>11.020979020979022</v>
          </cell>
          <cell r="H21">
            <v>102.2207316548301</v>
          </cell>
          <cell r="I21">
            <v>101.92881778359242</v>
          </cell>
        </row>
        <row r="22">
          <cell r="A22" t="str">
            <v>WIL</v>
          </cell>
          <cell r="B22" t="str">
            <v>GP</v>
          </cell>
          <cell r="C22">
            <v>136</v>
          </cell>
          <cell r="D22">
            <v>890</v>
          </cell>
          <cell r="E22">
            <v>690</v>
          </cell>
          <cell r="F22">
            <v>1580</v>
          </cell>
          <cell r="G22">
            <v>11.617647058823529</v>
          </cell>
          <cell r="H22">
            <v>101.06681846583658</v>
          </cell>
          <cell r="I22">
            <v>98.604295101908178</v>
          </cell>
        </row>
        <row r="23">
          <cell r="A23" t="str">
            <v>WIR</v>
          </cell>
          <cell r="B23" t="str">
            <v>GL</v>
          </cell>
          <cell r="C23">
            <v>144</v>
          </cell>
          <cell r="D23">
            <v>879</v>
          </cell>
          <cell r="E23">
            <v>604</v>
          </cell>
          <cell r="F23">
            <v>1483</v>
          </cell>
          <cell r="G23">
            <v>10.298611111111111</v>
          </cell>
          <cell r="H23">
            <v>97.035575388611989</v>
          </cell>
          <cell r="I23">
            <v>94.257353921788635</v>
          </cell>
        </row>
      </sheetData>
      <sheetData sheetId="1">
        <row r="2">
          <cell r="L2" t="str">
            <v>BC</v>
          </cell>
          <cell r="M2" t="str">
            <v>GL</v>
          </cell>
          <cell r="N2">
            <v>72</v>
          </cell>
          <cell r="O2">
            <v>430</v>
          </cell>
          <cell r="P2">
            <v>474</v>
          </cell>
          <cell r="Q2">
            <v>904</v>
          </cell>
          <cell r="R2">
            <v>-0.61111111111111116</v>
          </cell>
          <cell r="S2">
            <v>12.555555555555555</v>
          </cell>
          <cell r="T2">
            <v>-8.5055838201705453E-2</v>
          </cell>
          <cell r="U2">
            <v>3.3200531208499337E-3</v>
          </cell>
          <cell r="V2">
            <v>14</v>
          </cell>
          <cell r="W2">
            <v>22</v>
          </cell>
          <cell r="X2">
            <v>21</v>
          </cell>
          <cell r="Y2">
            <v>15</v>
          </cell>
          <cell r="Z2">
            <v>18</v>
          </cell>
          <cell r="AA2">
            <v>26</v>
          </cell>
          <cell r="AB2">
            <v>17</v>
          </cell>
          <cell r="AC2">
            <v>11</v>
          </cell>
        </row>
        <row r="3">
          <cell r="L3" t="str">
            <v>BIS</v>
          </cell>
          <cell r="M3" t="str">
            <v>GP</v>
          </cell>
          <cell r="N3">
            <v>68</v>
          </cell>
          <cell r="O3">
            <v>374</v>
          </cell>
          <cell r="P3">
            <v>504</v>
          </cell>
          <cell r="Q3">
            <v>878</v>
          </cell>
          <cell r="R3">
            <v>-1.911764705882353</v>
          </cell>
          <cell r="S3">
            <v>12.911764705882353</v>
          </cell>
          <cell r="T3">
            <v>0.23007898398887261</v>
          </cell>
          <cell r="V3">
            <v>12</v>
          </cell>
          <cell r="W3">
            <v>24</v>
          </cell>
          <cell r="X3">
            <v>11</v>
          </cell>
          <cell r="Y3">
            <v>21</v>
          </cell>
          <cell r="Z3">
            <v>9</v>
          </cell>
          <cell r="AA3">
            <v>23</v>
          </cell>
          <cell r="AB3">
            <v>14</v>
          </cell>
          <cell r="AC3">
            <v>22</v>
          </cell>
        </row>
        <row r="4">
          <cell r="L4" t="str">
            <v>DUL</v>
          </cell>
          <cell r="M4" t="str">
            <v>GP</v>
          </cell>
          <cell r="N4">
            <v>67</v>
          </cell>
          <cell r="O4">
            <v>357</v>
          </cell>
          <cell r="P4">
            <v>382</v>
          </cell>
          <cell r="Q4">
            <v>739</v>
          </cell>
          <cell r="R4">
            <v>-0.37313432835820898</v>
          </cell>
          <cell r="S4">
            <v>11.029850746268657</v>
          </cell>
          <cell r="T4">
            <v>4.9795938672390828E-2</v>
          </cell>
          <cell r="V4">
            <v>21</v>
          </cell>
          <cell r="W4">
            <v>15</v>
          </cell>
          <cell r="X4">
            <v>13</v>
          </cell>
          <cell r="Y4">
            <v>19</v>
          </cell>
          <cell r="Z4">
            <v>9</v>
          </cell>
          <cell r="AA4">
            <v>23</v>
          </cell>
          <cell r="AB4">
            <v>25</v>
          </cell>
          <cell r="AC4">
            <v>11</v>
          </cell>
        </row>
        <row r="5">
          <cell r="L5" t="str">
            <v>EC</v>
          </cell>
          <cell r="M5" t="str">
            <v>GP</v>
          </cell>
          <cell r="N5">
            <v>68</v>
          </cell>
          <cell r="O5">
            <v>403</v>
          </cell>
          <cell r="P5">
            <v>327</v>
          </cell>
          <cell r="Q5">
            <v>730</v>
          </cell>
          <cell r="R5">
            <v>1.1176470588235294</v>
          </cell>
          <cell r="S5">
            <v>10.735294117647058</v>
          </cell>
          <cell r="T5">
            <v>-0.12632240009417242</v>
          </cell>
          <cell r="V5">
            <v>28</v>
          </cell>
          <cell r="W5">
            <v>8</v>
          </cell>
          <cell r="X5">
            <v>14</v>
          </cell>
          <cell r="Y5">
            <v>18</v>
          </cell>
          <cell r="Z5">
            <v>11</v>
          </cell>
          <cell r="AA5">
            <v>13</v>
          </cell>
          <cell r="AB5">
            <v>31</v>
          </cell>
          <cell r="AC5">
            <v>13</v>
          </cell>
        </row>
        <row r="6">
          <cell r="L6" t="str">
            <v>FDL</v>
          </cell>
          <cell r="M6" t="str">
            <v>GL</v>
          </cell>
          <cell r="N6">
            <v>71</v>
          </cell>
          <cell r="O6">
            <v>519</v>
          </cell>
          <cell r="P6">
            <v>465</v>
          </cell>
          <cell r="Q6">
            <v>984</v>
          </cell>
          <cell r="R6">
            <v>0.76056338028169013</v>
          </cell>
          <cell r="S6">
            <v>13.859154929577464</v>
          </cell>
          <cell r="T6">
            <v>-0.1512651591171075</v>
          </cell>
          <cell r="V6">
            <v>18</v>
          </cell>
          <cell r="W6">
            <v>18</v>
          </cell>
          <cell r="X6">
            <v>18</v>
          </cell>
          <cell r="Y6">
            <v>18</v>
          </cell>
          <cell r="Z6">
            <v>14</v>
          </cell>
          <cell r="AA6">
            <v>26</v>
          </cell>
          <cell r="AB6">
            <v>22</v>
          </cell>
          <cell r="AC6">
            <v>10</v>
          </cell>
        </row>
        <row r="7">
          <cell r="L7" t="str">
            <v>GB</v>
          </cell>
          <cell r="M7" t="str">
            <v>GL</v>
          </cell>
          <cell r="N7">
            <v>72</v>
          </cell>
          <cell r="O7">
            <v>348</v>
          </cell>
          <cell r="P7">
            <v>449</v>
          </cell>
          <cell r="Q7">
            <v>797</v>
          </cell>
          <cell r="R7">
            <v>-1.4027777777777777</v>
          </cell>
          <cell r="S7">
            <v>11.069444444444445</v>
          </cell>
          <cell r="T7">
            <v>0.54403040766857835</v>
          </cell>
          <cell r="V7">
            <v>14</v>
          </cell>
          <cell r="W7">
            <v>22</v>
          </cell>
          <cell r="X7">
            <v>16</v>
          </cell>
          <cell r="Y7">
            <v>20</v>
          </cell>
          <cell r="Z7">
            <v>23</v>
          </cell>
          <cell r="AA7">
            <v>37</v>
          </cell>
          <cell r="AB7">
            <v>7</v>
          </cell>
          <cell r="AC7">
            <v>5</v>
          </cell>
        </row>
        <row r="8">
          <cell r="L8" t="str">
            <v>KEN</v>
          </cell>
          <cell r="M8" t="str">
            <v>GL</v>
          </cell>
          <cell r="N8">
            <v>71</v>
          </cell>
          <cell r="O8">
            <v>401</v>
          </cell>
          <cell r="P8">
            <v>401</v>
          </cell>
          <cell r="Q8">
            <v>802</v>
          </cell>
          <cell r="R8">
            <v>0</v>
          </cell>
          <cell r="S8">
            <v>11.295774647887324</v>
          </cell>
          <cell r="T8">
            <v>1.2219191737974344E-2</v>
          </cell>
          <cell r="V8">
            <v>19</v>
          </cell>
          <cell r="W8">
            <v>17</v>
          </cell>
          <cell r="X8">
            <v>14</v>
          </cell>
          <cell r="Y8">
            <v>21</v>
          </cell>
          <cell r="Z8">
            <v>21</v>
          </cell>
          <cell r="AA8">
            <v>26</v>
          </cell>
          <cell r="AB8">
            <v>12</v>
          </cell>
          <cell r="AC8">
            <v>12</v>
          </cell>
        </row>
        <row r="9">
          <cell r="L9" t="str">
            <v>KMO</v>
          </cell>
          <cell r="M9" t="str">
            <v>GL</v>
          </cell>
          <cell r="N9">
            <v>71</v>
          </cell>
          <cell r="O9">
            <v>325</v>
          </cell>
          <cell r="P9">
            <v>545</v>
          </cell>
          <cell r="Q9">
            <v>870</v>
          </cell>
          <cell r="R9">
            <v>-3.0985915492957745</v>
          </cell>
          <cell r="S9">
            <v>12.253521126760564</v>
          </cell>
          <cell r="T9">
            <v>0.48283521779223576</v>
          </cell>
          <cell r="V9">
            <v>10</v>
          </cell>
          <cell r="W9">
            <v>26</v>
          </cell>
          <cell r="X9">
            <v>9</v>
          </cell>
          <cell r="Y9">
            <v>27</v>
          </cell>
          <cell r="Z9">
            <v>9</v>
          </cell>
          <cell r="AA9">
            <v>35</v>
          </cell>
          <cell r="AB9">
            <v>10</v>
          </cell>
          <cell r="AC9">
            <v>18</v>
          </cell>
        </row>
        <row r="10">
          <cell r="L10" t="str">
            <v>KZO</v>
          </cell>
          <cell r="M10" t="str">
            <v>GL</v>
          </cell>
          <cell r="N10">
            <v>71</v>
          </cell>
          <cell r="O10">
            <v>516</v>
          </cell>
          <cell r="P10">
            <v>478</v>
          </cell>
          <cell r="Q10">
            <v>994</v>
          </cell>
          <cell r="R10">
            <v>0.53521126760563376</v>
          </cell>
          <cell r="S10">
            <v>14</v>
          </cell>
          <cell r="T10">
            <v>-0.27120120544953241</v>
          </cell>
          <cell r="V10">
            <v>18</v>
          </cell>
          <cell r="W10">
            <v>17</v>
          </cell>
          <cell r="X10">
            <v>18</v>
          </cell>
          <cell r="Y10">
            <v>18</v>
          </cell>
          <cell r="Z10">
            <v>11</v>
          </cell>
          <cell r="AA10">
            <v>21</v>
          </cell>
          <cell r="AB10">
            <v>25</v>
          </cell>
          <cell r="AC10">
            <v>14</v>
          </cell>
        </row>
        <row r="11">
          <cell r="L11" t="str">
            <v>LAC</v>
          </cell>
          <cell r="M11" t="str">
            <v>GP</v>
          </cell>
          <cell r="N11">
            <v>68</v>
          </cell>
          <cell r="O11">
            <v>431</v>
          </cell>
          <cell r="P11">
            <v>448</v>
          </cell>
          <cell r="Q11">
            <v>879</v>
          </cell>
          <cell r="R11">
            <v>-0.25</v>
          </cell>
          <cell r="S11">
            <v>12.926470588235293</v>
          </cell>
          <cell r="T11">
            <v>3.4577253885066342E-2</v>
          </cell>
          <cell r="V11">
            <v>20</v>
          </cell>
          <cell r="W11">
            <v>16</v>
          </cell>
          <cell r="X11">
            <v>11</v>
          </cell>
          <cell r="Y11">
            <v>21</v>
          </cell>
          <cell r="Z11">
            <v>12</v>
          </cell>
          <cell r="AA11">
            <v>20</v>
          </cell>
          <cell r="AB11">
            <v>19</v>
          </cell>
          <cell r="AC11">
            <v>17</v>
          </cell>
        </row>
        <row r="12">
          <cell r="L12" t="str">
            <v>LAK</v>
          </cell>
          <cell r="M12" t="str">
            <v>GL</v>
          </cell>
          <cell r="N12">
            <v>72</v>
          </cell>
          <cell r="O12">
            <v>398</v>
          </cell>
          <cell r="P12">
            <v>388</v>
          </cell>
          <cell r="Q12">
            <v>786</v>
          </cell>
          <cell r="R12">
            <v>0.1388888888888889</v>
          </cell>
          <cell r="S12">
            <v>10.916666666666666</v>
          </cell>
          <cell r="T12">
            <v>0.17710509033246266</v>
          </cell>
          <cell r="V12">
            <v>21</v>
          </cell>
          <cell r="W12">
            <v>15</v>
          </cell>
          <cell r="X12">
            <v>15</v>
          </cell>
          <cell r="Y12">
            <v>21</v>
          </cell>
          <cell r="Z12">
            <v>18</v>
          </cell>
          <cell r="AA12">
            <v>22</v>
          </cell>
          <cell r="AB12">
            <v>18</v>
          </cell>
          <cell r="AC12">
            <v>14</v>
          </cell>
        </row>
        <row r="13">
          <cell r="L13" t="str">
            <v>MAD</v>
          </cell>
          <cell r="M13" t="str">
            <v>GL</v>
          </cell>
          <cell r="N13">
            <v>72</v>
          </cell>
          <cell r="O13">
            <v>394</v>
          </cell>
          <cell r="P13">
            <v>503</v>
          </cell>
          <cell r="Q13">
            <v>897</v>
          </cell>
          <cell r="R13">
            <v>-1.5138888888888888</v>
          </cell>
          <cell r="S13">
            <v>12.458333333333334</v>
          </cell>
          <cell r="T13">
            <v>0.24647346105059859</v>
          </cell>
          <cell r="V13">
            <v>14</v>
          </cell>
          <cell r="W13">
            <v>22</v>
          </cell>
          <cell r="X13">
            <v>12</v>
          </cell>
          <cell r="Y13">
            <v>24</v>
          </cell>
          <cell r="Z13">
            <v>17</v>
          </cell>
          <cell r="AA13">
            <v>35</v>
          </cell>
          <cell r="AB13">
            <v>9</v>
          </cell>
          <cell r="AC13">
            <v>11</v>
          </cell>
        </row>
        <row r="14">
          <cell r="L14" t="str">
            <v>MAN</v>
          </cell>
          <cell r="M14" t="str">
            <v>GP</v>
          </cell>
          <cell r="N14">
            <v>68</v>
          </cell>
          <cell r="O14">
            <v>426</v>
          </cell>
          <cell r="P14">
            <v>376</v>
          </cell>
          <cell r="Q14">
            <v>802</v>
          </cell>
          <cell r="R14">
            <v>0.73529411764705888</v>
          </cell>
          <cell r="S14">
            <v>11.794117647058824</v>
          </cell>
          <cell r="T14">
            <v>-8.1339701132234737E-2</v>
          </cell>
          <cell r="V14">
            <v>25</v>
          </cell>
          <cell r="W14">
            <v>11</v>
          </cell>
          <cell r="X14">
            <v>15</v>
          </cell>
          <cell r="Y14">
            <v>17</v>
          </cell>
          <cell r="Z14">
            <v>8</v>
          </cell>
          <cell r="AA14">
            <v>16</v>
          </cell>
          <cell r="AB14">
            <v>32</v>
          </cell>
          <cell r="AC14">
            <v>12</v>
          </cell>
        </row>
        <row r="15">
          <cell r="L15" t="str">
            <v>MIN</v>
          </cell>
          <cell r="M15" t="str">
            <v>GP</v>
          </cell>
          <cell r="N15">
            <v>36</v>
          </cell>
          <cell r="O15">
            <v>175</v>
          </cell>
          <cell r="P15">
            <v>270</v>
          </cell>
          <cell r="Q15">
            <v>445</v>
          </cell>
          <cell r="R15">
            <v>-2.6388888888888888</v>
          </cell>
          <cell r="S15">
            <v>12.361111111111111</v>
          </cell>
          <cell r="T15">
            <v>0.15129900843412036</v>
          </cell>
          <cell r="V15">
            <v>0</v>
          </cell>
          <cell r="W15">
            <v>0</v>
          </cell>
          <cell r="X15">
            <v>7</v>
          </cell>
          <cell r="Y15">
            <v>29</v>
          </cell>
          <cell r="Z15">
            <v>1</v>
          </cell>
          <cell r="AA15">
            <v>15</v>
          </cell>
          <cell r="AB15">
            <v>6</v>
          </cell>
          <cell r="AC15">
            <v>14</v>
          </cell>
        </row>
        <row r="16">
          <cell r="L16" t="str">
            <v>RFD</v>
          </cell>
          <cell r="M16" t="str">
            <v>GL</v>
          </cell>
          <cell r="N16">
            <v>72</v>
          </cell>
          <cell r="O16">
            <v>446</v>
          </cell>
          <cell r="P16">
            <v>386</v>
          </cell>
          <cell r="Q16">
            <v>832</v>
          </cell>
          <cell r="R16">
            <v>0.83333333333333337</v>
          </cell>
          <cell r="S16">
            <v>11.555555555555555</v>
          </cell>
          <cell r="T16">
            <v>-0.29937726056303382</v>
          </cell>
          <cell r="V16">
            <v>20</v>
          </cell>
          <cell r="W16">
            <v>16</v>
          </cell>
          <cell r="X16">
            <v>17</v>
          </cell>
          <cell r="Y16">
            <v>19</v>
          </cell>
          <cell r="Z16">
            <v>14</v>
          </cell>
          <cell r="AA16">
            <v>14</v>
          </cell>
          <cell r="AB16">
            <v>23</v>
          </cell>
          <cell r="AC16">
            <v>21</v>
          </cell>
        </row>
        <row r="17">
          <cell r="L17" t="str">
            <v>ROC</v>
          </cell>
          <cell r="M17" t="str">
            <v>GP</v>
          </cell>
          <cell r="N17">
            <v>68</v>
          </cell>
          <cell r="O17">
            <v>455</v>
          </cell>
          <cell r="P17">
            <v>469</v>
          </cell>
          <cell r="Q17">
            <v>924</v>
          </cell>
          <cell r="R17">
            <v>-0.20588235294117646</v>
          </cell>
          <cell r="S17">
            <v>13.588235294117647</v>
          </cell>
          <cell r="T17">
            <v>2.9386942466381176E-2</v>
          </cell>
          <cell r="V17">
            <v>23</v>
          </cell>
          <cell r="W17">
            <v>13</v>
          </cell>
          <cell r="X17">
            <v>9</v>
          </cell>
          <cell r="Y17">
            <v>23</v>
          </cell>
          <cell r="Z17">
            <v>10</v>
          </cell>
          <cell r="AA17">
            <v>22</v>
          </cell>
          <cell r="AB17">
            <v>22</v>
          </cell>
          <cell r="AC17">
            <v>14</v>
          </cell>
        </row>
        <row r="18">
          <cell r="L18" t="str">
            <v>STC</v>
          </cell>
          <cell r="M18" t="str">
            <v>GP</v>
          </cell>
          <cell r="N18">
            <v>68</v>
          </cell>
          <cell r="O18">
            <v>454</v>
          </cell>
          <cell r="P18">
            <v>279</v>
          </cell>
          <cell r="Q18">
            <v>733</v>
          </cell>
          <cell r="R18">
            <v>2.5735294117647061</v>
          </cell>
          <cell r="S18">
            <v>10.779411764705882</v>
          </cell>
          <cell r="T18">
            <v>-0.29760267691078141</v>
          </cell>
          <cell r="V18">
            <v>28</v>
          </cell>
          <cell r="W18">
            <v>8</v>
          </cell>
          <cell r="X18">
            <v>22</v>
          </cell>
          <cell r="Y18">
            <v>10</v>
          </cell>
          <cell r="Z18">
            <v>15</v>
          </cell>
          <cell r="AA18">
            <v>9</v>
          </cell>
          <cell r="AB18">
            <v>35</v>
          </cell>
          <cell r="AC18">
            <v>9</v>
          </cell>
        </row>
        <row r="19">
          <cell r="L19" t="str">
            <v>TVC</v>
          </cell>
          <cell r="M19" t="str">
            <v>GL</v>
          </cell>
          <cell r="N19">
            <v>72</v>
          </cell>
          <cell r="O19">
            <v>448</v>
          </cell>
          <cell r="P19">
            <v>344</v>
          </cell>
          <cell r="Q19">
            <v>792</v>
          </cell>
          <cell r="R19">
            <v>1.4444444444444444</v>
          </cell>
          <cell r="S19">
            <v>11</v>
          </cell>
          <cell r="T19">
            <v>-0.45355696843992466</v>
          </cell>
          <cell r="V19">
            <v>25</v>
          </cell>
          <cell r="W19">
            <v>11</v>
          </cell>
          <cell r="X19">
            <v>20</v>
          </cell>
          <cell r="Y19">
            <v>16</v>
          </cell>
          <cell r="Z19">
            <v>20</v>
          </cell>
          <cell r="AA19">
            <v>12</v>
          </cell>
          <cell r="AB19">
            <v>25</v>
          </cell>
          <cell r="AC19">
            <v>15</v>
          </cell>
        </row>
        <row r="20">
          <cell r="L20" t="str">
            <v>WAT</v>
          </cell>
          <cell r="M20" t="str">
            <v>GP</v>
          </cell>
          <cell r="N20">
            <v>68</v>
          </cell>
          <cell r="O20">
            <v>368</v>
          </cell>
          <cell r="P20">
            <v>595</v>
          </cell>
          <cell r="Q20">
            <v>963</v>
          </cell>
          <cell r="R20">
            <v>-3.3382352941176472</v>
          </cell>
          <cell r="S20">
            <v>14.161764705882353</v>
          </cell>
          <cell r="T20">
            <v>0.39789905319302504</v>
          </cell>
          <cell r="V20">
            <v>9</v>
          </cell>
          <cell r="W20">
            <v>27</v>
          </cell>
          <cell r="X20">
            <v>7</v>
          </cell>
          <cell r="Y20">
            <v>25</v>
          </cell>
          <cell r="Z20">
            <v>3</v>
          </cell>
          <cell r="AA20">
            <v>29</v>
          </cell>
          <cell r="AB20">
            <v>13</v>
          </cell>
          <cell r="AC20">
            <v>23</v>
          </cell>
        </row>
        <row r="21">
          <cell r="L21" t="str">
            <v>WAU</v>
          </cell>
          <cell r="M21" t="str">
            <v>GL</v>
          </cell>
          <cell r="N21">
            <v>71</v>
          </cell>
          <cell r="O21">
            <v>422</v>
          </cell>
          <cell r="P21">
            <v>409</v>
          </cell>
          <cell r="Q21">
            <v>831</v>
          </cell>
          <cell r="R21">
            <v>0.18309859154929578</v>
          </cell>
          <cell r="S21">
            <v>11.704225352112676</v>
          </cell>
          <cell r="T21">
            <v>0.23670900826590735</v>
          </cell>
          <cell r="V21">
            <v>23</v>
          </cell>
          <cell r="W21">
            <v>13</v>
          </cell>
          <cell r="X21">
            <v>15</v>
          </cell>
          <cell r="Y21">
            <v>21</v>
          </cell>
          <cell r="Z21">
            <v>19</v>
          </cell>
          <cell r="AA21">
            <v>25</v>
          </cell>
          <cell r="AB21">
            <v>19</v>
          </cell>
          <cell r="AC21">
            <v>9</v>
          </cell>
        </row>
        <row r="22">
          <cell r="L22" t="str">
            <v>WIL</v>
          </cell>
          <cell r="M22" t="str">
            <v>GP</v>
          </cell>
          <cell r="N22">
            <v>68</v>
          </cell>
          <cell r="O22">
            <v>525</v>
          </cell>
          <cell r="P22">
            <v>318</v>
          </cell>
          <cell r="Q22">
            <v>843</v>
          </cell>
          <cell r="R22">
            <v>3.0441176470588234</v>
          </cell>
          <cell r="S22">
            <v>12.397058823529411</v>
          </cell>
          <cell r="T22">
            <v>-0.35296599871008938</v>
          </cell>
          <cell r="V22">
            <v>29</v>
          </cell>
          <cell r="W22">
            <v>7</v>
          </cell>
          <cell r="X22">
            <v>19</v>
          </cell>
          <cell r="Y22">
            <v>13</v>
          </cell>
          <cell r="Z22">
            <v>14</v>
          </cell>
          <cell r="AA22">
            <v>10</v>
          </cell>
          <cell r="AB22">
            <v>34</v>
          </cell>
          <cell r="AC22">
            <v>10</v>
          </cell>
        </row>
        <row r="23">
          <cell r="L23" t="str">
            <v>WIR</v>
          </cell>
          <cell r="M23" t="str">
            <v>GL</v>
          </cell>
          <cell r="N23">
            <v>72</v>
          </cell>
          <cell r="O23">
            <v>510</v>
          </cell>
          <cell r="P23">
            <v>310</v>
          </cell>
          <cell r="Q23">
            <v>820</v>
          </cell>
          <cell r="R23">
            <v>2.7777777777777777</v>
          </cell>
          <cell r="S23">
            <v>11.388888888888889</v>
          </cell>
          <cell r="T23">
            <v>-0.43485369944322838</v>
          </cell>
          <cell r="V23">
            <v>29</v>
          </cell>
          <cell r="W23">
            <v>7</v>
          </cell>
          <cell r="X23">
            <v>28</v>
          </cell>
          <cell r="Y23">
            <v>8</v>
          </cell>
          <cell r="Z23">
            <v>30</v>
          </cell>
          <cell r="AA23">
            <v>10</v>
          </cell>
          <cell r="AB23">
            <v>27</v>
          </cell>
          <cell r="AC23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3F654B-F93F-459F-B448-50B5AD35A288}" name="Table3" displayName="Table3" ref="A1:AC23" totalsRowShown="0">
  <autoFilter ref="A1:AC23" xr:uid="{783F654B-F93F-459F-B448-50B5AD35A288}"/>
  <sortState xmlns:xlrd2="http://schemas.microsoft.com/office/spreadsheetml/2017/richdata2" ref="A2:AC23">
    <sortCondition descending="1" ref="K1:K23"/>
  </sortState>
  <tableColumns count="29">
    <tableColumn id="21" xr3:uid="{F5C79B69-E918-4704-A501-60A835F08C54}" name="Name"/>
    <tableColumn id="1" xr3:uid="{0C01B12A-0E1F-4B20-A22E-D411767B2CE2}" name="ABBR"/>
    <tableColumn id="2" xr3:uid="{CD751234-8879-4AD1-9BFF-0A97EEBE1781}" name="W" dataDxfId="36">
      <calculatedColumnFormula>VLOOKUP(VLOOKUP(Table3[[#This Row],[ABBR]],CHOOSE({2,1},StandingsRAW!$J:$J,StandingsRAW!$L:$L),2,FALSE),StandingsRAW!$A:$C,2,FALSE)</calculatedColumnFormula>
    </tableColumn>
    <tableColumn id="3" xr3:uid="{ADEB2BED-32AA-466C-AE10-81EDEDD98C71}" name="L" dataDxfId="35">
      <calculatedColumnFormula>VLOOKUP(VLOOKUP(Table3[[#This Row],[ABBR]],CHOOSE({2,1},StandingsRAW!$J:$J,StandingsRAW!$L:$L),2,FALSE),StandingsRAW!$A:$C,3,FALSE)</calculatedColumnFormula>
    </tableColumn>
    <tableColumn id="4" xr3:uid="{5FEB23AD-58EA-4628-97B1-163C90848BF1}" name="W%" dataDxfId="34">
      <calculatedColumnFormula>VLOOKUP(VLOOKUP(Table3[[#This Row],[ABBR]],CHOOSE({2,1},StandingsRAW!$J:$J,StandingsRAW!$L:$L),2,FALSE),StandingsRAW!$A:$D,4,FALSE)</calculatedColumnFormula>
    </tableColumn>
    <tableColumn id="5" xr3:uid="{8D5FF65A-1567-4EE3-917D-11A66BC22E22}" name="pythW" dataDxfId="33">
      <calculatedColumnFormula>Table3[[#This Row],[pyth%]]*Table3[[#This Row],[Games]]</calculatedColumnFormula>
    </tableColumn>
    <tableColumn id="6" xr3:uid="{DD98D8F9-20F6-4486-A11C-F149480FC0B2}" name="pythL" dataDxfId="32">
      <calculatedColumnFormula>(1-Table3[[#This Row],[pyth%]])*Table3[[#This Row],[Games]]</calculatedColumnFormula>
    </tableColumn>
    <tableColumn id="7" xr3:uid="{1F22D73C-7C45-4CCF-8064-39A9A29528D7}" name="pyth%" dataDxfId="31">
      <calculatedColumnFormula>((Table3[[#This Row],[R]]^1.81)/(Table3[[#This Row],[R]]^1.81 + Table3[[#This Row],[RA]]^1.81))</calculatedColumnFormula>
    </tableColumn>
    <tableColumn id="8" xr3:uid="{5ABE6F99-17A8-49EA-A734-74F684AC564D}" name="xpythW" dataDxfId="30">
      <calculatedColumnFormula>Table3[[#This Row],[xpyth%]]*Table3[[#This Row],[Games]]</calculatedColumnFormula>
    </tableColumn>
    <tableColumn id="9" xr3:uid="{A794A9A7-2F75-419A-AA88-A2A85B6DA8BD}" name="xpythL" dataDxfId="29">
      <calculatedColumnFormula>(1-Table3[[#This Row],[xpyth%]])*Table3[[#This Row],[Games]]</calculatedColumnFormula>
    </tableColumn>
    <tableColumn id="10" xr3:uid="{238A535E-683E-4DF1-9A5A-E4970E18A0BC}" name="xpyth%" dataDxfId="28">
      <calculatedColumnFormula>((Table3[[#This Row],[xR]]^1.81)/(Table3[[#This Row],[xR]]^1.81 + Table3[[#This Row],[xRA]]^1.81)) + $L$28</calculatedColumnFormula>
    </tableColumn>
    <tableColumn id="11" xr3:uid="{A45DE156-33A0-4EFD-8436-06A5DB51694B}" name="SOS" dataDxfId="27">
      <calculatedColumnFormula>VLOOKUP(Table3[[#This Row],[ABBR]],[1]Raw!$L$2:$T$23,9,FALSE)</calculatedColumnFormula>
    </tableColumn>
    <tableColumn id="12" xr3:uid="{7C7B9CE4-6B68-4E09-BDC0-4862FC40FA86}" name="SRS" dataDxfId="26">
      <calculatedColumnFormula>Table3[[#This Row],[Diff/g]]+Table3[[#This Row],[SOS]]</calculatedColumnFormula>
    </tableColumn>
    <tableColumn id="13" xr3:uid="{0B608CD1-41E9-4DD4-83D5-41C0B8B6B469}" name="LUCK" dataDxfId="25">
      <calculatedColumnFormula>Table3[[#This Row],[W]]-Table3[[#This Row],[pythW]]</calculatedColumnFormula>
    </tableColumn>
    <tableColumn id="14" xr3:uid="{9608AD4D-4033-412A-8849-94547AD2576F}" name="xLUCK" dataDxfId="24">
      <calculatedColumnFormula>Table3[[#This Row],[W]]-Table3[[#This Row],[xpythW]]</calculatedColumnFormula>
    </tableColumn>
    <tableColumn id="15" xr3:uid="{1E216E5B-5D16-44DB-B641-EC8535747CFA}" name="R" dataDxfId="23">
      <calculatedColumnFormula>VLOOKUP(Table3[[#This Row],[ABBR]],Table1[#All],5,FALSE)</calculatedColumnFormula>
    </tableColumn>
    <tableColumn id="16" xr3:uid="{2F01A8EB-4373-4406-B64F-3CD578CE2D1A}" name="RA" dataDxfId="22">
      <calculatedColumnFormula>VLOOKUP(Table3[[#This Row],[ABBR]],Table2[#All],10,FALSE)</calculatedColumnFormula>
    </tableColumn>
    <tableColumn id="17" xr3:uid="{3150C699-5E9A-42A6-898D-C5B96AA16209}" name="Diff">
      <calculatedColumnFormula>P2-Q2</calculatedColumnFormula>
    </tableColumn>
    <tableColumn id="32" xr3:uid="{827608B3-87B9-4ABC-855F-47221CD699E5}" name="Diff/g" dataDxfId="21">
      <calculatedColumnFormula>Table3[[#This Row],[Diff]]/Table3[[#This Row],[Games]]</calculatedColumnFormula>
    </tableColumn>
    <tableColumn id="18" xr3:uid="{32BACC74-CBA7-4CBC-A2CB-397180CB8991}" name="xR" dataDxfId="20">
      <calculatedColumnFormula>(-5.41729 + 0.5069*Table3[[#This Row],[H]] + 8.44144*Table3[[#This Row],[SECA]] + 11.79712*Table3[[#This Row],[OBP]]) *Table3[[#This Row],[Games]]</calculatedColumnFormula>
    </tableColumn>
    <tableColumn id="19" xr3:uid="{0EEB85C9-9E2C-43E9-86F0-25240FDEEE90}" name="xRA" dataDxfId="19">
      <calculatedColumnFormula>(-6.91097 + 0.22576*Table3[[#This Row],[K]] + 1.24772*Table3[[#This Row],[HRA]] + 6.5357*Table3[[#This Row],[WHIP]]) * Table3[[#This Row],[Games]]</calculatedColumnFormula>
    </tableColumn>
    <tableColumn id="20" xr3:uid="{186FADD3-C0B7-4543-8304-C8578BB8E9CE}" name="H" dataDxfId="18">
      <calculatedColumnFormula>VLOOKUP(Table3[[#This Row],[ABBR]],Table1[#All],6,FALSE) /Table3[[#This Row],[Games]]</calculatedColumnFormula>
    </tableColumn>
    <tableColumn id="25" xr3:uid="{C4EB381A-1638-44A1-8887-E3176DDF7AA1}" name="SECA" dataDxfId="17">
      <calculatedColumnFormula>VLOOKUP(Table3[[#This Row],[ABBR]],Table1[#All],28,FALSE)</calculatedColumnFormula>
    </tableColumn>
    <tableColumn id="24" xr3:uid="{75B06802-F578-407A-A15A-622F69F3A9A2}" name="OBP" dataDxfId="16">
      <calculatedColumnFormula>VLOOKUP(Table3[[#This Row],[ABBR]],Table1[#All],21,FALSE)</calculatedColumnFormula>
    </tableColumn>
    <tableColumn id="30" xr3:uid="{7E402C6B-9838-44C1-B099-EFB5BD30E6D0}" name="K" dataDxfId="15">
      <calculatedColumnFormula>VLOOKUP(Table3[[#This Row],[ABBR]],Table2[#All],13,FALSE) / Table3[[#This Row],[Games]]</calculatedColumnFormula>
    </tableColumn>
    <tableColumn id="29" xr3:uid="{397C942E-A069-4E96-BCB6-CAC65A87CDDE}" name="HRA" dataDxfId="14">
      <calculatedColumnFormula>VLOOKUP(Table3[[#This Row],[ABBR]],Table2[#All],21,FALSE) / Table3[[#This Row],[Games]]</calculatedColumnFormula>
    </tableColumn>
    <tableColumn id="28" xr3:uid="{D4CA6D10-3C46-4F61-B40C-DE92E6FA064D}" name="WHIP" dataDxfId="13">
      <calculatedColumnFormula>VLOOKUP(Table3[[#This Row],[ABBR]],Table2[#All],25,FALSE)</calculatedColumnFormula>
    </tableColumn>
    <tableColumn id="26" xr3:uid="{D544AEAF-9A41-4BC7-86D9-E4126CB1D33B}" name="Games">
      <calculatedColumnFormula>C2+D2</calculatedColumnFormula>
    </tableColumn>
    <tableColumn id="22" xr3:uid="{38105A71-DF28-41FD-805D-305377077005}" name="PP RepR" dataDxfId="1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B9437A-CC2E-4E3B-9072-A84124F1ED5F}" name="Table1" displayName="Table1" ref="A1:AD23" totalsRowShown="0">
  <autoFilter ref="A1:AD23" xr:uid="{33B9437A-CC2E-4E3B-9072-A84124F1ED5F}"/>
  <sortState xmlns:xlrd2="http://schemas.microsoft.com/office/spreadsheetml/2017/richdata2" ref="A2:AD23">
    <sortCondition ref="A1:A23"/>
  </sortState>
  <tableColumns count="30">
    <tableColumn id="1" xr3:uid="{74D7D2B2-25FE-47A6-AF18-D4985DC2CC94}" name="Team"/>
    <tableColumn id="2" xr3:uid="{B4614691-76DF-4E29-B19E-DF771DE71073}" name="G"/>
    <tableColumn id="3" xr3:uid="{DA7D902F-CF1E-4E82-8639-82F73F19AA74}" name="AVG"/>
    <tableColumn id="4" xr3:uid="{1367979F-2D07-49C5-87BC-BDA54C3F66D8}" name="AB"/>
    <tableColumn id="5" xr3:uid="{C23D51C6-1452-4D19-AC4B-934B639539ED}" name="R"/>
    <tableColumn id="6" xr3:uid="{C498D66E-74AD-47F3-9DA5-696F5363DECD}" name="H"/>
    <tableColumn id="7" xr3:uid="{C050D225-CABE-413E-8B22-D4909CA2BB66}" name="2B"/>
    <tableColumn id="8" xr3:uid="{EFFC5619-A70B-40B8-9EDB-19B92B9455E9}" name="3B"/>
    <tableColumn id="9" xr3:uid="{E885D29C-0D5E-4A80-A494-C7B8B6B01EF6}" name="HR"/>
    <tableColumn id="10" xr3:uid="{F5AAC535-B616-49AD-B1B6-DFAE9DD8EE9F}" name="RBI"/>
    <tableColumn id="11" xr3:uid="{E9369B23-4B0E-4FD7-805F-1742B55674EB}" name="BB"/>
    <tableColumn id="12" xr3:uid="{0B1CEC07-ADB5-49D2-8649-27AE1CACB5E8}" name="HBP"/>
    <tableColumn id="13" xr3:uid="{B5A83353-BD0B-420C-BCAD-D8E6B1D7EBFB}" name="K"/>
    <tableColumn id="14" xr3:uid="{1CABCE00-B91F-4743-A55A-A1B285DEFDFC}" name="SF"/>
    <tableColumn id="15" xr3:uid="{24874648-CA3C-4B9A-A029-2890582C89F5}" name="SH"/>
    <tableColumn id="16" xr3:uid="{B9CDB418-AC5C-4EF2-96DD-590A7182E992}" name="DP"/>
    <tableColumn id="17" xr3:uid="{76FECFBB-D831-41DA-92FE-14B380403B95}" name="ROE"/>
    <tableColumn id="18" xr3:uid="{8BDA2877-5560-466F-B3F6-A8779659BB64}" name="SB"/>
    <tableColumn id="19" xr3:uid="{18981BCA-87B3-4B6A-95AF-CC590AB9BA02}" name="CS"/>
    <tableColumn id="20" xr3:uid="{43589608-1891-4891-9043-E8886C2D59E8}" name="PK"/>
    <tableColumn id="21" xr3:uid="{8307C67F-9B82-434D-B6F6-0BDAEA5FF20F}" name="OBP"/>
    <tableColumn id="22" xr3:uid="{7BA14AE5-6B69-40D9-A7CA-72B5FD308FFC}" name="SLG"/>
    <tableColumn id="23" xr3:uid="{EB5B9991-DD2A-4AB0-B388-690033A4A0B2}" name="OPS"/>
    <tableColumn id="24" xr3:uid="{D6CF61B3-0D73-4617-BAB8-F6733ADB82CF}" name="PA"/>
    <tableColumn id="25" xr3:uid="{138C060C-6817-4F57-B96F-46B8178BF747}" name="AB/HR"/>
    <tableColumn id="26" xr3:uid="{C2893F34-DA48-45F0-A953-3B198662B9DD}" name="BB/PA"/>
    <tableColumn id="27" xr3:uid="{3467A6DF-DB4C-41C6-9497-EC87FEEB972E}" name="BB/K"/>
    <tableColumn id="28" xr3:uid="{AF77CD38-0F62-4330-BEDA-1CCA313C6503}" name="SECA"/>
    <tableColumn id="29" xr3:uid="{B6F4F271-64A4-4F7A-95B2-939E1A20B060}" name="ISOP"/>
    <tableColumn id="30" xr3:uid="{6634E0B1-CF65-4879-9DE7-BA88C873018E}" name="RC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DBA02-A58A-43D1-AE6A-FFF2D1299796}" name="Table2" displayName="Table2" ref="A1:AF23" totalsRowShown="0">
  <autoFilter ref="A1:AF23" xr:uid="{C6FDBA02-A58A-43D1-AE6A-FFF2D1299796}"/>
  <tableColumns count="32">
    <tableColumn id="1" xr3:uid="{56237CD7-FD21-4C20-B596-E64BD156CF00}" name="Team"/>
    <tableColumn id="2" xr3:uid="{0F409A07-D35D-4FA3-BB59-3950EFD495C9}" name="G"/>
    <tableColumn id="3" xr3:uid="{A7C26076-EDB6-468C-B2EC-9C5661ED3498}" name="GS"/>
    <tableColumn id="4" xr3:uid="{7D5C1441-C953-4303-8570-04C9FE431E4B}" name="CG"/>
    <tableColumn id="5" xr3:uid="{6B47B6EE-ACEE-41B9-AE65-CB6FD3B2A8CC}" name="W"/>
    <tableColumn id="6" xr3:uid="{1381606D-CCE1-445E-8FD0-6E29931F2507}" name="L"/>
    <tableColumn id="7" xr3:uid="{277D0EBC-A6B1-45E3-8CC8-1A435DBD244F}" name="SV"/>
    <tableColumn id="8" xr3:uid="{4E366800-9211-4A85-969D-D13E6BF26642}" name="IP"/>
    <tableColumn id="9" xr3:uid="{BF8B508F-25F8-420E-961F-341426BD8A2D}" name="H"/>
    <tableColumn id="10" xr3:uid="{265CF4C7-DE15-421A-BE6F-688D967F8775}" name="R"/>
    <tableColumn id="11" xr3:uid="{DE6E20A0-EAB2-48D4-8E36-0DE7F1499060}" name="ER"/>
    <tableColumn id="12" xr3:uid="{7B033519-A463-4695-9F9E-D04697D019E3}" name="BB"/>
    <tableColumn id="13" xr3:uid="{EA6DACC6-5F43-45ED-984F-4888D2A07493}" name="K"/>
    <tableColumn id="14" xr3:uid="{30BC1AA0-26CB-4600-8656-8795A1BAB3DD}" name="2B"/>
    <tableColumn id="15" xr3:uid="{1BF6617D-0247-4F5D-9E6C-3A21C4910DAB}" name="3B"/>
    <tableColumn id="16" xr3:uid="{CF94E57F-64D4-43F1-A0B3-EE6A59EDC6D6}" name="ERA"/>
    <tableColumn id="17" xr3:uid="{D8AE71B9-FD77-45BF-91ED-0C0A518C3A06}" name="BF"/>
    <tableColumn id="18" xr3:uid="{5FAD0413-A319-4006-8CDF-6D5BAE620BD9}" name="BK"/>
    <tableColumn id="19" xr3:uid="{969CCF9F-5F9F-4B39-A303-F35C59A00A6F}" name="IBB"/>
    <tableColumn id="20" xr3:uid="{F6181F83-46C4-45D4-9F49-82541EF50757}" name="SHO"/>
    <tableColumn id="21" xr3:uid="{EC2535AB-0BE1-4796-BB93-2A3CD82B5C8E}" name="HR"/>
    <tableColumn id="22" xr3:uid="{F219F7E1-3FF8-4681-B053-1D4BDEC76FA9}" name="BAA"/>
    <tableColumn id="23" xr3:uid="{9747A092-1A2F-46FA-8957-168DE57C03CA}" name="WP"/>
    <tableColumn id="24" xr3:uid="{A5F4C588-0F8A-4079-B915-9E87CE110C7E}" name="HB"/>
    <tableColumn id="25" xr3:uid="{6AF621E0-ADCE-4BC2-98B0-F458154726CB}" name="WHIP"/>
    <tableColumn id="26" xr3:uid="{8026AB6D-FA79-4CE9-AEFC-1CEBFB73897A}" name="PFR"/>
    <tableColumn id="27" xr3:uid="{B514D260-7FF7-45D9-941F-1261F2E49726}" name="BABIP"/>
    <tableColumn id="28" xr3:uid="{DC756EE8-A7A1-4FC2-A89D-E8B7C849036F}" name="K/9"/>
    <tableColumn id="29" xr3:uid="{849EEB11-37B2-4257-865F-2A92936343BF}" name="ERC"/>
    <tableColumn id="30" xr3:uid="{BF41AC36-A3D9-4D2E-81DA-B54F7C695B0E}" name="PTB"/>
    <tableColumn id="31" xr3:uid="{5BCA9223-AC00-42DC-81A1-81C5CA0624BB}" name="FPS%" dataDxfId="11"/>
    <tableColumn id="32" xr3:uid="{384707D9-ACE0-4993-ACDE-EAFCD01AD2A1}" name="IPx" dataDxfId="10">
      <calculatedColumnFormula>DOLLARDE(Table2[[#This Row],[IP]],3)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9AD6-FB35-4ADF-88F2-5EA591DA8D4C}">
  <sheetPr codeName="Sheet1"/>
  <dimension ref="B2:Q25"/>
  <sheetViews>
    <sheetView showGridLines="0" zoomScaleNormal="100" workbookViewId="0">
      <selection activeCell="C2" sqref="C2"/>
    </sheetView>
  </sheetViews>
  <sheetFormatPr defaultRowHeight="15" x14ac:dyDescent="0.25"/>
  <cols>
    <col min="1" max="1" width="9.140625" customWidth="1"/>
    <col min="2" max="2" width="18.28515625" customWidth="1"/>
    <col min="16" max="16" width="9.140625" customWidth="1"/>
  </cols>
  <sheetData>
    <row r="2" spans="2:17" s="5" customFormat="1" x14ac:dyDescent="0.25">
      <c r="B2" s="40" t="s">
        <v>0</v>
      </c>
      <c r="C2" s="13" t="s">
        <v>151</v>
      </c>
      <c r="D2" s="9" t="s">
        <v>75</v>
      </c>
      <c r="E2" s="13" t="s">
        <v>152</v>
      </c>
      <c r="F2" s="9" t="s">
        <v>153</v>
      </c>
      <c r="G2" s="13" t="s">
        <v>154</v>
      </c>
      <c r="H2" s="8" t="s">
        <v>85</v>
      </c>
      <c r="I2" s="9" t="s">
        <v>89</v>
      </c>
      <c r="J2" s="13" t="s">
        <v>155</v>
      </c>
      <c r="K2" s="9" t="s">
        <v>87</v>
      </c>
      <c r="L2" s="13" t="s">
        <v>156</v>
      </c>
      <c r="M2" s="9" t="s">
        <v>157</v>
      </c>
      <c r="N2" s="10" t="s">
        <v>81</v>
      </c>
      <c r="O2" s="9" t="s">
        <v>82</v>
      </c>
      <c r="P2" s="60" t="s">
        <v>158</v>
      </c>
      <c r="Q2" s="61"/>
    </row>
    <row r="3" spans="2:17" x14ac:dyDescent="0.25">
      <c r="B3" s="11" t="s">
        <v>143</v>
      </c>
      <c r="C3" s="16" t="str">
        <f>TEXT(VLOOKUP($B3,Table3[#All],3,FALSE),"0") &amp; "-" &amp; TEXT(VLOOKUP($B3,Table3[#All],4,FALSE),"0")</f>
        <v>57-15</v>
      </c>
      <c r="D3" s="17">
        <f>VLOOKUP($B3,Table3[#All],5,FALSE)</f>
        <v>0.79200000000000004</v>
      </c>
      <c r="E3" s="16" t="str">
        <f>TEXT(VLOOKUP($B3,Table3[#All],6,FALSE),"0") &amp; "-" &amp; TEXT(VLOOKUP($B3,Table3[#All],7,FALSE),"0")</f>
        <v>51-21</v>
      </c>
      <c r="F3" s="17" t="str">
        <f>TEXT(VLOOKUP($B3,Table3[#All],9,FALSE),"0") &amp; "-" &amp; TEXT(VLOOKUP($B3,Table3[#All],10,FALSE),"0")</f>
        <v>45-27</v>
      </c>
      <c r="G3" s="18">
        <f>VLOOKUP($B3,Table3[#All],16,FALSE)</f>
        <v>510</v>
      </c>
      <c r="H3" s="6">
        <f>VLOOKUP($B3,Table3[#All],17,FALSE)</f>
        <v>310</v>
      </c>
      <c r="I3" s="25">
        <f>VLOOKUP($B3,Table3[#All],18,FALSE)</f>
        <v>200</v>
      </c>
      <c r="J3" s="26">
        <f>VLOOKUP($B3,Table3[#All],20,FALSE)</f>
        <v>480.25533872</v>
      </c>
      <c r="K3" s="27">
        <f>VLOOKUP($B3,Table3[#All],21,FALSE)</f>
        <v>361.07047999999998</v>
      </c>
      <c r="L3" s="30">
        <f>ROUND(VLOOKUP($B3,Table3[#All],3,FALSE)-VLOOKUP($B3,Table3[#All],6,FALSE),0)</f>
        <v>6</v>
      </c>
      <c r="M3" s="25">
        <f>ROUND(VLOOKUP($B3,Table3[#All],3,FALSE)-VLOOKUP($B3,Table3[#All],9,FALSE),0)</f>
        <v>12</v>
      </c>
      <c r="N3" s="34">
        <f>VLOOKUP($B3,Table3[#All],12,FALSE)</f>
        <v>-0.43485369944322838</v>
      </c>
      <c r="O3" s="31">
        <f>VLOOKUP($B3,Table3[#All],13,FALSE)</f>
        <v>2.3429240783345495</v>
      </c>
      <c r="P3" s="38">
        <f>VLOOKUP(VLOOKUP(B3,Table3[[#All],[Name]:[ABBR]],2,FALSE),'[1]Full League'!$A$2:$I$23,8,FALSE)</f>
        <v>97.035575388611989</v>
      </c>
      <c r="Q3" s="32">
        <f>VLOOKUP(VLOOKUP(B3,Table3[[#All],[Name]:[ABBR]],2,FALSE),'[1]Full League'!$A$2:$I$23,9,FALSE)</f>
        <v>94.257353921788635</v>
      </c>
    </row>
    <row r="4" spans="2:17" x14ac:dyDescent="0.25">
      <c r="B4" s="11" t="s">
        <v>135</v>
      </c>
      <c r="C4" s="14" t="str">
        <f>TEXT(VLOOKUP($B4,Table3[#All],3,FALSE),"0") &amp; "-" &amp; TEXT(VLOOKUP($B4,Table3[#All],4,FALSE),"0")</f>
        <v>50-18</v>
      </c>
      <c r="D4" s="15">
        <f>VLOOKUP($B4,Table3[#All],5,FALSE)</f>
        <v>0.73499999999999999</v>
      </c>
      <c r="E4" s="14" t="str">
        <f>TEXT(VLOOKUP($B4,Table3[#All],6,FALSE),"0") &amp; "-" &amp; TEXT(VLOOKUP($B4,Table3[#All],7,FALSE),"0")</f>
        <v>48-20</v>
      </c>
      <c r="F4" s="22" t="str">
        <f>TEXT(VLOOKUP($B4,Table3[#All],9,FALSE),"0") &amp; "-" &amp; TEXT(VLOOKUP($B4,Table3[#All],10,FALSE),"0")</f>
        <v>46-22</v>
      </c>
      <c r="G4" s="18">
        <f>VLOOKUP($B4,Table3[#All],16,FALSE)</f>
        <v>454</v>
      </c>
      <c r="H4" s="6">
        <f>VLOOKUP($B4,Table3[#All],17,FALSE)</f>
        <v>279</v>
      </c>
      <c r="I4" s="25">
        <f>VLOOKUP($B4,Table3[#All],18,FALSE)</f>
        <v>175</v>
      </c>
      <c r="J4" s="26">
        <f>VLOOKUP($B4,Table3[#All],20,FALSE)</f>
        <v>447.39830848000003</v>
      </c>
      <c r="K4" s="27">
        <f>VLOOKUP($B4,Table3[#All],21,FALSE)</f>
        <v>292.91362800000002</v>
      </c>
      <c r="L4" s="30">
        <f>ROUND(VLOOKUP($B4,Table3[#All],3,FALSE)-VLOOKUP($B4,Table3[#All],6,FALSE),0)</f>
        <v>2</v>
      </c>
      <c r="M4" s="25">
        <f>ROUND(VLOOKUP($B4,Table3[#All],3,FALSE)-VLOOKUP($B4,Table3[#All],9,FALSE),0)</f>
        <v>4</v>
      </c>
      <c r="N4" s="34">
        <f>VLOOKUP($B4,Table3[#All],12,FALSE)</f>
        <v>-0.29760267691078141</v>
      </c>
      <c r="O4" s="32">
        <f>VLOOKUP($B4,Table3[#All],13,FALSE)</f>
        <v>2.2759267348539245</v>
      </c>
      <c r="P4" s="38">
        <f>VLOOKUP(VLOOKUP(B4,Table3[[#All],[Name]:[ABBR]],2,FALSE),'[1]Full League'!$A$2:$I$23,8,FALSE)</f>
        <v>102.40678238643272</v>
      </c>
      <c r="Q4" s="32">
        <f>VLOOKUP(VLOOKUP(B4,Table3[[#All],[Name]:[ABBR]],2,FALSE),'[1]Full League'!$A$2:$I$23,9,FALSE)</f>
        <v>97.72617800580214</v>
      </c>
    </row>
    <row r="5" spans="2:17" x14ac:dyDescent="0.25">
      <c r="B5" s="11" t="s">
        <v>142</v>
      </c>
      <c r="C5" s="18" t="str">
        <f>TEXT(VLOOKUP($B5,Table3[#All],3,FALSE),"0") &amp; "-" &amp; TEXT(VLOOKUP($B5,Table3[#All],4,FALSE),"0")</f>
        <v>48-20</v>
      </c>
      <c r="D5" s="19">
        <f>VLOOKUP($B5,Table3[#All],5,FALSE)</f>
        <v>0.70599999999999996</v>
      </c>
      <c r="E5" s="18" t="str">
        <f>TEXT(VLOOKUP($B5,Table3[#All],6,FALSE),"0") &amp; "-" &amp; TEXT(VLOOKUP($B5,Table3[#All],7,FALSE),"0")</f>
        <v>48-20</v>
      </c>
      <c r="F5" s="23" t="str">
        <f>TEXT(VLOOKUP($B5,Table3[#All],9,FALSE),"0") &amp; "-" &amp; TEXT(VLOOKUP($B5,Table3[#All],10,FALSE),"0")</f>
        <v>46-22</v>
      </c>
      <c r="G5" s="18">
        <f>VLOOKUP($B5,Table3[#All],16,FALSE)</f>
        <v>525</v>
      </c>
      <c r="H5" s="6">
        <f>VLOOKUP($B5,Table3[#All],17,FALSE)</f>
        <v>318</v>
      </c>
      <c r="I5" s="25">
        <f>VLOOKUP($B5,Table3[#All],18,FALSE)</f>
        <v>207</v>
      </c>
      <c r="J5" s="26">
        <f>VLOOKUP($B5,Table3[#All],20,FALSE)</f>
        <v>490.78653440000005</v>
      </c>
      <c r="K5" s="27">
        <f>VLOOKUP($B5,Table3[#All],21,FALSE)</f>
        <v>332.57860400000004</v>
      </c>
      <c r="L5" s="30">
        <f>ROUND(VLOOKUP($B5,Table3[#All],3,FALSE)-VLOOKUP($B5,Table3[#All],6,FALSE),0)</f>
        <v>0</v>
      </c>
      <c r="M5" s="25">
        <f>ROUND(VLOOKUP($B5,Table3[#All],3,FALSE)-VLOOKUP($B5,Table3[#All],9,FALSE),0)</f>
        <v>2</v>
      </c>
      <c r="N5" s="34">
        <f>VLOOKUP($B5,Table3[#All],12,FALSE)</f>
        <v>-0.35296599871008938</v>
      </c>
      <c r="O5" s="32">
        <f>VLOOKUP($B5,Table3[#All],13,FALSE)</f>
        <v>2.6911516483487339</v>
      </c>
      <c r="P5" s="38">
        <f>VLOOKUP(VLOOKUP(B5,Table3[[#All],[Name]:[ABBR]],2,FALSE),'[1]Full League'!$A$2:$I$23,8,FALSE)</f>
        <v>101.06681846583658</v>
      </c>
      <c r="Q5" s="32">
        <f>VLOOKUP(VLOOKUP(B5,Table3[[#All],[Name]:[ABBR]],2,FALSE),'[1]Full League'!$A$2:$I$23,9,FALSE)</f>
        <v>98.604295101908178</v>
      </c>
    </row>
    <row r="6" spans="2:17" x14ac:dyDescent="0.25">
      <c r="B6" s="11" t="s">
        <v>136</v>
      </c>
      <c r="C6" s="16" t="str">
        <f>TEXT(VLOOKUP($B6,Table3[#All],3,FALSE),"0") &amp; "-" &amp; TEXT(VLOOKUP($B6,Table3[#All],4,FALSE),"0")</f>
        <v>45-27</v>
      </c>
      <c r="D6" s="17">
        <f>VLOOKUP($B6,Table3[#All],5,FALSE)</f>
        <v>0.625</v>
      </c>
      <c r="E6" s="16" t="str">
        <f>TEXT(VLOOKUP($B6,Table3[#All],6,FALSE),"0") &amp; "-" &amp; TEXT(VLOOKUP($B6,Table3[#All],7,FALSE),"0")</f>
        <v>44-28</v>
      </c>
      <c r="F6" s="17" t="str">
        <f>TEXT(VLOOKUP($B6,Table3[#All],9,FALSE),"0") &amp; "-" &amp; TEXT(VLOOKUP($B6,Table3[#All],10,FALSE),"0")</f>
        <v>46-26</v>
      </c>
      <c r="G6" s="18">
        <f>VLOOKUP($B6,Table3[#All],16,FALSE)</f>
        <v>448</v>
      </c>
      <c r="H6" s="6">
        <f>VLOOKUP($B6,Table3[#All],17,FALSE)</f>
        <v>344</v>
      </c>
      <c r="I6" s="25">
        <f>VLOOKUP($B6,Table3[#All],18,FALSE)</f>
        <v>104</v>
      </c>
      <c r="J6" s="26">
        <f>VLOOKUP($B6,Table3[#All],20,FALSE)</f>
        <v>428.10945183999996</v>
      </c>
      <c r="K6" s="27">
        <f>VLOOKUP($B6,Table3[#All],21,FALSE)</f>
        <v>315.26151199999998</v>
      </c>
      <c r="L6" s="30">
        <f>ROUND(VLOOKUP($B6,Table3[#All],3,FALSE)-VLOOKUP($B6,Table3[#All],6,FALSE),0)</f>
        <v>1</v>
      </c>
      <c r="M6" s="25">
        <f>ROUND(VLOOKUP($B6,Table3[#All],3,FALSE)-VLOOKUP($B6,Table3[#All],9,FALSE),0)</f>
        <v>-1</v>
      </c>
      <c r="N6" s="34">
        <f>VLOOKUP($B6,Table3[#All],12,FALSE)</f>
        <v>-0.45355696843992466</v>
      </c>
      <c r="O6" s="32">
        <f>VLOOKUP($B6,Table3[#All],13,FALSE)</f>
        <v>0.99088747600451976</v>
      </c>
      <c r="P6" s="38">
        <f>VLOOKUP(VLOOKUP(B6,Table3[[#All],[Name]:[ABBR]],2,FALSE),'[1]Full League'!$A$2:$I$23,8,FALSE)</f>
        <v>90.284629639428047</v>
      </c>
      <c r="Q6" s="32">
        <f>VLOOKUP(VLOOKUP(B6,Table3[[#All],[Name]:[ABBR]],2,FALSE),'[1]Full League'!$A$2:$I$23,9,FALSE)</f>
        <v>87.79316902104604</v>
      </c>
    </row>
    <row r="7" spans="2:17" x14ac:dyDescent="0.25">
      <c r="B7" s="11" t="s">
        <v>150</v>
      </c>
      <c r="C7" s="18" t="str">
        <f>TEXT(VLOOKUP($B7,Table3[#All],3,FALSE),"0") &amp; "-" &amp; TEXT(VLOOKUP($B7,Table3[#All],4,FALSE),"0")</f>
        <v>38-33</v>
      </c>
      <c r="D7" s="19">
        <f>VLOOKUP($B7,Table3[#All],5,FALSE)</f>
        <v>0.53500000000000003</v>
      </c>
      <c r="E7" s="18" t="str">
        <f>TEXT(VLOOKUP($B7,Table3[#All],6,FALSE),"0") &amp; "-" &amp; TEXT(VLOOKUP($B7,Table3[#All],7,FALSE),"0")</f>
        <v>37-34</v>
      </c>
      <c r="F7" s="23" t="str">
        <f>TEXT(VLOOKUP($B7,Table3[#All],9,FALSE),"0") &amp; "-" &amp; TEXT(VLOOKUP($B7,Table3[#All],10,FALSE),"0")</f>
        <v>37-34</v>
      </c>
      <c r="G7" s="18">
        <f>VLOOKUP($B7,Table3[#All],16,FALSE)</f>
        <v>422</v>
      </c>
      <c r="H7" s="6">
        <f>VLOOKUP($B7,Table3[#All],17,FALSE)</f>
        <v>409</v>
      </c>
      <c r="I7" s="25">
        <f>VLOOKUP($B7,Table3[#All],18,FALSE)</f>
        <v>13</v>
      </c>
      <c r="J7" s="26">
        <f>VLOOKUP($B7,Table3[#All],20,FALSE)</f>
        <v>400.35864039999996</v>
      </c>
      <c r="K7" s="27">
        <f>VLOOKUP($B7,Table3[#All],21,FALSE)</f>
        <v>383.62012599999997</v>
      </c>
      <c r="L7" s="30">
        <f>ROUND(VLOOKUP($B7,Table3[#All],3,FALSE)-VLOOKUP($B7,Table3[#All],6,FALSE),0)</f>
        <v>1</v>
      </c>
      <c r="M7" s="25">
        <f>ROUND(VLOOKUP($B7,Table3[#All],3,FALSE)-VLOOKUP($B7,Table3[#All],9,FALSE),0)</f>
        <v>1</v>
      </c>
      <c r="N7" s="34">
        <f>VLOOKUP($B7,Table3[#All],12,FALSE)</f>
        <v>0.23670900826590735</v>
      </c>
      <c r="O7" s="32">
        <f>VLOOKUP($B7,Table3[#All],13,FALSE)</f>
        <v>0.4198075998152031</v>
      </c>
      <c r="P7" s="38">
        <f>VLOOKUP(VLOOKUP(B7,Table3[[#All],[Name]:[ABBR]],2,FALSE),'[1]Full League'!$A$2:$I$23,8,FALSE)</f>
        <v>102.2207316548301</v>
      </c>
      <c r="Q7" s="32">
        <f>VLOOKUP(VLOOKUP(B7,Table3[[#All],[Name]:[ABBR]],2,FALSE),'[1]Full League'!$A$2:$I$23,9,FALSE)</f>
        <v>101.92881778359242</v>
      </c>
    </row>
    <row r="8" spans="2:17" x14ac:dyDescent="0.25">
      <c r="B8" s="11" t="s">
        <v>104</v>
      </c>
      <c r="C8" s="14" t="str">
        <f>TEXT(VLOOKUP($B8,Table3[#All],3,FALSE),"0") &amp; "-" &amp; TEXT(VLOOKUP($B8,Table3[#All],4,FALSE),"0")</f>
        <v>42-26</v>
      </c>
      <c r="D8" s="15">
        <f>VLOOKUP($B8,Table3[#All],5,FALSE)</f>
        <v>0.61799999999999999</v>
      </c>
      <c r="E8" s="14" t="str">
        <f>TEXT(VLOOKUP($B8,Table3[#All],6,FALSE),"0") &amp; "-" &amp; TEXT(VLOOKUP($B8,Table3[#All],7,FALSE),"0")</f>
        <v>40-28</v>
      </c>
      <c r="F8" s="22" t="str">
        <f>TEXT(VLOOKUP($B8,Table3[#All],9,FALSE),"0") &amp; "-" &amp; TEXT(VLOOKUP($B8,Table3[#All],10,FALSE),"0")</f>
        <v>36-32</v>
      </c>
      <c r="G8" s="18">
        <f>VLOOKUP($B8,Table3[#All],16,FALSE)</f>
        <v>403</v>
      </c>
      <c r="H8" s="6">
        <f>VLOOKUP($B8,Table3[#All],17,FALSE)</f>
        <v>327</v>
      </c>
      <c r="I8" s="25">
        <f>VLOOKUP($B8,Table3[#All],18,FALSE)</f>
        <v>76</v>
      </c>
      <c r="J8" s="26">
        <f>VLOOKUP($B8,Table3[#All],20,FALSE)</f>
        <v>407.82508255999994</v>
      </c>
      <c r="K8" s="27">
        <f>VLOOKUP($B8,Table3[#All],21,FALSE)</f>
        <v>380.18232799999998</v>
      </c>
      <c r="L8" s="30">
        <f>ROUND(VLOOKUP($B8,Table3[#All],3,FALSE)-VLOOKUP($B8,Table3[#All],6,FALSE),0)</f>
        <v>2</v>
      </c>
      <c r="M8" s="25">
        <f>ROUND(VLOOKUP($B8,Table3[#All],3,FALSE)-VLOOKUP($B8,Table3[#All],9,FALSE),0)</f>
        <v>6</v>
      </c>
      <c r="N8" s="34">
        <f>VLOOKUP($B8,Table3[#All],12,FALSE)</f>
        <v>-0.12632240009417242</v>
      </c>
      <c r="O8" s="32">
        <f>VLOOKUP($B8,Table3[#All],13,FALSE)</f>
        <v>0.99132465872935704</v>
      </c>
      <c r="P8" s="38">
        <f>VLOOKUP(VLOOKUP(B8,Table3[[#All],[Name]:[ABBR]],2,FALSE),'[1]Full League'!$A$2:$I$23,8,FALSE)</f>
        <v>95.627004985760095</v>
      </c>
      <c r="Q8" s="32">
        <f>VLOOKUP(VLOOKUP(B8,Table3[[#All],[Name]:[ABBR]],2,FALSE),'[1]Full League'!$A$2:$I$23,9,FALSE)</f>
        <v>95.697606835770301</v>
      </c>
    </row>
    <row r="9" spans="2:17" x14ac:dyDescent="0.25">
      <c r="B9" s="11" t="s">
        <v>108</v>
      </c>
      <c r="C9" s="18" t="str">
        <f>TEXT(VLOOKUP($B9,Table3[#All],3,FALSE),"0") &amp; "-" &amp; TEXT(VLOOKUP($B9,Table3[#All],4,FALSE),"0")</f>
        <v>36-35</v>
      </c>
      <c r="D9" s="19">
        <f>VLOOKUP($B9,Table3[#All],5,FALSE)</f>
        <v>0.50700000000000001</v>
      </c>
      <c r="E9" s="18" t="str">
        <f>TEXT(VLOOKUP($B9,Table3[#All],6,FALSE),"0") &amp; "-" &amp; TEXT(VLOOKUP($B9,Table3[#All],7,FALSE),"0")</f>
        <v>39-32</v>
      </c>
      <c r="F9" s="23" t="str">
        <f>TEXT(VLOOKUP($B9,Table3[#All],9,FALSE),"0") &amp; "-" &amp; TEXT(VLOOKUP($B9,Table3[#All],10,FALSE),"0")</f>
        <v>36-35</v>
      </c>
      <c r="G9" s="18">
        <f>VLOOKUP($B9,Table3[#All],16,FALSE)</f>
        <v>519</v>
      </c>
      <c r="H9" s="6">
        <f>VLOOKUP($B9,Table3[#All],17,FALSE)</f>
        <v>465</v>
      </c>
      <c r="I9" s="25">
        <f>VLOOKUP($B9,Table3[#All],18,FALSE)</f>
        <v>54</v>
      </c>
      <c r="J9" s="26">
        <f>VLOOKUP($B9,Table3[#All],20,FALSE)</f>
        <v>480.93397319999997</v>
      </c>
      <c r="K9" s="27">
        <f>VLOOKUP($B9,Table3[#All],21,FALSE)</f>
        <v>476.16431799999998</v>
      </c>
      <c r="L9" s="30">
        <f>ROUND(VLOOKUP($B9,Table3[#All],3,FALSE)-VLOOKUP($B9,Table3[#All],6,FALSE),0)</f>
        <v>-3</v>
      </c>
      <c r="M9" s="25">
        <f>ROUND(VLOOKUP($B9,Table3[#All],3,FALSE)-VLOOKUP($B9,Table3[#All],9,FALSE),0)</f>
        <v>0</v>
      </c>
      <c r="N9" s="34">
        <f>VLOOKUP($B9,Table3[#All],12,FALSE)</f>
        <v>-0.1512651591171075</v>
      </c>
      <c r="O9" s="32">
        <f>VLOOKUP($B9,Table3[#All],13,FALSE)</f>
        <v>0.60929822116458265</v>
      </c>
      <c r="P9" s="38">
        <f>VLOOKUP(VLOOKUP(B9,Table3[[#All],[Name]:[ABBR]],2,FALSE),'[1]Full League'!$A$2:$I$23,8,FALSE)</f>
        <v>103.35246637265764</v>
      </c>
      <c r="Q9" s="32">
        <f>VLOOKUP(VLOOKUP(B9,Table3[[#All],[Name]:[ABBR]],2,FALSE),'[1]Full League'!$A$2:$I$23,9,FALSE)</f>
        <v>102.06765452290851</v>
      </c>
    </row>
    <row r="10" spans="2:17" x14ac:dyDescent="0.25">
      <c r="B10" s="11" t="s">
        <v>127</v>
      </c>
      <c r="C10" s="18" t="str">
        <f>TEXT(VLOOKUP($B10,Table3[#All],3,FALSE),"0") &amp; "-" &amp; TEXT(VLOOKUP($B10,Table3[#All],4,FALSE),"0")</f>
        <v>40-28</v>
      </c>
      <c r="D10" s="19">
        <f>VLOOKUP($B10,Table3[#All],5,FALSE)</f>
        <v>0.58799999999999997</v>
      </c>
      <c r="E10" s="18" t="str">
        <f>TEXT(VLOOKUP($B10,Table3[#All],6,FALSE),"0") &amp; "-" &amp; TEXT(VLOOKUP($B10,Table3[#All],7,FALSE),"0")</f>
        <v>38-30</v>
      </c>
      <c r="F10" s="23" t="str">
        <f>TEXT(VLOOKUP($B10,Table3[#All],9,FALSE),"0") &amp; "-" &amp; TEXT(VLOOKUP($B10,Table3[#All],10,FALSE),"0")</f>
        <v>41-27</v>
      </c>
      <c r="G10" s="18">
        <f>VLOOKUP($B10,Table3[#All],16,FALSE)</f>
        <v>426</v>
      </c>
      <c r="H10" s="6">
        <f>VLOOKUP($B10,Table3[#All],17,FALSE)</f>
        <v>376</v>
      </c>
      <c r="I10" s="25">
        <f>VLOOKUP($B10,Table3[#All],18,FALSE)</f>
        <v>50</v>
      </c>
      <c r="J10" s="26">
        <f>VLOOKUP($B10,Table3[#All],20,FALSE)</f>
        <v>450.44039135999998</v>
      </c>
      <c r="K10" s="27">
        <f>VLOOKUP($B10,Table3[#All],21,FALSE)</f>
        <v>358.42571600000002</v>
      </c>
      <c r="L10" s="30">
        <f>ROUND(VLOOKUP($B10,Table3[#All],3,FALSE)-VLOOKUP($B10,Table3[#All],6,FALSE),0)</f>
        <v>2</v>
      </c>
      <c r="M10" s="25">
        <f>ROUND(VLOOKUP($B10,Table3[#All],3,FALSE)-VLOOKUP($B10,Table3[#All],9,FALSE),0)</f>
        <v>-1</v>
      </c>
      <c r="N10" s="34">
        <f>VLOOKUP($B10,Table3[#All],12,FALSE)</f>
        <v>-8.1339701132234737E-2</v>
      </c>
      <c r="O10" s="32">
        <f>VLOOKUP($B10,Table3[#All],13,FALSE)</f>
        <v>0.65395441651482411</v>
      </c>
      <c r="P10" s="38">
        <f>VLOOKUP(VLOOKUP(B10,Table3[[#All],[Name]:[ABBR]],2,FALSE),'[1]Full League'!$A$2:$I$23,8,FALSE)</f>
        <v>92.725443464655029</v>
      </c>
      <c r="Q10" s="32">
        <f>VLOOKUP(VLOOKUP(B10,Table3[[#All],[Name]:[ABBR]],2,FALSE),'[1]Full League'!$A$2:$I$23,9,FALSE)</f>
        <v>91.323875776346156</v>
      </c>
    </row>
    <row r="11" spans="2:17" x14ac:dyDescent="0.25">
      <c r="B11" s="11" t="s">
        <v>133</v>
      </c>
      <c r="C11" s="18" t="str">
        <f>TEXT(VLOOKUP($B11,Table3[#All],3,FALSE),"0") &amp; "-" &amp; TEXT(VLOOKUP($B11,Table3[#All],4,FALSE),"0")</f>
        <v>37-35</v>
      </c>
      <c r="D11" s="19">
        <f>VLOOKUP($B11,Table3[#All],5,FALSE)</f>
        <v>0.51400000000000001</v>
      </c>
      <c r="E11" s="18" t="str">
        <f>TEXT(VLOOKUP($B11,Table3[#All],6,FALSE),"0") &amp; "-" &amp; TEXT(VLOOKUP($B11,Table3[#All],7,FALSE),"0")</f>
        <v>41-31</v>
      </c>
      <c r="F11" s="23" t="str">
        <f>TEXT(VLOOKUP($B11,Table3[#All],9,FALSE),"0") &amp; "-" &amp; TEXT(VLOOKUP($B11,Table3[#All],10,FALSE),"0")</f>
        <v>40-32</v>
      </c>
      <c r="G11" s="18">
        <f>VLOOKUP($B11,Table3[#All],16,FALSE)</f>
        <v>446</v>
      </c>
      <c r="H11" s="6">
        <f>VLOOKUP($B11,Table3[#All],17,FALSE)</f>
        <v>386</v>
      </c>
      <c r="I11" s="25">
        <f>VLOOKUP($B11,Table3[#All],18,FALSE)</f>
        <v>60</v>
      </c>
      <c r="J11" s="26">
        <f>VLOOKUP($B11,Table3[#All],20,FALSE)</f>
        <v>429.60271823999994</v>
      </c>
      <c r="K11" s="27">
        <f>VLOOKUP($B11,Table3[#All],21,FALSE)</f>
        <v>377.89813600000002</v>
      </c>
      <c r="L11" s="30">
        <f>ROUND(VLOOKUP($B11,Table3[#All],3,FALSE)-VLOOKUP($B11,Table3[#All],6,FALSE),0)</f>
        <v>-4</v>
      </c>
      <c r="M11" s="25">
        <f>ROUND(VLOOKUP($B11,Table3[#All],3,FALSE)-VLOOKUP($B11,Table3[#All],9,FALSE),0)</f>
        <v>-3</v>
      </c>
      <c r="N11" s="34">
        <f>VLOOKUP($B11,Table3[#All],12,FALSE)</f>
        <v>-0.29937726056303382</v>
      </c>
      <c r="O11" s="32">
        <f>VLOOKUP($B11,Table3[#All],13,FALSE)</f>
        <v>0.53395607277029955</v>
      </c>
      <c r="P11" s="38">
        <f>VLOOKUP(VLOOKUP(B11,Table3[[#All],[Name]:[ABBR]],2,FALSE),'[1]Full League'!$A$2:$I$23,8,FALSE)</f>
        <v>115.09522310841493</v>
      </c>
      <c r="Q11" s="32">
        <f>VLOOKUP(VLOOKUP(B11,Table3[[#All],[Name]:[ABBR]],2,FALSE),'[1]Full League'!$A$2:$I$23,9,FALSE)</f>
        <v>115.6559603129344</v>
      </c>
    </row>
    <row r="12" spans="2:17" x14ac:dyDescent="0.25">
      <c r="B12" s="11" t="s">
        <v>123</v>
      </c>
      <c r="C12" s="18" t="str">
        <f>TEXT(VLOOKUP($B12,Table3[#All],3,FALSE),"0") &amp; "-" &amp; TEXT(VLOOKUP($B12,Table3[#All],4,FALSE),"0")</f>
        <v>36-36</v>
      </c>
      <c r="D12" s="19">
        <f>VLOOKUP($B12,Table3[#All],5,FALSE)</f>
        <v>0.5</v>
      </c>
      <c r="E12" s="18" t="str">
        <f>TEXT(VLOOKUP($B12,Table3[#All],6,FALSE),"0") &amp; "-" &amp; TEXT(VLOOKUP($B12,Table3[#All],7,FALSE),"0")</f>
        <v>37-35</v>
      </c>
      <c r="F12" s="23" t="str">
        <f>TEXT(VLOOKUP($B12,Table3[#All],9,FALSE),"0") &amp; "-" &amp; TEXT(VLOOKUP($B12,Table3[#All],10,FALSE),"0")</f>
        <v>36-36</v>
      </c>
      <c r="G12" s="18">
        <f>VLOOKUP($B12,Table3[#All],16,FALSE)</f>
        <v>398</v>
      </c>
      <c r="H12" s="6">
        <f>VLOOKUP($B12,Table3[#All],17,FALSE)</f>
        <v>388</v>
      </c>
      <c r="I12" s="25">
        <f>VLOOKUP($B12,Table3[#All],18,FALSE)</f>
        <v>10</v>
      </c>
      <c r="J12" s="26">
        <f>VLOOKUP($B12,Table3[#All],20,FALSE)</f>
        <v>407.27809279999997</v>
      </c>
      <c r="K12" s="27">
        <f>VLOOKUP($B12,Table3[#All],21,FALSE)</f>
        <v>408.85124000000013</v>
      </c>
      <c r="L12" s="30">
        <f>ROUND(VLOOKUP($B12,Table3[#All],3,FALSE)-VLOOKUP($B12,Table3[#All],6,FALSE),0)</f>
        <v>-1</v>
      </c>
      <c r="M12" s="25">
        <f>ROUND(VLOOKUP($B12,Table3[#All],3,FALSE)-VLOOKUP($B12,Table3[#All],9,FALSE),0)</f>
        <v>0</v>
      </c>
      <c r="N12" s="34">
        <f>VLOOKUP($B12,Table3[#All],12,FALSE)</f>
        <v>0.17710509033246266</v>
      </c>
      <c r="O12" s="32">
        <f>VLOOKUP($B12,Table3[#All],13,FALSE)</f>
        <v>0.31599397922135153</v>
      </c>
      <c r="P12" s="38">
        <f>VLOOKUP(VLOOKUP(B12,Table3[[#All],[Name]:[ABBR]],2,FALSE),'[1]Full League'!$A$2:$I$23,8,FALSE)</f>
        <v>100.31297401058086</v>
      </c>
      <c r="Q12" s="32">
        <f>VLOOKUP(VLOOKUP(B12,Table3[[#All],[Name]:[ABBR]],2,FALSE),'[1]Full League'!$A$2:$I$23,9,FALSE)</f>
        <v>100.06457524815109</v>
      </c>
    </row>
    <row r="13" spans="2:17" x14ac:dyDescent="0.25">
      <c r="B13" s="11" t="s">
        <v>120</v>
      </c>
      <c r="C13" s="18" t="str">
        <f>TEXT(VLOOKUP($B13,Table3[#All],3,FALSE),"0") &amp; "-" &amp; TEXT(VLOOKUP($B13,Table3[#All],4,FALSE),"0")</f>
        <v>31-37</v>
      </c>
      <c r="D13" s="19">
        <f>VLOOKUP($B13,Table3[#All],5,FALSE)</f>
        <v>0.45600000000000002</v>
      </c>
      <c r="E13" s="18" t="str">
        <f>TEXT(VLOOKUP($B13,Table3[#All],6,FALSE),"0") &amp; "-" &amp; TEXT(VLOOKUP($B13,Table3[#All],7,FALSE),"0")</f>
        <v>33-35</v>
      </c>
      <c r="F13" s="23" t="str">
        <f>TEXT(VLOOKUP($B13,Table3[#All],9,FALSE),"0") &amp; "-" &amp; TEXT(VLOOKUP($B13,Table3[#All],10,FALSE),"0")</f>
        <v>28-40</v>
      </c>
      <c r="G13" s="18">
        <f>VLOOKUP($B13,Table3[#All],16,FALSE)</f>
        <v>431</v>
      </c>
      <c r="H13" s="6">
        <f>VLOOKUP($B13,Table3[#All],17,FALSE)</f>
        <v>448</v>
      </c>
      <c r="I13" s="25">
        <f>VLOOKUP($B13,Table3[#All],18,FALSE)</f>
        <v>-17</v>
      </c>
      <c r="J13" s="26">
        <f>VLOOKUP($B13,Table3[#All],20,FALSE)</f>
        <v>405.61675983999999</v>
      </c>
      <c r="K13" s="27">
        <f>VLOOKUP($B13,Table3[#All],21,FALSE)</f>
        <v>491.93150000000009</v>
      </c>
      <c r="L13" s="30">
        <f>ROUND(VLOOKUP($B13,Table3[#All],3,FALSE)-VLOOKUP($B13,Table3[#All],6,FALSE),0)</f>
        <v>-2</v>
      </c>
      <c r="M13" s="25">
        <f>ROUND(VLOOKUP($B13,Table3[#All],3,FALSE)-VLOOKUP($B13,Table3[#All],9,FALSE),0)</f>
        <v>3</v>
      </c>
      <c r="N13" s="34">
        <f>VLOOKUP($B13,Table3[#All],12,FALSE)</f>
        <v>3.4577253885066342E-2</v>
      </c>
      <c r="O13" s="32">
        <f>VLOOKUP($B13,Table3[#All],13,FALSE)</f>
        <v>-0.21542274611493367</v>
      </c>
      <c r="P13" s="38">
        <f>VLOOKUP(VLOOKUP(B13,Table3[[#All],[Name]:[ABBR]],2,FALSE),'[1]Full League'!$A$2:$I$23,8,FALSE)</f>
        <v>107.2268498852269</v>
      </c>
      <c r="Q13" s="32">
        <f>VLOOKUP(VLOOKUP(B13,Table3[[#All],[Name]:[ABBR]],2,FALSE),'[1]Full League'!$A$2:$I$23,9,FALSE)</f>
        <v>108.51784028113178</v>
      </c>
    </row>
    <row r="14" spans="2:17" x14ac:dyDescent="0.25">
      <c r="B14" s="11" t="s">
        <v>114</v>
      </c>
      <c r="C14" s="18" t="str">
        <f>TEXT(VLOOKUP($B14,Table3[#All],3,FALSE),"0") &amp; "-" &amp; TEXT(VLOOKUP($B14,Table3[#All],4,FALSE),"0")</f>
        <v>36-35</v>
      </c>
      <c r="D14" s="19">
        <f>VLOOKUP($B14,Table3[#All],5,FALSE)</f>
        <v>0.50700000000000001</v>
      </c>
      <c r="E14" s="18" t="str">
        <f>TEXT(VLOOKUP($B14,Table3[#All],6,FALSE),"0") &amp; "-" &amp; TEXT(VLOOKUP($B14,Table3[#All],7,FALSE),"0")</f>
        <v>38-33</v>
      </c>
      <c r="F14" s="23" t="str">
        <f>TEXT(VLOOKUP($B14,Table3[#All],9,FALSE),"0") &amp; "-" &amp; TEXT(VLOOKUP($B14,Table3[#All],10,FALSE),"0")</f>
        <v>37-34</v>
      </c>
      <c r="G14" s="18">
        <f>VLOOKUP($B14,Table3[#All],16,FALSE)</f>
        <v>516</v>
      </c>
      <c r="H14" s="6">
        <f>VLOOKUP($B14,Table3[#All],17,FALSE)</f>
        <v>478</v>
      </c>
      <c r="I14" s="25">
        <f>VLOOKUP($B14,Table3[#All],18,FALSE)</f>
        <v>38</v>
      </c>
      <c r="J14" s="26">
        <f>VLOOKUP($B14,Table3[#All],20,FALSE)</f>
        <v>477.58737687999997</v>
      </c>
      <c r="K14" s="27">
        <f>VLOOKUP($B14,Table3[#All],21,FALSE)</f>
        <v>452.99409200000002</v>
      </c>
      <c r="L14" s="30">
        <f>ROUND(VLOOKUP($B14,Table3[#All],3,FALSE)-VLOOKUP($B14,Table3[#All],6,FALSE),0)</f>
        <v>-2</v>
      </c>
      <c r="M14" s="25">
        <f>ROUND(VLOOKUP($B14,Table3[#All],3,FALSE)-VLOOKUP($B14,Table3[#All],9,FALSE),0)</f>
        <v>-1</v>
      </c>
      <c r="N14" s="34">
        <f>VLOOKUP($B14,Table3[#All],12,FALSE)</f>
        <v>-0.27120120544953241</v>
      </c>
      <c r="O14" s="32">
        <f>VLOOKUP($B14,Table3[#All],13,FALSE)</f>
        <v>0.26401006215610134</v>
      </c>
      <c r="P14" s="38">
        <f>VLOOKUP(VLOOKUP(B14,Table3[[#All],[Name]:[ABBR]],2,FALSE),'[1]Full League'!$A$2:$I$23,8,FALSE)</f>
        <v>99.081867665575672</v>
      </c>
      <c r="Q14" s="32">
        <f>VLOOKUP(VLOOKUP(B14,Table3[[#All],[Name]:[ABBR]],2,FALSE),'[1]Full League'!$A$2:$I$23,9,FALSE)</f>
        <v>99.41078019773056</v>
      </c>
    </row>
    <row r="15" spans="2:17" x14ac:dyDescent="0.25">
      <c r="B15" s="11" t="s">
        <v>101</v>
      </c>
      <c r="C15" s="18" t="str">
        <f>TEXT(VLOOKUP($B15,Table3[#All],3,FALSE),"0") &amp; "-" &amp; TEXT(VLOOKUP($B15,Table3[#All],4,FALSE),"0")</f>
        <v>34-33</v>
      </c>
      <c r="D15" s="19">
        <f>VLOOKUP($B15,Table3[#All],5,FALSE)</f>
        <v>0.50700000000000001</v>
      </c>
      <c r="E15" s="18" t="str">
        <f>TEXT(VLOOKUP($B15,Table3[#All],6,FALSE),"0") &amp; "-" &amp; TEXT(VLOOKUP($B15,Table3[#All],7,FALSE),"0")</f>
        <v>31-36</v>
      </c>
      <c r="F15" s="23" t="str">
        <f>TEXT(VLOOKUP($B15,Table3[#All],9,FALSE),"0") &amp; "-" &amp; TEXT(VLOOKUP($B15,Table3[#All],10,FALSE),"0")</f>
        <v>30-37</v>
      </c>
      <c r="G15" s="18">
        <f>VLOOKUP($B15,Table3[#All],16,FALSE)</f>
        <v>357</v>
      </c>
      <c r="H15" s="6">
        <f>VLOOKUP($B15,Table3[#All],17,FALSE)</f>
        <v>382</v>
      </c>
      <c r="I15" s="25">
        <f>VLOOKUP($B15,Table3[#All],18,FALSE)</f>
        <v>-25</v>
      </c>
      <c r="J15" s="26">
        <f>VLOOKUP($B15,Table3[#All],20,FALSE)</f>
        <v>380.37439063999994</v>
      </c>
      <c r="K15" s="27">
        <f>VLOOKUP($B15,Table3[#All],21,FALSE)</f>
        <v>422.90968599999997</v>
      </c>
      <c r="L15" s="30">
        <f>ROUND(VLOOKUP($B15,Table3[#All],3,FALSE)-VLOOKUP($B15,Table3[#All],6,FALSE),0)</f>
        <v>3</v>
      </c>
      <c r="M15" s="25">
        <f>ROUND(VLOOKUP($B15,Table3[#All],3,FALSE)-VLOOKUP($B15,Table3[#All],9,FALSE),0)</f>
        <v>4</v>
      </c>
      <c r="N15" s="34">
        <f>VLOOKUP($B15,Table3[#All],12,FALSE)</f>
        <v>4.9795938672390828E-2</v>
      </c>
      <c r="O15" s="32">
        <f>VLOOKUP($B15,Table3[#All],13,FALSE)</f>
        <v>-0.32333838968581813</v>
      </c>
      <c r="P15" s="38">
        <f>VLOOKUP(VLOOKUP(B15,Table3[[#All],[Name]:[ABBR]],2,FALSE),'[1]Full League'!$A$2:$I$23,8,FALSE)</f>
        <v>101.06251745075383</v>
      </c>
      <c r="Q15" s="32">
        <f>VLOOKUP(VLOOKUP(B15,Table3[[#All],[Name]:[ABBR]],2,FALSE),'[1]Full League'!$A$2:$I$23,9,FALSE)</f>
        <v>102.13231095819111</v>
      </c>
    </row>
    <row r="16" spans="2:17" x14ac:dyDescent="0.25">
      <c r="B16" s="11" t="s">
        <v>116</v>
      </c>
      <c r="C16" s="18" t="str">
        <f>TEXT(VLOOKUP($B16,Table3[#All],3,FALSE),"0") &amp; "-" &amp; TEXT(VLOOKUP($B16,Table3[#All],4,FALSE),"0")</f>
        <v>33-38</v>
      </c>
      <c r="D16" s="19">
        <f>VLOOKUP($B16,Table3[#All],5,FALSE)</f>
        <v>0.46500000000000002</v>
      </c>
      <c r="E16" s="18" t="str">
        <f>TEXT(VLOOKUP($B16,Table3[#All],6,FALSE),"0") &amp; "-" &amp; TEXT(VLOOKUP($B16,Table3[#All],7,FALSE),"0")</f>
        <v>36-36</v>
      </c>
      <c r="F16" s="23" t="str">
        <f>TEXT(VLOOKUP($B16,Table3[#All],9,FALSE),"0") &amp; "-" &amp; TEXT(VLOOKUP($B16,Table3[#All],10,FALSE),"0")</f>
        <v>34-37</v>
      </c>
      <c r="G16" s="18">
        <f>VLOOKUP($B16,Table3[#All],16,FALSE)</f>
        <v>401</v>
      </c>
      <c r="H16" s="6">
        <f>VLOOKUP($B16,Table3[#All],17,FALSE)</f>
        <v>401</v>
      </c>
      <c r="I16" s="25">
        <f>VLOOKUP($B16,Table3[#All],18,FALSE)</f>
        <v>0</v>
      </c>
      <c r="J16" s="26">
        <f>VLOOKUP($B16,Table3[#All],20,FALSE)</f>
        <v>402.82496231999988</v>
      </c>
      <c r="K16" s="27">
        <f>VLOOKUP($B16,Table3[#All],21,FALSE)</f>
        <v>425.43043700000004</v>
      </c>
      <c r="L16" s="30">
        <f>ROUND(VLOOKUP($B16,Table3[#All],3,FALSE)-VLOOKUP($B16,Table3[#All],6,FALSE),0)</f>
        <v>-3</v>
      </c>
      <c r="M16" s="25">
        <f>ROUND(VLOOKUP($B16,Table3[#All],3,FALSE)-VLOOKUP($B16,Table3[#All],9,FALSE),0)</f>
        <v>-1</v>
      </c>
      <c r="N16" s="34">
        <f>VLOOKUP($B16,Table3[#All],12,FALSE)</f>
        <v>1.2219191737974344E-2</v>
      </c>
      <c r="O16" s="32">
        <f>VLOOKUP($B16,Table3[#All],13,FALSE)</f>
        <v>1.2219191737974344E-2</v>
      </c>
      <c r="P16" s="38">
        <f>VLOOKUP(VLOOKUP(B16,Table3[[#All],[Name]:[ABBR]],2,FALSE),'[1]Full League'!$A$2:$I$23,8,FALSE)</f>
        <v>107.64896652458256</v>
      </c>
      <c r="Q16" s="32">
        <f>VLOOKUP(VLOOKUP(B16,Table3[[#All],[Name]:[ABBR]],2,FALSE),'[1]Full League'!$A$2:$I$23,9,FALSE)</f>
        <v>107.19607164511214</v>
      </c>
    </row>
    <row r="17" spans="2:17" x14ac:dyDescent="0.25">
      <c r="B17" s="11" t="s">
        <v>132</v>
      </c>
      <c r="C17" s="18" t="str">
        <f>TEXT(VLOOKUP($B17,Table3[#All],3,FALSE),"0") &amp; "-" &amp; TEXT(VLOOKUP($B17,Table3[#All],4,FALSE),"0")</f>
        <v>32-36</v>
      </c>
      <c r="D17" s="19">
        <f>VLOOKUP($B17,Table3[#All],5,FALSE)</f>
        <v>0.47099999999999997</v>
      </c>
      <c r="E17" s="18" t="str">
        <f>TEXT(VLOOKUP($B17,Table3[#All],6,FALSE),"0") &amp; "-" &amp; TEXT(VLOOKUP($B17,Table3[#All],7,FALSE),"0")</f>
        <v>33-35</v>
      </c>
      <c r="F17" s="23" t="str">
        <f>TEXT(VLOOKUP($B17,Table3[#All],9,FALSE),"0") &amp; "-" &amp; TEXT(VLOOKUP($B17,Table3[#All],10,FALSE),"0")</f>
        <v>33-35</v>
      </c>
      <c r="G17" s="18">
        <f>VLOOKUP($B17,Table3[#All],16,FALSE)</f>
        <v>455</v>
      </c>
      <c r="H17" s="6">
        <f>VLOOKUP($B17,Table3[#All],17,FALSE)</f>
        <v>469</v>
      </c>
      <c r="I17" s="25">
        <f>VLOOKUP($B17,Table3[#All],18,FALSE)</f>
        <v>-14</v>
      </c>
      <c r="J17" s="26">
        <f>VLOOKUP($B17,Table3[#All],20,FALSE)</f>
        <v>450.46975184000001</v>
      </c>
      <c r="K17" s="27">
        <f>VLOOKUP($B17,Table3[#All],21,FALSE)</f>
        <v>472.19380399999994</v>
      </c>
      <c r="L17" s="30">
        <f>ROUND(VLOOKUP($B17,Table3[#All],3,FALSE)-VLOOKUP($B17,Table3[#All],6,FALSE),0)</f>
        <v>-1</v>
      </c>
      <c r="M17" s="25">
        <f>ROUND(VLOOKUP($B17,Table3[#All],3,FALSE)-VLOOKUP($B17,Table3[#All],9,FALSE),0)</f>
        <v>-1</v>
      </c>
      <c r="N17" s="34">
        <f>VLOOKUP($B17,Table3[#All],12,FALSE)</f>
        <v>2.9386942466381176E-2</v>
      </c>
      <c r="O17" s="32">
        <f>VLOOKUP($B17,Table3[#All],13,FALSE)</f>
        <v>-0.17649541047479528</v>
      </c>
      <c r="P17" s="38">
        <f>VLOOKUP(VLOOKUP(B17,Table3[[#All],[Name]:[ABBR]],2,FALSE),'[1]Full League'!$A$2:$I$23,8,FALSE)</f>
        <v>101.40928674631904</v>
      </c>
      <c r="Q17" s="32">
        <f>VLOOKUP(VLOOKUP(B17,Table3[[#All],[Name]:[ABBR]],2,FALSE),'[1]Full League'!$A$2:$I$23,9,FALSE)</f>
        <v>102.1389348939574</v>
      </c>
    </row>
    <row r="18" spans="2:17" x14ac:dyDescent="0.25">
      <c r="B18" s="11" t="s">
        <v>111</v>
      </c>
      <c r="C18" s="18" t="str">
        <f>TEXT(VLOOKUP($B18,Table3[#All],3,FALSE),"0") &amp; "-" &amp; TEXT(VLOOKUP($B18,Table3[#All],4,FALSE),"0")</f>
        <v>30-42</v>
      </c>
      <c r="D18" s="19">
        <f>VLOOKUP($B18,Table3[#All],5,FALSE)</f>
        <v>0.41699999999999998</v>
      </c>
      <c r="E18" s="18" t="str">
        <f>TEXT(VLOOKUP($B18,Table3[#All],6,FALSE),"0") &amp; "-" &amp; TEXT(VLOOKUP($B18,Table3[#All],7,FALSE),"0")</f>
        <v>28-44</v>
      </c>
      <c r="F18" s="23" t="str">
        <f>TEXT(VLOOKUP($B18,Table3[#All],9,FALSE),"0") &amp; "-" &amp; TEXT(VLOOKUP($B18,Table3[#All],10,FALSE),"0")</f>
        <v>30-42</v>
      </c>
      <c r="G18" s="18">
        <f>VLOOKUP($B18,Table3[#All],16,FALSE)</f>
        <v>348</v>
      </c>
      <c r="H18" s="6">
        <f>VLOOKUP($B18,Table3[#All],17,FALSE)</f>
        <v>449</v>
      </c>
      <c r="I18" s="25">
        <f>VLOOKUP($B18,Table3[#All],18,FALSE)</f>
        <v>-101</v>
      </c>
      <c r="J18" s="26">
        <f>VLOOKUP($B18,Table3[#All],20,FALSE)</f>
        <v>382.47367903999992</v>
      </c>
      <c r="K18" s="27">
        <f>VLOOKUP($B18,Table3[#All],21,FALSE)</f>
        <v>462.27984800000002</v>
      </c>
      <c r="L18" s="30">
        <f>ROUND(VLOOKUP($B18,Table3[#All],3,FALSE)-VLOOKUP($B18,Table3[#All],6,FALSE),0)</f>
        <v>2</v>
      </c>
      <c r="M18" s="25">
        <f>ROUND(VLOOKUP($B18,Table3[#All],3,FALSE)-VLOOKUP($B18,Table3[#All],9,FALSE),0)</f>
        <v>0</v>
      </c>
      <c r="N18" s="34">
        <f>VLOOKUP($B18,Table3[#All],12,FALSE)</f>
        <v>0.54403040766857835</v>
      </c>
      <c r="O18" s="32">
        <f>VLOOKUP($B18,Table3[#All],13,FALSE)</f>
        <v>-0.85874737010919933</v>
      </c>
      <c r="P18" s="38">
        <f>VLOOKUP(VLOOKUP(B18,Table3[[#All],[Name]:[ABBR]],2,FALSE),'[1]Full League'!$A$2:$I$23,8,FALSE)</f>
        <v>104.54002912116363</v>
      </c>
      <c r="Q18" s="32">
        <f>VLOOKUP(VLOOKUP(B18,Table3[[#All],[Name]:[ABBR]],2,FALSE),'[1]Full League'!$A$2:$I$23,9,FALSE)</f>
        <v>106.58412360486997</v>
      </c>
    </row>
    <row r="19" spans="2:17" x14ac:dyDescent="0.25">
      <c r="B19" s="41" t="s">
        <v>149</v>
      </c>
      <c r="C19" s="42" t="str">
        <f>TEXT(VLOOKUP($B19,Table3[#All],3,FALSE),"0") &amp; "-" &amp; TEXT(VLOOKUP($B19,Table3[#All],4,FALSE),"0")</f>
        <v>35-37</v>
      </c>
      <c r="D19" s="43">
        <f>VLOOKUP($B19,Table3[#All],5,FALSE)</f>
        <v>0.48599999999999999</v>
      </c>
      <c r="E19" s="42" t="str">
        <f>TEXT(VLOOKUP($B19,Table3[#All],6,FALSE),"0") &amp; "-" &amp; TEXT(VLOOKUP($B19,Table3[#All],7,FALSE),"0")</f>
        <v>33-39</v>
      </c>
      <c r="F19" s="44" t="str">
        <f>TEXT(VLOOKUP($B19,Table3[#All],9,FALSE),"0") &amp; "-" &amp; TEXT(VLOOKUP($B19,Table3[#All],10,FALSE),"0")</f>
        <v>34-38</v>
      </c>
      <c r="G19" s="42">
        <f>VLOOKUP($B19,Table3[#All],16,FALSE)</f>
        <v>430</v>
      </c>
      <c r="H19" s="45">
        <f>VLOOKUP($B19,Table3[#All],17,FALSE)</f>
        <v>474</v>
      </c>
      <c r="I19" s="46">
        <f>VLOOKUP($B19,Table3[#All],18,FALSE)</f>
        <v>-44</v>
      </c>
      <c r="J19" s="47">
        <f>VLOOKUP($B19,Table3[#All],20,FALSE)</f>
        <v>407.60178880000001</v>
      </c>
      <c r="K19" s="48">
        <f>VLOOKUP($B19,Table3[#All],21,FALSE)</f>
        <v>431.68162399999994</v>
      </c>
      <c r="L19" s="49">
        <f>ROUND(VLOOKUP($B19,Table3[#All],3,FALSE)-VLOOKUP($B19,Table3[#All],6,FALSE),0)</f>
        <v>2</v>
      </c>
      <c r="M19" s="46">
        <f>ROUND(VLOOKUP($B19,Table3[#All],3,FALSE)-VLOOKUP($B19,Table3[#All],9,FALSE),0)</f>
        <v>1</v>
      </c>
      <c r="N19" s="50">
        <f>VLOOKUP($B19,Table3[#All],12,FALSE)</f>
        <v>-8.5055838201705453E-2</v>
      </c>
      <c r="O19" s="51">
        <f>VLOOKUP($B19,Table3[#All],13,FALSE)</f>
        <v>-0.69616694931281664</v>
      </c>
      <c r="P19" s="52">
        <f>VLOOKUP(VLOOKUP(B19,Table3[[#All],[Name]:[ABBR]],2,FALSE),'[1]Full League'!$A$2:$I$23,8,FALSE)</f>
        <v>92.419690824598916</v>
      </c>
      <c r="Q19" s="51">
        <f>VLOOKUP(VLOOKUP(B19,Table3[[#All],[Name]:[ABBR]],2,FALSE),'[1]Full League'!$A$2:$I$23,9,FALSE)</f>
        <v>94.422005103291411</v>
      </c>
    </row>
    <row r="20" spans="2:17" x14ac:dyDescent="0.25">
      <c r="B20" s="11" t="s">
        <v>125</v>
      </c>
      <c r="C20" s="18" t="str">
        <f>TEXT(VLOOKUP($B20,Table3[#All],3,FALSE),"0") &amp; "-" &amp; TEXT(VLOOKUP($B20,Table3[#All],4,FALSE),"0")</f>
        <v>26-46</v>
      </c>
      <c r="D20" s="19">
        <f>VLOOKUP($B20,Table3[#All],5,FALSE)</f>
        <v>0.36099999999999999</v>
      </c>
      <c r="E20" s="18" t="str">
        <f>TEXT(VLOOKUP($B20,Table3[#All],6,FALSE),"0") &amp; "-" &amp; TEXT(VLOOKUP($B20,Table3[#All],7,FALSE),"0")</f>
        <v>28-44</v>
      </c>
      <c r="F20" s="23" t="str">
        <f>TEXT(VLOOKUP($B20,Table3[#All],9,FALSE),"0") &amp; "-" &amp; TEXT(VLOOKUP($B20,Table3[#All],10,FALSE),"0")</f>
        <v>24-48</v>
      </c>
      <c r="G20" s="18">
        <f>VLOOKUP($B20,Table3[#All],16,FALSE)</f>
        <v>394</v>
      </c>
      <c r="H20" s="6">
        <f>VLOOKUP($B20,Table3[#All],17,FALSE)</f>
        <v>503</v>
      </c>
      <c r="I20" s="25">
        <f>VLOOKUP($B20,Table3[#All],18,FALSE)</f>
        <v>-109</v>
      </c>
      <c r="J20" s="26">
        <f>VLOOKUP($B20,Table3[#All],20,FALSE)</f>
        <v>362.79788191999995</v>
      </c>
      <c r="K20" s="27">
        <f>VLOOKUP($B20,Table3[#All],21,FALSE)</f>
        <v>538.43684000000007</v>
      </c>
      <c r="L20" s="30">
        <f>ROUND(VLOOKUP($B20,Table3[#All],3,FALSE)-VLOOKUP($B20,Table3[#All],6,FALSE),0)</f>
        <v>-2</v>
      </c>
      <c r="M20" s="25">
        <f>ROUND(VLOOKUP($B20,Table3[#All],3,FALSE)-VLOOKUP($B20,Table3[#All],9,FALSE),0)</f>
        <v>2</v>
      </c>
      <c r="N20" s="34">
        <f>VLOOKUP($B20,Table3[#All],12,FALSE)</f>
        <v>0.24647346105059859</v>
      </c>
      <c r="O20" s="32">
        <f>VLOOKUP($B20,Table3[#All],13,FALSE)</f>
        <v>-1.2674154278382903</v>
      </c>
      <c r="P20" s="38">
        <f>VLOOKUP(VLOOKUP(B20,Table3[[#All],[Name]:[ABBR]],2,FALSE),'[1]Full League'!$A$2:$I$23,8,FALSE)</f>
        <v>93.811548169395721</v>
      </c>
      <c r="Q20" s="32">
        <f>VLOOKUP(VLOOKUP(B20,Table3[[#All],[Name]:[ABBR]],2,FALSE),'[1]Full League'!$A$2:$I$23,9,FALSE)</f>
        <v>94.945194183486976</v>
      </c>
    </row>
    <row r="21" spans="2:17" x14ac:dyDescent="0.25">
      <c r="B21" s="11" t="s">
        <v>97</v>
      </c>
      <c r="C21" s="18" t="str">
        <f>TEXT(VLOOKUP($B21,Table3[#All],3,FALSE),"0") &amp; "-" &amp; TEXT(VLOOKUP($B21,Table3[#All],4,FALSE),"0")</f>
        <v>23-45</v>
      </c>
      <c r="D21" s="19">
        <f>VLOOKUP($B21,Table3[#All],5,FALSE)</f>
        <v>0.33800000000000002</v>
      </c>
      <c r="E21" s="18" t="str">
        <f>TEXT(VLOOKUP($B21,Table3[#All],6,FALSE),"0") &amp; "-" &amp; TEXT(VLOOKUP($B21,Table3[#All],7,FALSE),"0")</f>
        <v>25-43</v>
      </c>
      <c r="F21" s="23" t="str">
        <f>TEXT(VLOOKUP($B21,Table3[#All],9,FALSE),"0") &amp; "-" &amp; TEXT(VLOOKUP($B21,Table3[#All],10,FALSE),"0")</f>
        <v>24-44</v>
      </c>
      <c r="G21" s="18">
        <f>VLOOKUP($B21,Table3[#All],16,FALSE)</f>
        <v>374</v>
      </c>
      <c r="H21" s="6">
        <f>VLOOKUP($B21,Table3[#All],17,FALSE)</f>
        <v>504</v>
      </c>
      <c r="I21" s="25">
        <f>VLOOKUP($B21,Table3[#All],18,FALSE)</f>
        <v>-130</v>
      </c>
      <c r="J21" s="26">
        <f>VLOOKUP($B21,Table3[#All],20,FALSE)</f>
        <v>381.22294511999996</v>
      </c>
      <c r="K21" s="27">
        <f>VLOOKUP($B21,Table3[#All],21,FALSE)</f>
        <v>527.87806</v>
      </c>
      <c r="L21" s="30">
        <f>ROUND(VLOOKUP($B21,Table3[#All],3,FALSE)-VLOOKUP($B21,Table3[#All],6,FALSE),0)</f>
        <v>-2</v>
      </c>
      <c r="M21" s="25">
        <f>ROUND(VLOOKUP($B21,Table3[#All],3,FALSE)-VLOOKUP($B21,Table3[#All],9,FALSE),0)</f>
        <v>-1</v>
      </c>
      <c r="N21" s="34">
        <f>VLOOKUP($B21,Table3[#All],12,FALSE)</f>
        <v>0.23007898398887261</v>
      </c>
      <c r="O21" s="32">
        <f>VLOOKUP($B21,Table3[#All],13,FALSE)</f>
        <v>-1.6816857218934804</v>
      </c>
      <c r="P21" s="38">
        <f>VLOOKUP(VLOOKUP(B21,Table3[[#All],[Name]:[ABBR]],2,FALSE),'[1]Full League'!$A$2:$I$23,8,FALSE)</f>
        <v>93.578980387591287</v>
      </c>
      <c r="Q21" s="32">
        <f>VLOOKUP(VLOOKUP(B21,Table3[[#All],[Name]:[ABBR]],2,FALSE),'[1]Full League'!$A$2:$I$23,9,FALSE)</f>
        <v>95.835835570054059</v>
      </c>
    </row>
    <row r="22" spans="2:17" x14ac:dyDescent="0.25">
      <c r="B22" s="11" t="s">
        <v>138</v>
      </c>
      <c r="C22" s="18" t="str">
        <f>TEXT(VLOOKUP($B22,Table3[#All],3,FALSE),"0") &amp; "-" &amp; TEXT(VLOOKUP($B22,Table3[#All],4,FALSE),"0")</f>
        <v>16-52</v>
      </c>
      <c r="D22" s="19">
        <f>VLOOKUP($B22,Table3[#All],5,FALSE)</f>
        <v>0.23499999999999999</v>
      </c>
      <c r="E22" s="18" t="str">
        <f>TEXT(VLOOKUP($B22,Table3[#All],6,FALSE),"0") &amp; "-" &amp; TEXT(VLOOKUP($B22,Table3[#All],7,FALSE),"0")</f>
        <v>20-48</v>
      </c>
      <c r="F22" s="23" t="str">
        <f>TEXT(VLOOKUP($B22,Table3[#All],9,FALSE),"0") &amp; "-" &amp; TEXT(VLOOKUP($B22,Table3[#All],10,FALSE),"0")</f>
        <v>22-46</v>
      </c>
      <c r="G22" s="18">
        <f>VLOOKUP($B22,Table3[#All],16,FALSE)</f>
        <v>368</v>
      </c>
      <c r="H22" s="6">
        <f>VLOOKUP($B22,Table3[#All],17,FALSE)</f>
        <v>595</v>
      </c>
      <c r="I22" s="25">
        <f>VLOOKUP($B22,Table3[#All],18,FALSE)</f>
        <v>-227</v>
      </c>
      <c r="J22" s="26">
        <f>VLOOKUP($B22,Table3[#All],20,FALSE)</f>
        <v>397.96088719999995</v>
      </c>
      <c r="K22" s="27">
        <f>VLOOKUP($B22,Table3[#All],21,FALSE)</f>
        <v>608.48138400000016</v>
      </c>
      <c r="L22" s="30">
        <f>ROUND(VLOOKUP($B22,Table3[#All],3,FALSE)-VLOOKUP($B22,Table3[#All],6,FALSE),0)</f>
        <v>-4</v>
      </c>
      <c r="M22" s="25">
        <f>ROUND(VLOOKUP($B22,Table3[#All],3,FALSE)-VLOOKUP($B22,Table3[#All],9,FALSE),0)</f>
        <v>-6</v>
      </c>
      <c r="N22" s="34">
        <f>VLOOKUP($B22,Table3[#All],12,FALSE)</f>
        <v>0.39789905319302504</v>
      </c>
      <c r="O22" s="32">
        <f>VLOOKUP($B22,Table3[#All],13,FALSE)</f>
        <v>-2.9403362409246223</v>
      </c>
      <c r="P22" s="38">
        <f>VLOOKUP(VLOOKUP(B22,Table3[[#All],[Name]:[ABBR]],2,FALSE),'[1]Full League'!$A$2:$I$23,8,FALSE)</f>
        <v>105.59504820763959</v>
      </c>
      <c r="Q22" s="32">
        <f>VLOOKUP(VLOOKUP(B22,Table3[[#All],[Name]:[ABBR]],2,FALSE),'[1]Full League'!$A$2:$I$23,9,FALSE)</f>
        <v>106.83575891028218</v>
      </c>
    </row>
    <row r="23" spans="2:17" x14ac:dyDescent="0.25">
      <c r="B23" s="11" t="s">
        <v>118</v>
      </c>
      <c r="C23" s="18" t="str">
        <f>TEXT(VLOOKUP($B23,Table3[#All],3,FALSE),"0") &amp; "-" &amp; TEXT(VLOOKUP($B23,Table3[#All],4,FALSE),"0")</f>
        <v>19-52</v>
      </c>
      <c r="D23" s="19">
        <f>VLOOKUP($B23,Table3[#All],5,FALSE)</f>
        <v>0.26800000000000002</v>
      </c>
      <c r="E23" s="18" t="str">
        <f>TEXT(VLOOKUP($B23,Table3[#All],6,FALSE),"0") &amp; "-" &amp; TEXT(VLOOKUP($B23,Table3[#All],7,FALSE),"0")</f>
        <v>20-51</v>
      </c>
      <c r="F23" s="23" t="str">
        <f>TEXT(VLOOKUP($B23,Table3[#All],9,FALSE),"0") &amp; "-" &amp; TEXT(VLOOKUP($B23,Table3[#All],10,FALSE),"0")</f>
        <v>22-49</v>
      </c>
      <c r="G23" s="18">
        <f>VLOOKUP($B23,Table3[#All],16,FALSE)</f>
        <v>325</v>
      </c>
      <c r="H23" s="6">
        <f>VLOOKUP($B23,Table3[#All],17,FALSE)</f>
        <v>545</v>
      </c>
      <c r="I23" s="25">
        <f>VLOOKUP($B23,Table3[#All],18,FALSE)</f>
        <v>-220</v>
      </c>
      <c r="J23" s="26">
        <f>VLOOKUP($B23,Table3[#All],20,FALSE)</f>
        <v>319.63520679999999</v>
      </c>
      <c r="K23" s="27">
        <f>VLOOKUP($B23,Table3[#All],21,FALSE)</f>
        <v>499.49929700000001</v>
      </c>
      <c r="L23" s="30">
        <f>ROUND(VLOOKUP($B23,Table3[#All],3,FALSE)-VLOOKUP($B23,Table3[#All],6,FALSE),0)</f>
        <v>-1</v>
      </c>
      <c r="M23" s="25">
        <f>ROUND(VLOOKUP($B23,Table3[#All],3,FALSE)-VLOOKUP($B23,Table3[#All],9,FALSE),0)</f>
        <v>-3</v>
      </c>
      <c r="N23" s="34">
        <f>VLOOKUP($B23,Table3[#All],12,FALSE)</f>
        <v>0.48283521779223576</v>
      </c>
      <c r="O23" s="32">
        <f>VLOOKUP($B23,Table3[#All],13,FALSE)</f>
        <v>-2.6157563315035386</v>
      </c>
      <c r="P23" s="38">
        <f>VLOOKUP(VLOOKUP(B23,Table3[[#All],[Name]:[ABBR]],2,FALSE),'[1]Full League'!$A$2:$I$23,8,FALSE)</f>
        <v>94.972810650464865</v>
      </c>
      <c r="Q23" s="32">
        <f>VLOOKUP(VLOOKUP(B23,Table3[[#All],[Name]:[ABBR]],2,FALSE),'[1]Full League'!$A$2:$I$23,9,FALSE)</f>
        <v>96.405971413338165</v>
      </c>
    </row>
    <row r="24" spans="2:17" x14ac:dyDescent="0.25">
      <c r="B24" s="11" t="s">
        <v>129</v>
      </c>
      <c r="C24" s="7" t="str">
        <f>TEXT(VLOOKUP($B24,Table3[#All],3,FALSE),"0") &amp; "-" &amp; TEXT(VLOOKUP($B24,Table3[#All],4,FALSE),"0")</f>
        <v>7-29</v>
      </c>
      <c r="D24" s="21">
        <f>VLOOKUP($B24,Table3[#All],5,FALSE)</f>
        <v>0.19400000000000001</v>
      </c>
      <c r="E24" s="20" t="str">
        <f>TEXT(VLOOKUP($B24,Table3[#All],6,FALSE),"0") &amp; "-" &amp; TEXT(VLOOKUP($B24,Table3[#All],7,FALSE),"0")</f>
        <v>11-25</v>
      </c>
      <c r="F24" s="24" t="str">
        <f>TEXT(VLOOKUP($B24,Table3[#All],9,FALSE),"0") &amp; "-" &amp; TEXT(VLOOKUP($B24,Table3[#All],10,FALSE),"0")</f>
        <v>10-26</v>
      </c>
      <c r="G24" s="20">
        <f>VLOOKUP($B24,Table3[#All],16,FALSE)</f>
        <v>175</v>
      </c>
      <c r="H24" s="7">
        <f>VLOOKUP($B24,Table3[#All],17,FALSE)</f>
        <v>270</v>
      </c>
      <c r="I24" s="36">
        <f>VLOOKUP($B24,Table3[#All],18,FALSE)</f>
        <v>-95</v>
      </c>
      <c r="J24" s="28">
        <f>VLOOKUP($B24,Table3[#All],20,FALSE)</f>
        <v>175.49550592</v>
      </c>
      <c r="K24" s="29">
        <f>VLOOKUP($B24,Table3[#All],21,FALSE)</f>
        <v>299.81815599999999</v>
      </c>
      <c r="L24" s="37">
        <f>ROUND(VLOOKUP($B24,Table3[#All],3,FALSE)-VLOOKUP($B24,Table3[#All],6,FALSE),0)</f>
        <v>-4</v>
      </c>
      <c r="M24" s="36">
        <f>ROUND(VLOOKUP($B24,Table3[#All],3,FALSE)-VLOOKUP($B24,Table3[#All],9,FALSE),0)</f>
        <v>-3</v>
      </c>
      <c r="N24" s="35">
        <f>VLOOKUP($B24,Table3[#All],12,FALSE)</f>
        <v>0.15129900843412036</v>
      </c>
      <c r="O24" s="33">
        <f>VLOOKUP($B24,Table3[#All],13,FALSE)</f>
        <v>-2.4875898804547685</v>
      </c>
      <c r="P24" s="39">
        <f>VLOOKUP(VLOOKUP(B24,Table3[[#All],[Name]:[ABBR]],2,FALSE),'[1]Full League'!$A$2:$I$23,8,FALSE)</f>
        <v>100</v>
      </c>
      <c r="Q24" s="33">
        <f>VLOOKUP(VLOOKUP(B24,Table3[[#All],[Name]:[ABBR]],2,FALSE),'[1]Full League'!$A$2:$I$23,9,FALSE)</f>
        <v>100</v>
      </c>
    </row>
    <row r="25" spans="2:17" x14ac:dyDescent="0.25">
      <c r="B25" s="62" t="s">
        <v>159</v>
      </c>
      <c r="C25" s="63"/>
      <c r="D25" s="63"/>
      <c r="E25" s="63"/>
      <c r="F25" s="63"/>
      <c r="G25" s="63"/>
      <c r="H25" s="63"/>
      <c r="I25" s="63"/>
      <c r="J25" s="64" t="s">
        <v>164</v>
      </c>
      <c r="K25" s="64"/>
      <c r="L25" s="64"/>
      <c r="M25" s="64"/>
      <c r="N25" s="64"/>
      <c r="O25" s="64"/>
      <c r="P25" s="64"/>
      <c r="Q25" s="65"/>
    </row>
  </sheetData>
  <mergeCells count="3">
    <mergeCell ref="P2:Q2"/>
    <mergeCell ref="B25:I25"/>
    <mergeCell ref="J25:Q25"/>
  </mergeCells>
  <conditionalFormatting sqref="L3:M24">
    <cfRule type="cellIs" dxfId="52" priority="17" operator="equal">
      <formula>0</formula>
    </cfRule>
    <cfRule type="cellIs" dxfId="51" priority="18" operator="lessThan">
      <formula>0</formula>
    </cfRule>
    <cfRule type="cellIs" dxfId="50" priority="19" operator="greaterThan">
      <formula>0</formula>
    </cfRule>
  </conditionalFormatting>
  <conditionalFormatting sqref="I3:I24">
    <cfRule type="cellIs" dxfId="49" priority="14" operator="equal">
      <formula>0</formula>
    </cfRule>
    <cfRule type="cellIs" dxfId="48" priority="15" operator="lessThan">
      <formula>0</formula>
    </cfRule>
    <cfRule type="cellIs" dxfId="47" priority="16" operator="greaterThan">
      <formula>0</formula>
    </cfRule>
  </conditionalFormatting>
  <conditionalFormatting sqref="O3:O24">
    <cfRule type="top10" dxfId="46" priority="10" percent="1" bottom="1" rank="10"/>
    <cfRule type="top10" dxfId="45" priority="11" percent="1" rank="10"/>
    <cfRule type="cellIs" dxfId="44" priority="12" operator="lessThan">
      <formula>0</formula>
    </cfRule>
    <cfRule type="cellIs" dxfId="43" priority="13" operator="greaterThan">
      <formula>0</formula>
    </cfRule>
  </conditionalFormatting>
  <conditionalFormatting sqref="P3:P24">
    <cfRule type="cellIs" dxfId="42" priority="6" operator="lessThan">
      <formula>100</formula>
    </cfRule>
    <cfRule type="cellIs" dxfId="41" priority="7" operator="greaterThan">
      <formula>100</formula>
    </cfRule>
  </conditionalFormatting>
  <conditionalFormatting sqref="Q3:Q24">
    <cfRule type="cellIs" dxfId="40" priority="4" operator="lessThan">
      <formula>100</formula>
    </cfRule>
    <cfRule type="cellIs" dxfId="39" priority="5" operator="greaterThan">
      <formula>100</formula>
    </cfRule>
  </conditionalFormatting>
  <conditionalFormatting sqref="P3:Q24">
    <cfRule type="cellIs" dxfId="38" priority="1" operator="equal">
      <formula>100</formula>
    </cfRule>
    <cfRule type="expression" dxfId="37" priority="2">
      <formula>ISNA($P3:$Q3)</formula>
    </cfRule>
  </conditionalFormatting>
  <pageMargins left="0.25" right="0.25" top="0.25" bottom="0.25" header="0.3" footer="0.3"/>
  <pageSetup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7941-B093-4B87-A00B-E9912A6E1BC8}">
  <sheetPr codeName="Sheet2"/>
  <dimension ref="A1:AC33"/>
  <sheetViews>
    <sheetView workbookViewId="0">
      <selection activeCell="I4" sqref="I4"/>
    </sheetView>
  </sheetViews>
  <sheetFormatPr defaultRowHeight="15" x14ac:dyDescent="0.25"/>
  <cols>
    <col min="1" max="1" width="18.28515625" customWidth="1"/>
    <col min="10" max="10" width="10" customWidth="1"/>
    <col min="12" max="12" width="9.7109375" customWidth="1"/>
  </cols>
  <sheetData>
    <row r="1" spans="1:29" x14ac:dyDescent="0.25">
      <c r="A1" t="s">
        <v>148</v>
      </c>
      <c r="B1" t="s">
        <v>147</v>
      </c>
      <c r="C1" t="s">
        <v>54</v>
      </c>
      <c r="D1" t="s">
        <v>55</v>
      </c>
      <c r="E1" t="s">
        <v>75</v>
      </c>
      <c r="F1" t="s">
        <v>74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4</v>
      </c>
      <c r="Q1" t="s">
        <v>85</v>
      </c>
      <c r="R1" t="s">
        <v>89</v>
      </c>
      <c r="S1" t="s">
        <v>144</v>
      </c>
      <c r="T1" t="s">
        <v>86</v>
      </c>
      <c r="U1" t="s">
        <v>87</v>
      </c>
      <c r="V1" t="s">
        <v>5</v>
      </c>
      <c r="W1" t="s">
        <v>27</v>
      </c>
      <c r="X1" t="s">
        <v>20</v>
      </c>
      <c r="Y1" t="s">
        <v>12</v>
      </c>
      <c r="Z1" t="s">
        <v>146</v>
      </c>
      <c r="AA1" t="s">
        <v>67</v>
      </c>
      <c r="AB1" t="s">
        <v>88</v>
      </c>
      <c r="AC1" t="s">
        <v>162</v>
      </c>
    </row>
    <row r="2" spans="1:29" x14ac:dyDescent="0.25">
      <c r="A2" t="s">
        <v>135</v>
      </c>
      <c r="B2" t="s">
        <v>31</v>
      </c>
      <c r="C2" s="2">
        <f>VLOOKUP(VLOOKUP(Table3[[#This Row],[ABBR]],CHOOSE({2,1},StandingsRAW!$J:$J,StandingsRAW!$L:$L),2,FALSE),StandingsRAW!$A:$C,2,FALSE)</f>
        <v>50</v>
      </c>
      <c r="D2" s="2">
        <f>VLOOKUP(VLOOKUP(Table3[[#This Row],[ABBR]],CHOOSE({2,1},StandingsRAW!$J:$J,StandingsRAW!$L:$L),2,FALSE),StandingsRAW!$A:$C,3,FALSE)</f>
        <v>18</v>
      </c>
      <c r="E2" s="2">
        <f>VLOOKUP(VLOOKUP(Table3[[#This Row],[ABBR]],CHOOSE({2,1},StandingsRAW!$J:$J,StandingsRAW!$L:$L),2,FALSE),StandingsRAW!$A:$D,4,FALSE)</f>
        <v>0.73499999999999999</v>
      </c>
      <c r="F2" s="3">
        <f>Table3[[#This Row],[pyth%]]*Table3[[#This Row],[Games]]</f>
        <v>48.081698072876179</v>
      </c>
      <c r="G2" s="3">
        <f>(1-Table3[[#This Row],[pyth%]])*Table3[[#This Row],[Games]]</f>
        <v>19.918301927123821</v>
      </c>
      <c r="H2">
        <f>((Table3[[#This Row],[R]]^1.81)/(Table3[[#This Row],[R]]^1.81 + Table3[[#This Row],[RA]]^1.81))</f>
        <v>0.7070837951893556</v>
      </c>
      <c r="I2" s="3">
        <f>Table3[[#This Row],[xpyth%]]*Table3[[#This Row],[Games]]</f>
        <v>46.430324764352306</v>
      </c>
      <c r="J2" s="3">
        <f>(1-Table3[[#This Row],[xpyth%]])*Table3[[#This Row],[Games]]</f>
        <v>21.569675235647694</v>
      </c>
      <c r="K2">
        <f>((Table3[[#This Row],[xR]]^1.81)/(Table3[[#This Row],[xR]]^1.81 + Table3[[#This Row],[xRA]]^1.81)) + $L$28</f>
        <v>0.68279889359341628</v>
      </c>
      <c r="L2" s="4">
        <f>VLOOKUP(Table3[[#This Row],[ABBR]],[1]Raw!$L$2:$T$23,9,FALSE)</f>
        <v>-0.29760267691078141</v>
      </c>
      <c r="M2" s="4">
        <f>Table3[[#This Row],[Diff/g]]+Table3[[#This Row],[SOS]]</f>
        <v>2.2759267348539245</v>
      </c>
      <c r="N2" s="3">
        <f>Table3[[#This Row],[W]]-Table3[[#This Row],[pythW]]</f>
        <v>1.9183019271238209</v>
      </c>
      <c r="O2" s="3">
        <f>Table3[[#This Row],[W]]-Table3[[#This Row],[xpythW]]</f>
        <v>3.5696752356476935</v>
      </c>
      <c r="P2">
        <f>VLOOKUP(Table3[[#This Row],[ABBR]],Table1[#All],5,FALSE)</f>
        <v>454</v>
      </c>
      <c r="Q2">
        <f>VLOOKUP(Table3[[#This Row],[ABBR]],Table2[#All],10,FALSE)</f>
        <v>279</v>
      </c>
      <c r="R2">
        <f>P2-Q2</f>
        <v>175</v>
      </c>
      <c r="S2" s="4">
        <f>Table3[[#This Row],[Diff]]/Table3[[#This Row],[Games]]</f>
        <v>2.5735294117647061</v>
      </c>
      <c r="T2">
        <f>(-5.41729 + 0.5069*Table3[[#This Row],[H]] + 8.44144*Table3[[#This Row],[SECA]] + 11.79712*Table3[[#This Row],[OBP]]) *Table3[[#This Row],[Games]]</f>
        <v>447.39830848000003</v>
      </c>
      <c r="U2">
        <f>(-6.91097 + 0.22576*Table3[[#This Row],[K]] + 1.24772*Table3[[#This Row],[HRA]] + 6.5357*Table3[[#This Row],[WHIP]]) * Table3[[#This Row],[Games]]</f>
        <v>292.91362800000002</v>
      </c>
      <c r="V2">
        <f>VLOOKUP(Table3[[#This Row],[ABBR]],Table1[#All],6,FALSE) /Table3[[#This Row],[Games]]</f>
        <v>8.9117647058823533</v>
      </c>
      <c r="W2">
        <f>VLOOKUP(Table3[[#This Row],[ABBR]],Table1[#All],28,FALSE)</f>
        <v>0.33400000000000002</v>
      </c>
      <c r="X2">
        <f>VLOOKUP(Table3[[#This Row],[ABBR]],Table1[#All],21,FALSE)</f>
        <v>0.39500000000000002</v>
      </c>
      <c r="Y2">
        <f>VLOOKUP(Table3[[#This Row],[ABBR]],Table2[#All],13,FALSE) / Table3[[#This Row],[Games]]</f>
        <v>8.5882352941176467</v>
      </c>
      <c r="Z2">
        <f>VLOOKUP(Table3[[#This Row],[ABBR]],Table2[#All],21,FALSE) / Table3[[#This Row],[Games]]</f>
        <v>0.47058823529411764</v>
      </c>
      <c r="AA2">
        <f>VLOOKUP(Table3[[#This Row],[ABBR]],Table2[#All],25,FALSE)</f>
        <v>1.33</v>
      </c>
      <c r="AB2">
        <f>C2+D2</f>
        <v>68</v>
      </c>
    </row>
    <row r="3" spans="1:29" x14ac:dyDescent="0.25">
      <c r="A3" t="s">
        <v>142</v>
      </c>
      <c r="B3" t="s">
        <v>30</v>
      </c>
      <c r="C3" s="2">
        <f>VLOOKUP(VLOOKUP(Table3[[#This Row],[ABBR]],CHOOSE({2,1},StandingsRAW!$J:$J,StandingsRAW!$L:$L),2,FALSE),StandingsRAW!$A:$C,2,FALSE)</f>
        <v>48</v>
      </c>
      <c r="D3" s="2">
        <f>VLOOKUP(VLOOKUP(Table3[[#This Row],[ABBR]],CHOOSE({2,1},StandingsRAW!$J:$J,StandingsRAW!$L:$L),2,FALSE),StandingsRAW!$A:$C,3,FALSE)</f>
        <v>20</v>
      </c>
      <c r="E3" s="2">
        <f>VLOOKUP(VLOOKUP(Table3[[#This Row],[ABBR]],CHOOSE({2,1},StandingsRAW!$J:$J,StandingsRAW!$L:$L),2,FALSE),StandingsRAW!$A:$D,4,FALSE)</f>
        <v>0.70599999999999996</v>
      </c>
      <c r="F3" s="3">
        <f>Table3[[#This Row],[pyth%]]*Table3[[#This Row],[Games]]</f>
        <v>48.448339584151199</v>
      </c>
      <c r="G3" s="3">
        <f>(1-Table3[[#This Row],[pyth%]])*Table3[[#This Row],[Games]]</f>
        <v>19.551660415848797</v>
      </c>
      <c r="H3">
        <f>((Table3[[#This Row],[R]]^1.81)/(Table3[[#This Row],[R]]^1.81 + Table3[[#This Row],[RA]]^1.81))</f>
        <v>0.71247558211987061</v>
      </c>
      <c r="I3" s="3">
        <f>Table3[[#This Row],[xpyth%]]*Table3[[#This Row],[Games]]</f>
        <v>45.50201415179923</v>
      </c>
      <c r="J3" s="3">
        <f>(1-Table3[[#This Row],[xpyth%]])*Table3[[#This Row],[Games]]</f>
        <v>22.497985848200766</v>
      </c>
      <c r="K3">
        <f>((Table3[[#This Row],[xR]]^1.81)/(Table3[[#This Row],[xR]]^1.81 + Table3[[#This Row],[xRA]]^1.81)) + $L$28</f>
        <v>0.66914726693822402</v>
      </c>
      <c r="L3" s="4">
        <f>VLOOKUP(Table3[[#This Row],[ABBR]],[1]Raw!$L$2:$T$23,9,FALSE)</f>
        <v>-0.35296599871008938</v>
      </c>
      <c r="M3" s="4">
        <f>Table3[[#This Row],[Diff/g]]+Table3[[#This Row],[SOS]]</f>
        <v>2.6911516483487339</v>
      </c>
      <c r="N3" s="3">
        <f>Table3[[#This Row],[W]]-Table3[[#This Row],[pythW]]</f>
        <v>-0.44833958415119923</v>
      </c>
      <c r="O3" s="3">
        <f>Table3[[#This Row],[W]]-Table3[[#This Row],[xpythW]]</f>
        <v>2.49798584820077</v>
      </c>
      <c r="P3">
        <f>VLOOKUP(Table3[[#This Row],[ABBR]],Table1[#All],5,FALSE)</f>
        <v>525</v>
      </c>
      <c r="Q3">
        <f>VLOOKUP(Table3[[#This Row],[ABBR]],Table2[#All],10,FALSE)</f>
        <v>318</v>
      </c>
      <c r="R3">
        <f>P3-Q3</f>
        <v>207</v>
      </c>
      <c r="S3" s="4">
        <f>Table3[[#This Row],[Diff]]/Table3[[#This Row],[Games]]</f>
        <v>3.0441176470588234</v>
      </c>
      <c r="T3">
        <f>(-5.41729 + 0.5069*Table3[[#This Row],[H]] + 8.44144*Table3[[#This Row],[SECA]] + 11.79712*Table3[[#This Row],[OBP]]) *Table3[[#This Row],[Games]]</f>
        <v>490.78653440000005</v>
      </c>
      <c r="U3">
        <f>(-6.91097 + 0.22576*Table3[[#This Row],[K]] + 1.24772*Table3[[#This Row],[HRA]] + 6.5357*Table3[[#This Row],[WHIP]]) * Table3[[#This Row],[Games]]</f>
        <v>332.57860400000004</v>
      </c>
      <c r="V3">
        <f>VLOOKUP(Table3[[#This Row],[ABBR]],Table1[#All],6,FALSE) /Table3[[#This Row],[Games]]</f>
        <v>9.7941176470588243</v>
      </c>
      <c r="W3">
        <f>VLOOKUP(Table3[[#This Row],[ABBR]],Table1[#All],28,FALSE)</f>
        <v>0.35799999999999998</v>
      </c>
      <c r="X3">
        <f>VLOOKUP(Table3[[#This Row],[ABBR]],Table1[#All],21,FALSE)</f>
        <v>0.39400000000000002</v>
      </c>
      <c r="Y3">
        <f>VLOOKUP(Table3[[#This Row],[ABBR]],Table2[#All],13,FALSE) / Table3[[#This Row],[Games]]</f>
        <v>9.1911764705882355</v>
      </c>
      <c r="Z3">
        <f>VLOOKUP(Table3[[#This Row],[ABBR]],Table2[#All],21,FALSE) / Table3[[#This Row],[Games]]</f>
        <v>0.51470588235294112</v>
      </c>
      <c r="AA3">
        <f>VLOOKUP(Table3[[#This Row],[ABBR]],Table2[#All],25,FALSE)</f>
        <v>1.39</v>
      </c>
      <c r="AB3">
        <f>C3+D3</f>
        <v>68</v>
      </c>
    </row>
    <row r="4" spans="1:29" x14ac:dyDescent="0.25">
      <c r="A4" t="s">
        <v>136</v>
      </c>
      <c r="B4" t="s">
        <v>45</v>
      </c>
      <c r="C4" s="2">
        <f>VLOOKUP(VLOOKUP(Table3[[#This Row],[ABBR]],CHOOSE({2,1},StandingsRAW!$J:$J,StandingsRAW!$L:$L),2,FALSE),StandingsRAW!$A:$C,2,FALSE)</f>
        <v>45</v>
      </c>
      <c r="D4" s="2">
        <f>VLOOKUP(VLOOKUP(Table3[[#This Row],[ABBR]],CHOOSE({2,1},StandingsRAW!$J:$J,StandingsRAW!$L:$L),2,FALSE),StandingsRAW!$A:$C,3,FALSE)</f>
        <v>27</v>
      </c>
      <c r="E4" s="2">
        <f>VLOOKUP(VLOOKUP(Table3[[#This Row],[ABBR]],CHOOSE({2,1},StandingsRAW!$J:$J,StandingsRAW!$L:$L),2,FALSE),StandingsRAW!$A:$D,4,FALSE)</f>
        <v>0.625</v>
      </c>
      <c r="F4" s="3">
        <f>Table3[[#This Row],[pyth%]]*Table3[[#This Row],[Games]]</f>
        <v>44.445780534384717</v>
      </c>
      <c r="G4" s="3">
        <f>(1-Table3[[#This Row],[pyth%]])*Table3[[#This Row],[Games]]</f>
        <v>27.554219465615283</v>
      </c>
      <c r="H4">
        <f>((Table3[[#This Row],[R]]^1.81)/(Table3[[#This Row],[R]]^1.81 + Table3[[#This Row],[RA]]^1.81))</f>
        <v>0.61730250742200998</v>
      </c>
      <c r="I4" s="3">
        <f>Table3[[#This Row],[xpyth%]]*Table3[[#This Row],[Games]]</f>
        <v>45.721495862238349</v>
      </c>
      <c r="J4" s="3">
        <f>(1-Table3[[#This Row],[xpyth%]])*Table3[[#This Row],[Games]]</f>
        <v>26.278504137761651</v>
      </c>
      <c r="K4">
        <f>((Table3[[#This Row],[xR]]^1.81)/(Table3[[#This Row],[xR]]^1.81 + Table3[[#This Row],[xRA]]^1.81)) + $L$28</f>
        <v>0.63502077586442152</v>
      </c>
      <c r="L4" s="4">
        <f>VLOOKUP(Table3[[#This Row],[ABBR]],[1]Raw!$L$2:$T$23,9,FALSE)</f>
        <v>-0.45355696843992466</v>
      </c>
      <c r="M4" s="4">
        <f>Table3[[#This Row],[Diff/g]]+Table3[[#This Row],[SOS]]</f>
        <v>0.99088747600451976</v>
      </c>
      <c r="N4" s="3">
        <f>Table3[[#This Row],[W]]-Table3[[#This Row],[pythW]]</f>
        <v>0.55421946561528301</v>
      </c>
      <c r="O4" s="3">
        <f>Table3[[#This Row],[W]]-Table3[[#This Row],[xpythW]]</f>
        <v>-0.72149586223834916</v>
      </c>
      <c r="P4">
        <f>VLOOKUP(Table3[[#This Row],[ABBR]],Table1[#All],5,FALSE)</f>
        <v>448</v>
      </c>
      <c r="Q4">
        <f>VLOOKUP(Table3[[#This Row],[ABBR]],Table2[#All],10,FALSE)</f>
        <v>344</v>
      </c>
      <c r="R4">
        <f>P4-Q4</f>
        <v>104</v>
      </c>
      <c r="S4" s="4">
        <f>Table3[[#This Row],[Diff]]/Table3[[#This Row],[Games]]</f>
        <v>1.4444444444444444</v>
      </c>
      <c r="T4">
        <f>(-5.41729 + 0.5069*Table3[[#This Row],[H]] + 8.44144*Table3[[#This Row],[SECA]] + 11.79712*Table3[[#This Row],[OBP]]) *Table3[[#This Row],[Games]]</f>
        <v>428.10945183999996</v>
      </c>
      <c r="U4">
        <f>(-6.91097 + 0.22576*Table3[[#This Row],[K]] + 1.24772*Table3[[#This Row],[HRA]] + 6.5357*Table3[[#This Row],[WHIP]]) * Table3[[#This Row],[Games]]</f>
        <v>315.26151199999998</v>
      </c>
      <c r="V4">
        <f>VLOOKUP(Table3[[#This Row],[ABBR]],Table1[#All],6,FALSE) /Table3[[#This Row],[Games]]</f>
        <v>8.1944444444444446</v>
      </c>
      <c r="W4">
        <f>VLOOKUP(Table3[[#This Row],[ABBR]],Table1[#All],28,FALSE)</f>
        <v>0.32300000000000001</v>
      </c>
      <c r="X4">
        <f>VLOOKUP(Table3[[#This Row],[ABBR]],Table1[#All],21,FALSE)</f>
        <v>0.38</v>
      </c>
      <c r="Y4">
        <f>VLOOKUP(Table3[[#This Row],[ABBR]],Table2[#All],13,FALSE) / Table3[[#This Row],[Games]]</f>
        <v>8.4444444444444446</v>
      </c>
      <c r="Z4">
        <f>VLOOKUP(Table3[[#This Row],[ABBR]],Table2[#All],21,FALSE) / Table3[[#This Row],[Games]]</f>
        <v>0.29166666666666669</v>
      </c>
      <c r="AA4">
        <f>VLOOKUP(Table3[[#This Row],[ABBR]],Table2[#All],25,FALSE)</f>
        <v>1.38</v>
      </c>
      <c r="AB4">
        <f>C4+D4</f>
        <v>72</v>
      </c>
    </row>
    <row r="5" spans="1:29" x14ac:dyDescent="0.25">
      <c r="A5" t="s">
        <v>143</v>
      </c>
      <c r="B5" t="s">
        <v>34</v>
      </c>
      <c r="C5" s="2">
        <f>VLOOKUP(VLOOKUP(Table3[[#This Row],[ABBR]],CHOOSE({2,1},StandingsRAW!$J:$J,StandingsRAW!$L:$L),2,FALSE),StandingsRAW!$A:$C,2,FALSE)</f>
        <v>57</v>
      </c>
      <c r="D5" s="2">
        <f>VLOOKUP(VLOOKUP(Table3[[#This Row],[ABBR]],CHOOSE({2,1},StandingsRAW!$J:$J,StandingsRAW!$L:$L),2,FALSE),StandingsRAW!$A:$C,3,FALSE)</f>
        <v>15</v>
      </c>
      <c r="E5" s="2">
        <f>VLOOKUP(VLOOKUP(Table3[[#This Row],[ABBR]],CHOOSE({2,1},StandingsRAW!$J:$J,StandingsRAW!$L:$L),2,FALSE),StandingsRAW!$A:$D,4,FALSE)</f>
        <v>0.79200000000000004</v>
      </c>
      <c r="F5" s="3">
        <f>Table3[[#This Row],[pyth%]]*Table3[[#This Row],[Games]]</f>
        <v>51.204451986081693</v>
      </c>
      <c r="G5" s="3">
        <f>(1-Table3[[#This Row],[pyth%]])*Table3[[#This Row],[Games]]</f>
        <v>20.795548013918307</v>
      </c>
      <c r="H5">
        <f>((Table3[[#This Row],[R]]^1.81)/(Table3[[#This Row],[R]]^1.81 + Table3[[#This Row],[RA]]^1.81))</f>
        <v>0.71117294425113464</v>
      </c>
      <c r="I5" s="3">
        <f>Table3[[#This Row],[xpyth%]]*Table3[[#This Row],[Games]]</f>
        <v>45.092198490082261</v>
      </c>
      <c r="J5" s="3">
        <f>(1-Table3[[#This Row],[xpyth%]])*Table3[[#This Row],[Games]]</f>
        <v>26.907801509917739</v>
      </c>
      <c r="K5">
        <f>((Table3[[#This Row],[xR]]^1.81)/(Table3[[#This Row],[xR]]^1.81 + Table3[[#This Row],[xRA]]^1.81)) + $L$28</f>
        <v>0.62628053458447586</v>
      </c>
      <c r="L5" s="4">
        <f>VLOOKUP(Table3[[#This Row],[ABBR]],[1]Raw!$L$2:$T$23,9,FALSE)</f>
        <v>-0.43485369944322838</v>
      </c>
      <c r="M5" s="4">
        <f>Table3[[#This Row],[Diff/g]]+Table3[[#This Row],[SOS]]</f>
        <v>2.3429240783345495</v>
      </c>
      <c r="N5" s="3">
        <f>Table3[[#This Row],[W]]-Table3[[#This Row],[pythW]]</f>
        <v>5.7955480139183067</v>
      </c>
      <c r="O5" s="3">
        <f>Table3[[#This Row],[W]]-Table3[[#This Row],[xpythW]]</f>
        <v>11.907801509917739</v>
      </c>
      <c r="P5">
        <f>VLOOKUP(Table3[[#This Row],[ABBR]],Table1[#All],5,FALSE)</f>
        <v>510</v>
      </c>
      <c r="Q5">
        <f>VLOOKUP(Table3[[#This Row],[ABBR]],Table2[#All],10,FALSE)</f>
        <v>310</v>
      </c>
      <c r="R5">
        <f>P5-Q5</f>
        <v>200</v>
      </c>
      <c r="S5" s="4">
        <f>Table3[[#This Row],[Diff]]/Table3[[#This Row],[Games]]</f>
        <v>2.7777777777777777</v>
      </c>
      <c r="T5">
        <f>(-5.41729 + 0.5069*Table3[[#This Row],[H]] + 8.44144*Table3[[#This Row],[SECA]] + 11.79712*Table3[[#This Row],[OBP]]) *Table3[[#This Row],[Games]]</f>
        <v>480.25533872</v>
      </c>
      <c r="U5">
        <f>(-6.91097 + 0.22576*Table3[[#This Row],[K]] + 1.24772*Table3[[#This Row],[HRA]] + 6.5357*Table3[[#This Row],[WHIP]]) * Table3[[#This Row],[Games]]</f>
        <v>361.07047999999998</v>
      </c>
      <c r="V5">
        <f>VLOOKUP(Table3[[#This Row],[ABBR]],Table1[#All],6,FALSE) /Table3[[#This Row],[Games]]</f>
        <v>9.2638888888888893</v>
      </c>
      <c r="W5">
        <f>VLOOKUP(Table3[[#This Row],[ABBR]],Table1[#All],28,FALSE)</f>
        <v>0.33200000000000002</v>
      </c>
      <c r="X5">
        <f>VLOOKUP(Table3[[#This Row],[ABBR]],Table1[#All],21,FALSE)</f>
        <v>0.38900000000000001</v>
      </c>
      <c r="Y5">
        <f>VLOOKUP(Table3[[#This Row],[ABBR]],Table2[#All],13,FALSE) / Table3[[#This Row],[Games]]</f>
        <v>8.6111111111111107</v>
      </c>
      <c r="Z5">
        <f>VLOOKUP(Table3[[#This Row],[ABBR]],Table2[#All],21,FALSE) / Table3[[#This Row],[Games]]</f>
        <v>0.66666666666666663</v>
      </c>
      <c r="AA5">
        <f>VLOOKUP(Table3[[#This Row],[ABBR]],Table2[#All],25,FALSE)</f>
        <v>1.4</v>
      </c>
      <c r="AB5">
        <f>C5+D5</f>
        <v>72</v>
      </c>
    </row>
    <row r="6" spans="1:29" x14ac:dyDescent="0.25">
      <c r="A6" t="s">
        <v>127</v>
      </c>
      <c r="B6" t="s">
        <v>32</v>
      </c>
      <c r="C6" s="2">
        <f>VLOOKUP(VLOOKUP(Table3[[#This Row],[ABBR]],CHOOSE({2,1},StandingsRAW!$J:$J,StandingsRAW!$L:$L),2,FALSE),StandingsRAW!$A:$C,2,FALSE)</f>
        <v>40</v>
      </c>
      <c r="D6" s="2">
        <f>VLOOKUP(VLOOKUP(Table3[[#This Row],[ABBR]],CHOOSE({2,1},StandingsRAW!$J:$J,StandingsRAW!$L:$L),2,FALSE),StandingsRAW!$A:$C,3,FALSE)</f>
        <v>28</v>
      </c>
      <c r="E6" s="2">
        <f>VLOOKUP(VLOOKUP(Table3[[#This Row],[ABBR]],CHOOSE({2,1},StandingsRAW!$J:$J,StandingsRAW!$L:$L),2,FALSE),StandingsRAW!$A:$D,4,FALSE)</f>
        <v>0.58799999999999997</v>
      </c>
      <c r="F6" s="3">
        <f>Table3[[#This Row],[pyth%]]*Table3[[#This Row],[Games]]</f>
        <v>37.825375552366758</v>
      </c>
      <c r="G6" s="3">
        <f>(1-Table3[[#This Row],[pyth%]])*Table3[[#This Row],[Games]]</f>
        <v>30.174624447633246</v>
      </c>
      <c r="H6">
        <f>((Table3[[#This Row],[R]]^1.81)/(Table3[[#This Row],[R]]^1.81 + Table3[[#This Row],[RA]]^1.81))</f>
        <v>0.55625552282892288</v>
      </c>
      <c r="I6" s="3">
        <f>Table3[[#This Row],[xpyth%]]*Table3[[#This Row],[Games]]</f>
        <v>40.932535820954804</v>
      </c>
      <c r="J6" s="3">
        <f>(1-Table3[[#This Row],[xpyth%]])*Table3[[#This Row],[Games]]</f>
        <v>27.067464179045192</v>
      </c>
      <c r="K6">
        <f>((Table3[[#This Row],[xR]]^1.81)/(Table3[[#This Row],[xR]]^1.81 + Table3[[#This Row],[xRA]]^1.81)) + $L$28</f>
        <v>0.60194905619051187</v>
      </c>
      <c r="L6" s="4">
        <f>VLOOKUP(Table3[[#This Row],[ABBR]],[1]Raw!$L$2:$T$23,9,FALSE)</f>
        <v>-8.1339701132234737E-2</v>
      </c>
      <c r="M6" s="4">
        <f>Table3[[#This Row],[Diff/g]]+Table3[[#This Row],[SOS]]</f>
        <v>0.65395441651482411</v>
      </c>
      <c r="N6" s="3">
        <f>Table3[[#This Row],[W]]-Table3[[#This Row],[pythW]]</f>
        <v>2.1746244476332421</v>
      </c>
      <c r="O6" s="3">
        <f>Table3[[#This Row],[W]]-Table3[[#This Row],[xpythW]]</f>
        <v>-0.93253582095480425</v>
      </c>
      <c r="P6">
        <f>VLOOKUP(Table3[[#This Row],[ABBR]],Table1[#All],5,FALSE)</f>
        <v>426</v>
      </c>
      <c r="Q6">
        <f>VLOOKUP(Table3[[#This Row],[ABBR]],Table2[#All],10,FALSE)</f>
        <v>376</v>
      </c>
      <c r="R6">
        <f>P6-Q6</f>
        <v>50</v>
      </c>
      <c r="S6" s="4">
        <f>Table3[[#This Row],[Diff]]/Table3[[#This Row],[Games]]</f>
        <v>0.73529411764705888</v>
      </c>
      <c r="T6">
        <f>(-5.41729 + 0.5069*Table3[[#This Row],[H]] + 8.44144*Table3[[#This Row],[SECA]] + 11.79712*Table3[[#This Row],[OBP]]) *Table3[[#This Row],[Games]]</f>
        <v>450.44039135999998</v>
      </c>
      <c r="U6">
        <f>(-6.91097 + 0.22576*Table3[[#This Row],[K]] + 1.24772*Table3[[#This Row],[HRA]] + 6.5357*Table3[[#This Row],[WHIP]]) * Table3[[#This Row],[Games]]</f>
        <v>358.42571600000002</v>
      </c>
      <c r="V6">
        <f>VLOOKUP(Table3[[#This Row],[ABBR]],Table1[#All],6,FALSE) /Table3[[#This Row],[Games]]</f>
        <v>9.3529411764705888</v>
      </c>
      <c r="W6">
        <f>VLOOKUP(Table3[[#This Row],[ABBR]],Table1[#All],28,FALSE)</f>
        <v>0.317</v>
      </c>
      <c r="X6">
        <f>VLOOKUP(Table3[[#This Row],[ABBR]],Table1[#All],21,FALSE)</f>
        <v>0.39200000000000002</v>
      </c>
      <c r="Y6">
        <f>VLOOKUP(Table3[[#This Row],[ABBR]],Table2[#All],13,FALSE) / Table3[[#This Row],[Games]]</f>
        <v>8.132352941176471</v>
      </c>
      <c r="Z6">
        <f>VLOOKUP(Table3[[#This Row],[ABBR]],Table2[#All],21,FALSE) / Table3[[#This Row],[Games]]</f>
        <v>0.38235294117647056</v>
      </c>
      <c r="AA6">
        <f>VLOOKUP(Table3[[#This Row],[ABBR]],Table2[#All],25,FALSE)</f>
        <v>1.51</v>
      </c>
      <c r="AB6">
        <f>C6+D6</f>
        <v>68</v>
      </c>
    </row>
    <row r="7" spans="1:29" x14ac:dyDescent="0.25">
      <c r="A7" t="s">
        <v>133</v>
      </c>
      <c r="B7" t="s">
        <v>39</v>
      </c>
      <c r="C7" s="2">
        <f>VLOOKUP(VLOOKUP(Table3[[#This Row],[ABBR]],CHOOSE({2,1},StandingsRAW!$J:$J,StandingsRAW!$L:$L),2,FALSE),StandingsRAW!$A:$C,2,FALSE)</f>
        <v>37</v>
      </c>
      <c r="D7" s="2">
        <f>VLOOKUP(VLOOKUP(Table3[[#This Row],[ABBR]],CHOOSE({2,1},StandingsRAW!$J:$J,StandingsRAW!$L:$L),2,FALSE),StandingsRAW!$A:$C,3,FALSE)</f>
        <v>35</v>
      </c>
      <c r="E7" s="2">
        <f>VLOOKUP(VLOOKUP(Table3[[#This Row],[ABBR]],CHOOSE({2,1},StandingsRAW!$J:$J,StandingsRAW!$L:$L),2,FALSE),StandingsRAW!$A:$D,4,FALSE)</f>
        <v>0.51400000000000001</v>
      </c>
      <c r="F7" s="3">
        <f>Table3[[#This Row],[pyth%]]*Table3[[#This Row],[Games]]</f>
        <v>40.680565633874117</v>
      </c>
      <c r="G7" s="3">
        <f>(1-Table3[[#This Row],[pyth%]])*Table3[[#This Row],[Games]]</f>
        <v>31.319434366125883</v>
      </c>
      <c r="H7">
        <f>((Table3[[#This Row],[R]]^1.81)/(Table3[[#This Row],[R]]^1.81 + Table3[[#This Row],[RA]]^1.81))</f>
        <v>0.56500785602602943</v>
      </c>
      <c r="I7" s="3">
        <f>Table3[[#This Row],[xpyth%]]*Table3[[#This Row],[Games]]</f>
        <v>40.159278857813099</v>
      </c>
      <c r="J7" s="3">
        <f>(1-Table3[[#This Row],[xpyth%]])*Table3[[#This Row],[Games]]</f>
        <v>31.840721142186901</v>
      </c>
      <c r="K7">
        <f>((Table3[[#This Row],[xR]]^1.81)/(Table3[[#This Row],[xR]]^1.81 + Table3[[#This Row],[xRA]]^1.81)) + $L$28</f>
        <v>0.55776776191407085</v>
      </c>
      <c r="L7" s="4">
        <f>VLOOKUP(Table3[[#This Row],[ABBR]],[1]Raw!$L$2:$T$23,9,FALSE)</f>
        <v>-0.29937726056303382</v>
      </c>
      <c r="M7" s="4">
        <f>Table3[[#This Row],[Diff/g]]+Table3[[#This Row],[SOS]]</f>
        <v>0.53395607277029955</v>
      </c>
      <c r="N7" s="3">
        <f>Table3[[#This Row],[W]]-Table3[[#This Row],[pythW]]</f>
        <v>-3.6805656338741173</v>
      </c>
      <c r="O7" s="3">
        <f>Table3[[#This Row],[W]]-Table3[[#This Row],[xpythW]]</f>
        <v>-3.1592788578130993</v>
      </c>
      <c r="P7">
        <f>VLOOKUP(Table3[[#This Row],[ABBR]],Table1[#All],5,FALSE)</f>
        <v>446</v>
      </c>
      <c r="Q7">
        <f>VLOOKUP(Table3[[#This Row],[ABBR]],Table2[#All],10,FALSE)</f>
        <v>386</v>
      </c>
      <c r="R7">
        <f>P7-Q7</f>
        <v>60</v>
      </c>
      <c r="S7" s="4">
        <f>Table3[[#This Row],[Diff]]/Table3[[#This Row],[Games]]</f>
        <v>0.83333333333333337</v>
      </c>
      <c r="T7">
        <f>(-5.41729 + 0.5069*Table3[[#This Row],[H]] + 8.44144*Table3[[#This Row],[SECA]] + 11.79712*Table3[[#This Row],[OBP]]) *Table3[[#This Row],[Games]]</f>
        <v>429.60271823999994</v>
      </c>
      <c r="U7">
        <f>(-6.91097 + 0.22576*Table3[[#This Row],[K]] + 1.24772*Table3[[#This Row],[HRA]] + 6.5357*Table3[[#This Row],[WHIP]]) * Table3[[#This Row],[Games]]</f>
        <v>377.89813600000002</v>
      </c>
      <c r="V7">
        <f>VLOOKUP(Table3[[#This Row],[ABBR]],Table1[#All],6,FALSE) /Table3[[#This Row],[Games]]</f>
        <v>8.625</v>
      </c>
      <c r="W7">
        <f>VLOOKUP(Table3[[#This Row],[ABBR]],Table1[#All],28,FALSE)</f>
        <v>0.30099999999999999</v>
      </c>
      <c r="X7">
        <f>VLOOKUP(Table3[[#This Row],[ABBR]],Table1[#All],21,FALSE)</f>
        <v>0.379</v>
      </c>
      <c r="Y7">
        <f>VLOOKUP(Table3[[#This Row],[ABBR]],Table2[#All],13,FALSE) / Table3[[#This Row],[Games]]</f>
        <v>7.8194444444444446</v>
      </c>
      <c r="Z7">
        <f>VLOOKUP(Table3[[#This Row],[ABBR]],Table2[#All],21,FALSE) / Table3[[#This Row],[Games]]</f>
        <v>0.2638888888888889</v>
      </c>
      <c r="AA7">
        <f>VLOOKUP(Table3[[#This Row],[ABBR]],Table2[#All],25,FALSE)</f>
        <v>1.54</v>
      </c>
      <c r="AB7">
        <f>C7+D7</f>
        <v>72</v>
      </c>
    </row>
    <row r="8" spans="1:29" x14ac:dyDescent="0.25">
      <c r="A8" t="s">
        <v>104</v>
      </c>
      <c r="B8" t="s">
        <v>48</v>
      </c>
      <c r="C8" s="2">
        <f>VLOOKUP(VLOOKUP(Table3[[#This Row],[ABBR]],CHOOSE({2,1},StandingsRAW!$J:$J,StandingsRAW!$L:$L),2,FALSE),StandingsRAW!$A:$C,2,FALSE)</f>
        <v>42</v>
      </c>
      <c r="D8" s="2">
        <f>VLOOKUP(VLOOKUP(Table3[[#This Row],[ABBR]],CHOOSE({2,1},StandingsRAW!$J:$J,StandingsRAW!$L:$L),2,FALSE),StandingsRAW!$A:$C,3,FALSE)</f>
        <v>26</v>
      </c>
      <c r="E8" s="2">
        <f>VLOOKUP(VLOOKUP(Table3[[#This Row],[ABBR]],CHOOSE({2,1},StandingsRAW!$J:$J,StandingsRAW!$L:$L),2,FALSE),StandingsRAW!$A:$D,4,FALSE)</f>
        <v>0.61799999999999999</v>
      </c>
      <c r="F8" s="3">
        <f>Table3[[#This Row],[pyth%]]*Table3[[#This Row],[Games]]</f>
        <v>40.35462011314587</v>
      </c>
      <c r="G8" s="3">
        <f>(1-Table3[[#This Row],[pyth%]])*Table3[[#This Row],[Games]]</f>
        <v>27.645379886854126</v>
      </c>
      <c r="H8">
        <f>((Table3[[#This Row],[R]]^1.81)/(Table3[[#This Row],[R]]^1.81 + Table3[[#This Row],[RA]]^1.81))</f>
        <v>0.59345029578155695</v>
      </c>
      <c r="I8" s="3">
        <f>Table3[[#This Row],[xpyth%]]*Table3[[#This Row],[Games]]</f>
        <v>36.15676687697183</v>
      </c>
      <c r="J8" s="3">
        <f>(1-Table3[[#This Row],[xpyth%]])*Table3[[#This Row],[Games]]</f>
        <v>31.84323312302817</v>
      </c>
      <c r="K8">
        <f>((Table3[[#This Row],[xR]]^1.81)/(Table3[[#This Row],[xR]]^1.81 + Table3[[#This Row],[xRA]]^1.81)) + $L$28</f>
        <v>0.53171715995546809</v>
      </c>
      <c r="L8" s="4">
        <f>VLOOKUP(Table3[[#This Row],[ABBR]],[1]Raw!$L$2:$T$23,9,FALSE)</f>
        <v>-0.12632240009417242</v>
      </c>
      <c r="M8" s="4">
        <f>Table3[[#This Row],[Diff/g]]+Table3[[#This Row],[SOS]]</f>
        <v>0.99132465872935704</v>
      </c>
      <c r="N8" s="3">
        <f>Table3[[#This Row],[W]]-Table3[[#This Row],[pythW]]</f>
        <v>1.6453798868541298</v>
      </c>
      <c r="O8" s="3">
        <f>Table3[[#This Row],[W]]-Table3[[#This Row],[xpythW]]</f>
        <v>5.8432331230281704</v>
      </c>
      <c r="P8">
        <f>VLOOKUP(Table3[[#This Row],[ABBR]],Table1[#All],5,FALSE)</f>
        <v>403</v>
      </c>
      <c r="Q8">
        <f>VLOOKUP(Table3[[#This Row],[ABBR]],Table2[#All],10,FALSE)</f>
        <v>327</v>
      </c>
      <c r="R8">
        <f>P8-Q8</f>
        <v>76</v>
      </c>
      <c r="S8" s="4">
        <f>Table3[[#This Row],[Diff]]/Table3[[#This Row],[Games]]</f>
        <v>1.1176470588235294</v>
      </c>
      <c r="T8">
        <f>(-5.41729 + 0.5069*Table3[[#This Row],[H]] + 8.44144*Table3[[#This Row],[SECA]] + 11.79712*Table3[[#This Row],[OBP]]) *Table3[[#This Row],[Games]]</f>
        <v>407.82508255999994</v>
      </c>
      <c r="U8">
        <f>(-6.91097 + 0.22576*Table3[[#This Row],[K]] + 1.24772*Table3[[#This Row],[HRA]] + 6.5357*Table3[[#This Row],[WHIP]]) * Table3[[#This Row],[Games]]</f>
        <v>380.18232799999998</v>
      </c>
      <c r="V8">
        <f>VLOOKUP(Table3[[#This Row],[ABBR]],Table1[#All],6,FALSE) /Table3[[#This Row],[Games]]</f>
        <v>8.7058823529411757</v>
      </c>
      <c r="W8">
        <f>VLOOKUP(Table3[[#This Row],[ABBR]],Table1[#All],28,FALSE)</f>
        <v>0.28999999999999998</v>
      </c>
      <c r="X8">
        <f>VLOOKUP(Table3[[#This Row],[ABBR]],Table1[#All],21,FALSE)</f>
        <v>0.38600000000000001</v>
      </c>
      <c r="Y8">
        <f>VLOOKUP(Table3[[#This Row],[ABBR]],Table2[#All],13,FALSE) / Table3[[#This Row],[Games]]</f>
        <v>9.117647058823529</v>
      </c>
      <c r="Z8">
        <f>VLOOKUP(Table3[[#This Row],[ABBR]],Table2[#All],21,FALSE) / Table3[[#This Row],[Games]]</f>
        <v>0.61764705882352944</v>
      </c>
      <c r="AA8">
        <f>VLOOKUP(Table3[[#This Row],[ABBR]],Table2[#All],25,FALSE)</f>
        <v>1.48</v>
      </c>
      <c r="AB8">
        <f>C8+D8</f>
        <v>68</v>
      </c>
    </row>
    <row r="9" spans="1:29" x14ac:dyDescent="0.25">
      <c r="A9" t="s">
        <v>114</v>
      </c>
      <c r="B9" t="s">
        <v>36</v>
      </c>
      <c r="C9" s="2">
        <f>VLOOKUP(VLOOKUP(Table3[[#This Row],[ABBR]],CHOOSE({2,1},StandingsRAW!$J:$J,StandingsRAW!$L:$L),2,FALSE),StandingsRAW!$A:$C,2,FALSE)</f>
        <v>36</v>
      </c>
      <c r="D9" s="2">
        <f>VLOOKUP(VLOOKUP(Table3[[#This Row],[ABBR]],CHOOSE({2,1},StandingsRAW!$J:$J,StandingsRAW!$L:$L),2,FALSE),StandingsRAW!$A:$C,3,FALSE)</f>
        <v>35</v>
      </c>
      <c r="E9" s="2">
        <f>VLOOKUP(VLOOKUP(Table3[[#This Row],[ABBR]],CHOOSE({2,1},StandingsRAW!$J:$J,StandingsRAW!$L:$L),2,FALSE),StandingsRAW!$A:$D,4,FALSE)</f>
        <v>0.50700000000000001</v>
      </c>
      <c r="F9" s="3">
        <f>Table3[[#This Row],[pyth%]]*Table3[[#This Row],[Games]]</f>
        <v>37.953707637707325</v>
      </c>
      <c r="G9" s="3">
        <f>(1-Table3[[#This Row],[pyth%]])*Table3[[#This Row],[Games]]</f>
        <v>33.046292362292675</v>
      </c>
      <c r="H9">
        <f>((Table3[[#This Row],[R]]^1.81)/(Table3[[#This Row],[R]]^1.81 + Table3[[#This Row],[RA]]^1.81))</f>
        <v>0.53455926250292007</v>
      </c>
      <c r="I9" s="3">
        <f>Table3[[#This Row],[xpyth%]]*Table3[[#This Row],[Games]]</f>
        <v>37.197223313842471</v>
      </c>
      <c r="J9" s="3">
        <f>(1-Table3[[#This Row],[xpyth%]])*Table3[[#This Row],[Games]]</f>
        <v>33.802776686157529</v>
      </c>
      <c r="K9">
        <f>((Table3[[#This Row],[xR]]^1.81)/(Table3[[#This Row],[xR]]^1.81 + Table3[[#This Row],[xRA]]^1.81)) + $L$28</f>
        <v>0.52390455371609113</v>
      </c>
      <c r="L9" s="4">
        <f>VLOOKUP(Table3[[#This Row],[ABBR]],[1]Raw!$L$2:$T$23,9,FALSE)</f>
        <v>-0.27120120544953241</v>
      </c>
      <c r="M9" s="4">
        <f>Table3[[#This Row],[Diff/g]]+Table3[[#This Row],[SOS]]</f>
        <v>0.26401006215610134</v>
      </c>
      <c r="N9" s="3">
        <f>Table3[[#This Row],[W]]-Table3[[#This Row],[pythW]]</f>
        <v>-1.9537076377073248</v>
      </c>
      <c r="O9" s="3">
        <f>Table3[[#This Row],[W]]-Table3[[#This Row],[xpythW]]</f>
        <v>-1.1972233138424713</v>
      </c>
      <c r="P9">
        <f>VLOOKUP(Table3[[#This Row],[ABBR]],Table1[#All],5,FALSE)</f>
        <v>516</v>
      </c>
      <c r="Q9">
        <f>VLOOKUP(Table3[[#This Row],[ABBR]],Table2[#All],10,FALSE)</f>
        <v>478</v>
      </c>
      <c r="R9">
        <f>P9-Q9</f>
        <v>38</v>
      </c>
      <c r="S9" s="4">
        <f>Table3[[#This Row],[Diff]]/Table3[[#This Row],[Games]]</f>
        <v>0.53521126760563376</v>
      </c>
      <c r="T9">
        <f>(-5.41729 + 0.5069*Table3[[#This Row],[H]] + 8.44144*Table3[[#This Row],[SECA]] + 11.79712*Table3[[#This Row],[OBP]]) *Table3[[#This Row],[Games]]</f>
        <v>477.58737687999997</v>
      </c>
      <c r="U9">
        <f>(-6.91097 + 0.22576*Table3[[#This Row],[K]] + 1.24772*Table3[[#This Row],[HRA]] + 6.5357*Table3[[#This Row],[WHIP]]) * Table3[[#This Row],[Games]]</f>
        <v>452.99409200000002</v>
      </c>
      <c r="V9">
        <f>VLOOKUP(Table3[[#This Row],[ABBR]],Table1[#All],6,FALSE) /Table3[[#This Row],[Games]]</f>
        <v>9.112676056338028</v>
      </c>
      <c r="W9">
        <f>VLOOKUP(Table3[[#This Row],[ABBR]],Table1[#All],28,FALSE)</f>
        <v>0.32400000000000001</v>
      </c>
      <c r="X9">
        <f>VLOOKUP(Table3[[#This Row],[ABBR]],Table1[#All],21,FALSE)</f>
        <v>0.40600000000000003</v>
      </c>
      <c r="Y9">
        <f>VLOOKUP(Table3[[#This Row],[ABBR]],Table2[#All],13,FALSE) / Table3[[#This Row],[Games]]</f>
        <v>8.0140845070422539</v>
      </c>
      <c r="Z9">
        <f>VLOOKUP(Table3[[#This Row],[ABBR]],Table2[#All],21,FALSE) / Table3[[#This Row],[Games]]</f>
        <v>0.50704225352112675</v>
      </c>
      <c r="AA9">
        <f>VLOOKUP(Table3[[#This Row],[ABBR]],Table2[#All],25,FALSE)</f>
        <v>1.66</v>
      </c>
      <c r="AB9">
        <f>C9+D9</f>
        <v>71</v>
      </c>
    </row>
    <row r="10" spans="1:29" x14ac:dyDescent="0.25">
      <c r="A10" t="s">
        <v>150</v>
      </c>
      <c r="B10" t="s">
        <v>50</v>
      </c>
      <c r="C10" s="2">
        <f>VLOOKUP(VLOOKUP(Table3[[#This Row],[ABBR]],CHOOSE({2,1},StandingsRAW!$J:$J,StandingsRAW!$L:$L),2,FALSE),StandingsRAW!$A:$C,2,FALSE)</f>
        <v>38</v>
      </c>
      <c r="D10" s="2">
        <f>VLOOKUP(VLOOKUP(Table3[[#This Row],[ABBR]],CHOOSE({2,1},StandingsRAW!$J:$J,StandingsRAW!$L:$L),2,FALSE),StandingsRAW!$A:$C,3,FALSE)</f>
        <v>33</v>
      </c>
      <c r="E10" s="2">
        <f>VLOOKUP(VLOOKUP(Table3[[#This Row],[ABBR]],CHOOSE({2,1},StandingsRAW!$J:$J,StandingsRAW!$L:$L),2,FALSE),StandingsRAW!$A:$D,4,FALSE)</f>
        <v>0.53500000000000003</v>
      </c>
      <c r="F10" s="3">
        <f>Table3[[#This Row],[pyth%]]*Table3[[#This Row],[Games]]</f>
        <v>36.505005931866812</v>
      </c>
      <c r="G10" s="3">
        <f>(1-Table3[[#This Row],[pyth%]])*Table3[[#This Row],[Games]]</f>
        <v>34.494994068133188</v>
      </c>
      <c r="H10">
        <f>((Table3[[#This Row],[R]]^1.81)/(Table3[[#This Row],[R]]^1.81 + Table3[[#This Row],[RA]]^1.81))</f>
        <v>0.51415501312488465</v>
      </c>
      <c r="I10" s="3">
        <f>Table3[[#This Row],[xpyth%]]*Table3[[#This Row],[Games]]</f>
        <v>36.87141645879138</v>
      </c>
      <c r="J10" s="3">
        <f>(1-Table3[[#This Row],[xpyth%]])*Table3[[#This Row],[Games]]</f>
        <v>34.12858354120862</v>
      </c>
      <c r="K10">
        <f>((Table3[[#This Row],[xR]]^1.81)/(Table3[[#This Row],[xR]]^1.81 + Table3[[#This Row],[xRA]]^1.81)) + $L$28</f>
        <v>0.51931572477170962</v>
      </c>
      <c r="L10" s="4">
        <f>VLOOKUP(Table3[[#This Row],[ABBR]],[1]Raw!$L$2:$T$23,9,FALSE)</f>
        <v>0.23670900826590735</v>
      </c>
      <c r="M10" s="4">
        <f>Table3[[#This Row],[Diff/g]]+Table3[[#This Row],[SOS]]</f>
        <v>0.4198075998152031</v>
      </c>
      <c r="N10" s="3">
        <f>Table3[[#This Row],[W]]-Table3[[#This Row],[pythW]]</f>
        <v>1.4949940681331881</v>
      </c>
      <c r="O10" s="3">
        <f>Table3[[#This Row],[W]]-Table3[[#This Row],[xpythW]]</f>
        <v>1.12858354120862</v>
      </c>
      <c r="P10">
        <f>VLOOKUP(Table3[[#This Row],[ABBR]],Table1[#All],5,FALSE)</f>
        <v>422</v>
      </c>
      <c r="Q10">
        <f>VLOOKUP(Table3[[#This Row],[ABBR]],Table2[#All],10,FALSE)</f>
        <v>409</v>
      </c>
      <c r="R10">
        <f>P10-Q10</f>
        <v>13</v>
      </c>
      <c r="S10" s="4">
        <f>Table3[[#This Row],[Diff]]/Table3[[#This Row],[Games]]</f>
        <v>0.18309859154929578</v>
      </c>
      <c r="T10">
        <f>(-5.41729 + 0.5069*Table3[[#This Row],[H]] + 8.44144*Table3[[#This Row],[SECA]] + 11.79712*Table3[[#This Row],[OBP]]) *Table3[[#This Row],[Games]]</f>
        <v>400.35864039999996</v>
      </c>
      <c r="U10">
        <f>(-6.91097 + 0.22576*Table3[[#This Row],[K]] + 1.24772*Table3[[#This Row],[HRA]] + 6.5357*Table3[[#This Row],[WHIP]]) * Table3[[#This Row],[Games]]</f>
        <v>383.62012599999997</v>
      </c>
      <c r="V10">
        <f>VLOOKUP(Table3[[#This Row],[ABBR]],Table1[#All],6,FALSE) /Table3[[#This Row],[Games]]</f>
        <v>7.957746478873239</v>
      </c>
      <c r="W10">
        <f>VLOOKUP(Table3[[#This Row],[ABBR]],Table1[#All],28,FALSE)</f>
        <v>0.31900000000000001</v>
      </c>
      <c r="X10">
        <f>VLOOKUP(Table3[[#This Row],[ABBR]],Table1[#All],21,FALSE)</f>
        <v>0.36699999999999999</v>
      </c>
      <c r="Y10">
        <f>VLOOKUP(Table3[[#This Row],[ABBR]],Table2[#All],13,FALSE) / Table3[[#This Row],[Games]]</f>
        <v>8.352112676056338</v>
      </c>
      <c r="Z10">
        <f>VLOOKUP(Table3[[#This Row],[ABBR]],Table2[#All],21,FALSE) / Table3[[#This Row],[Games]]</f>
        <v>0.60563380281690138</v>
      </c>
      <c r="AA10">
        <f>VLOOKUP(Table3[[#This Row],[ABBR]],Table2[#All],25,FALSE)</f>
        <v>1.48</v>
      </c>
      <c r="AB10">
        <f>C10+D10</f>
        <v>71</v>
      </c>
    </row>
    <row r="11" spans="1:29" x14ac:dyDescent="0.25">
      <c r="A11" t="s">
        <v>108</v>
      </c>
      <c r="B11" t="s">
        <v>38</v>
      </c>
      <c r="C11" s="2">
        <f>VLOOKUP(VLOOKUP(Table3[[#This Row],[ABBR]],CHOOSE({2,1},StandingsRAW!$J:$J,StandingsRAW!$L:$L),2,FALSE),StandingsRAW!$A:$C,2,FALSE)</f>
        <v>36</v>
      </c>
      <c r="D11" s="2">
        <f>VLOOKUP(VLOOKUP(Table3[[#This Row],[ABBR]],CHOOSE({2,1},StandingsRAW!$J:$J,StandingsRAW!$L:$L),2,FALSE),StandingsRAW!$A:$C,3,FALSE)</f>
        <v>35</v>
      </c>
      <c r="E11" s="2">
        <f>VLOOKUP(VLOOKUP(Table3[[#This Row],[ABBR]],CHOOSE({2,1},StandingsRAW!$J:$J,StandingsRAW!$L:$L),2,FALSE),StandingsRAW!$A:$D,4,FALSE)</f>
        <v>0.50700000000000001</v>
      </c>
      <c r="F11" s="3">
        <f>Table3[[#This Row],[pyth%]]*Table3[[#This Row],[Games]]</f>
        <v>39.018149232259461</v>
      </c>
      <c r="G11" s="3">
        <f>(1-Table3[[#This Row],[pyth%]])*Table3[[#This Row],[Games]]</f>
        <v>31.981850767740539</v>
      </c>
      <c r="H11">
        <f>((Table3[[#This Row],[R]]^1.81)/(Table3[[#This Row],[R]]^1.81 + Table3[[#This Row],[RA]]^1.81))</f>
        <v>0.5495513976374572</v>
      </c>
      <c r="I11" s="3">
        <f>Table3[[#This Row],[xpyth%]]*Table3[[#This Row],[Games]]</f>
        <v>35.82020579616124</v>
      </c>
      <c r="J11" s="3">
        <f>(1-Table3[[#This Row],[xpyth%]])*Table3[[#This Row],[Games]]</f>
        <v>35.17979420383876</v>
      </c>
      <c r="K11">
        <f>((Table3[[#This Row],[xR]]^1.81)/(Table3[[#This Row],[xR]]^1.81 + Table3[[#This Row],[xRA]]^1.81)) + $L$28</f>
        <v>0.50450994079100342</v>
      </c>
      <c r="L11" s="4">
        <f>VLOOKUP(Table3[[#This Row],[ABBR]],[1]Raw!$L$2:$T$23,9,FALSE)</f>
        <v>-0.1512651591171075</v>
      </c>
      <c r="M11" s="4">
        <f>Table3[[#This Row],[Diff/g]]+Table3[[#This Row],[SOS]]</f>
        <v>0.60929822116458265</v>
      </c>
      <c r="N11" s="3">
        <f>Table3[[#This Row],[W]]-Table3[[#This Row],[pythW]]</f>
        <v>-3.0181492322594607</v>
      </c>
      <c r="O11" s="3">
        <f>Table3[[#This Row],[W]]-Table3[[#This Row],[xpythW]]</f>
        <v>0.17979420383876032</v>
      </c>
      <c r="P11">
        <f>VLOOKUP(Table3[[#This Row],[ABBR]],Table1[#All],5,FALSE)</f>
        <v>519</v>
      </c>
      <c r="Q11">
        <f>VLOOKUP(Table3[[#This Row],[ABBR]],Table2[#All],10,FALSE)</f>
        <v>465</v>
      </c>
      <c r="R11">
        <f>P11-Q11</f>
        <v>54</v>
      </c>
      <c r="S11" s="4">
        <f>Table3[[#This Row],[Diff]]/Table3[[#This Row],[Games]]</f>
        <v>0.76056338028169013</v>
      </c>
      <c r="T11">
        <f>(-5.41729 + 0.5069*Table3[[#This Row],[H]] + 8.44144*Table3[[#This Row],[SECA]] + 11.79712*Table3[[#This Row],[OBP]]) *Table3[[#This Row],[Games]]</f>
        <v>480.93397319999997</v>
      </c>
      <c r="U11">
        <f>(-6.91097 + 0.22576*Table3[[#This Row],[K]] + 1.24772*Table3[[#This Row],[HRA]] + 6.5357*Table3[[#This Row],[WHIP]]) * Table3[[#This Row],[Games]]</f>
        <v>476.16431799999998</v>
      </c>
      <c r="V11">
        <f>VLOOKUP(Table3[[#This Row],[ABBR]],Table1[#All],6,FALSE) /Table3[[#This Row],[Games]]</f>
        <v>9.28169014084507</v>
      </c>
      <c r="W11">
        <f>VLOOKUP(Table3[[#This Row],[ABBR]],Table1[#All],28,FALSE)</f>
        <v>0.33900000000000002</v>
      </c>
      <c r="X11">
        <f>VLOOKUP(Table3[[#This Row],[ABBR]],Table1[#All],21,FALSE)</f>
        <v>0.39200000000000002</v>
      </c>
      <c r="Y11">
        <f>VLOOKUP(Table3[[#This Row],[ABBR]],Table2[#All],13,FALSE) / Table3[[#This Row],[Games]]</f>
        <v>9.3380281690140841</v>
      </c>
      <c r="Z11">
        <f>VLOOKUP(Table3[[#This Row],[ABBR]],Table2[#All],21,FALSE) / Table3[[#This Row],[Games]]</f>
        <v>0.63380281690140849</v>
      </c>
      <c r="AA11">
        <f>VLOOKUP(Table3[[#This Row],[ABBR]],Table2[#All],25,FALSE)</f>
        <v>1.64</v>
      </c>
      <c r="AB11">
        <f>C11+D11</f>
        <v>71</v>
      </c>
    </row>
    <row r="12" spans="1:29" x14ac:dyDescent="0.25">
      <c r="A12" t="s">
        <v>123</v>
      </c>
      <c r="B12" t="s">
        <v>43</v>
      </c>
      <c r="C12" s="2">
        <f>VLOOKUP(VLOOKUP(Table3[[#This Row],[ABBR]],CHOOSE({2,1},StandingsRAW!$J:$J,StandingsRAW!$L:$L),2,FALSE),StandingsRAW!$A:$C,2,FALSE)</f>
        <v>36</v>
      </c>
      <c r="D12" s="2">
        <f>VLOOKUP(VLOOKUP(Table3[[#This Row],[ABBR]],CHOOSE({2,1},StandingsRAW!$J:$J,StandingsRAW!$L:$L),2,FALSE),StandingsRAW!$A:$C,3,FALSE)</f>
        <v>36</v>
      </c>
      <c r="E12" s="2">
        <f>VLOOKUP(VLOOKUP(Table3[[#This Row],[ABBR]],CHOOSE({2,1},StandingsRAW!$J:$J,StandingsRAW!$L:$L),2,FALSE),StandingsRAW!$A:$D,4,FALSE)</f>
        <v>0.5</v>
      </c>
      <c r="F12" s="3">
        <f>Table3[[#This Row],[pyth%]]*Table3[[#This Row],[Games]]</f>
        <v>36.828905836915176</v>
      </c>
      <c r="G12" s="3">
        <f>(1-Table3[[#This Row],[pyth%]])*Table3[[#This Row],[Games]]</f>
        <v>35.171094163084824</v>
      </c>
      <c r="H12">
        <f>((Table3[[#This Row],[R]]^1.81)/(Table3[[#This Row],[R]]^1.81 + Table3[[#This Row],[RA]]^1.81))</f>
        <v>0.51151258106826636</v>
      </c>
      <c r="I12" s="3">
        <f>Table3[[#This Row],[xpyth%]]*Table3[[#This Row],[Games]]</f>
        <v>35.874399830430391</v>
      </c>
      <c r="J12" s="3">
        <f>(1-Table3[[#This Row],[xpyth%]])*Table3[[#This Row],[Games]]</f>
        <v>36.125600169569609</v>
      </c>
      <c r="K12">
        <f>((Table3[[#This Row],[xR]]^1.81)/(Table3[[#This Row],[xR]]^1.81 + Table3[[#This Row],[xRA]]^1.81)) + $L$28</f>
        <v>0.49825555320042214</v>
      </c>
      <c r="L12" s="4">
        <f>VLOOKUP(Table3[[#This Row],[ABBR]],[1]Raw!$L$2:$T$23,9,FALSE)</f>
        <v>0.17710509033246266</v>
      </c>
      <c r="M12" s="4">
        <f>Table3[[#This Row],[Diff/g]]+Table3[[#This Row],[SOS]]</f>
        <v>0.31599397922135153</v>
      </c>
      <c r="N12" s="3">
        <f>Table3[[#This Row],[W]]-Table3[[#This Row],[pythW]]</f>
        <v>-0.82890583691517605</v>
      </c>
      <c r="O12" s="3">
        <f>Table3[[#This Row],[W]]-Table3[[#This Row],[xpythW]]</f>
        <v>0.12560016956960851</v>
      </c>
      <c r="P12">
        <f>VLOOKUP(Table3[[#This Row],[ABBR]],Table1[#All],5,FALSE)</f>
        <v>398</v>
      </c>
      <c r="Q12">
        <f>VLOOKUP(Table3[[#This Row],[ABBR]],Table2[#All],10,FALSE)</f>
        <v>388</v>
      </c>
      <c r="R12">
        <f>P12-Q12</f>
        <v>10</v>
      </c>
      <c r="S12" s="4">
        <f>Table3[[#This Row],[Diff]]/Table3[[#This Row],[Games]]</f>
        <v>0.1388888888888889</v>
      </c>
      <c r="T12">
        <f>(-5.41729 + 0.5069*Table3[[#This Row],[H]] + 8.44144*Table3[[#This Row],[SECA]] + 11.79712*Table3[[#This Row],[OBP]]) *Table3[[#This Row],[Games]]</f>
        <v>407.27809279999997</v>
      </c>
      <c r="U12">
        <f>(-6.91097 + 0.22576*Table3[[#This Row],[K]] + 1.24772*Table3[[#This Row],[HRA]] + 6.5357*Table3[[#This Row],[WHIP]]) * Table3[[#This Row],[Games]]</f>
        <v>408.85124000000013</v>
      </c>
      <c r="V12">
        <f>VLOOKUP(Table3[[#This Row],[ABBR]],Table1[#All],6,FALSE) /Table3[[#This Row],[Games]]</f>
        <v>8.3888888888888893</v>
      </c>
      <c r="W12">
        <f>VLOOKUP(Table3[[#This Row],[ABBR]],Table1[#All],28,FALSE)</f>
        <v>0.30499999999999999</v>
      </c>
      <c r="X12">
        <f>VLOOKUP(Table3[[#This Row],[ABBR]],Table1[#All],21,FALSE)</f>
        <v>0.36</v>
      </c>
      <c r="Y12">
        <f>VLOOKUP(Table3[[#This Row],[ABBR]],Table2[#All],13,FALSE) / Table3[[#This Row],[Games]]</f>
        <v>9.5</v>
      </c>
      <c r="Z12">
        <f>VLOOKUP(Table3[[#This Row],[ABBR]],Table2[#All],21,FALSE) / Table3[[#This Row],[Games]]</f>
        <v>0.51388888888888884</v>
      </c>
      <c r="AA12">
        <f>VLOOKUP(Table3[[#This Row],[ABBR]],Table2[#All],25,FALSE)</f>
        <v>1.5</v>
      </c>
      <c r="AB12">
        <f>C12+D12</f>
        <v>72</v>
      </c>
    </row>
    <row r="13" spans="1:29" x14ac:dyDescent="0.25">
      <c r="A13" t="s">
        <v>132</v>
      </c>
      <c r="B13" t="s">
        <v>47</v>
      </c>
      <c r="C13" s="2">
        <f>VLOOKUP(VLOOKUP(Table3[[#This Row],[ABBR]],CHOOSE({2,1},StandingsRAW!$J:$J,StandingsRAW!$L:$L),2,FALSE),StandingsRAW!$A:$C,2,FALSE)</f>
        <v>32</v>
      </c>
      <c r="D13" s="2">
        <f>VLOOKUP(VLOOKUP(Table3[[#This Row],[ABBR]],CHOOSE({2,1},StandingsRAW!$J:$J,StandingsRAW!$L:$L),2,FALSE),StandingsRAW!$A:$C,3,FALSE)</f>
        <v>36</v>
      </c>
      <c r="E13" s="2">
        <f>VLOOKUP(VLOOKUP(Table3[[#This Row],[ABBR]],CHOOSE({2,1},StandingsRAW!$J:$J,StandingsRAW!$L:$L),2,FALSE),StandingsRAW!$A:$D,4,FALSE)</f>
        <v>0.47099999999999997</v>
      </c>
      <c r="F13" s="3">
        <f>Table3[[#This Row],[pyth%]]*Table3[[#This Row],[Games]]</f>
        <v>33.067738134736885</v>
      </c>
      <c r="G13" s="3">
        <f>(1-Table3[[#This Row],[pyth%]])*Table3[[#This Row],[Games]]</f>
        <v>34.932261865263108</v>
      </c>
      <c r="H13">
        <f>((Table3[[#This Row],[R]]^1.81)/(Table3[[#This Row],[R]]^1.81 + Table3[[#This Row],[RA]]^1.81))</f>
        <v>0.48629026668730718</v>
      </c>
      <c r="I13" s="3">
        <f>Table3[[#This Row],[xpyth%]]*Table3[[#This Row],[Games]]</f>
        <v>32.5516539707682</v>
      </c>
      <c r="J13" s="3">
        <f>(1-Table3[[#This Row],[xpyth%]])*Table3[[#This Row],[Games]]</f>
        <v>35.4483460292318</v>
      </c>
      <c r="K13">
        <f>((Table3[[#This Row],[xR]]^1.81)/(Table3[[#This Row],[xR]]^1.81 + Table3[[#This Row],[xRA]]^1.81)) + $L$28</f>
        <v>0.47870079368776769</v>
      </c>
      <c r="L13" s="4">
        <f>VLOOKUP(Table3[[#This Row],[ABBR]],[1]Raw!$L$2:$T$23,9,FALSE)</f>
        <v>2.9386942466381176E-2</v>
      </c>
      <c r="M13" s="4">
        <f>Table3[[#This Row],[Diff/g]]+Table3[[#This Row],[SOS]]</f>
        <v>-0.17649541047479528</v>
      </c>
      <c r="N13" s="3">
        <f>Table3[[#This Row],[W]]-Table3[[#This Row],[pythW]]</f>
        <v>-1.0677381347368851</v>
      </c>
      <c r="O13" s="3">
        <f>Table3[[#This Row],[W]]-Table3[[#This Row],[xpythW]]</f>
        <v>-0.5516539707682</v>
      </c>
      <c r="P13">
        <f>VLOOKUP(Table3[[#This Row],[ABBR]],Table1[#All],5,FALSE)</f>
        <v>455</v>
      </c>
      <c r="Q13">
        <f>VLOOKUP(Table3[[#This Row],[ABBR]],Table2[#All],10,FALSE)</f>
        <v>469</v>
      </c>
      <c r="R13">
        <f>P13-Q13</f>
        <v>-14</v>
      </c>
      <c r="S13" s="4">
        <f>Table3[[#This Row],[Diff]]/Table3[[#This Row],[Games]]</f>
        <v>-0.20588235294117646</v>
      </c>
      <c r="T13">
        <f>(-5.41729 + 0.5069*Table3[[#This Row],[H]] + 8.44144*Table3[[#This Row],[SECA]] + 11.79712*Table3[[#This Row],[OBP]]) *Table3[[#This Row],[Games]]</f>
        <v>450.46975184000001</v>
      </c>
      <c r="U13">
        <f>(-6.91097 + 0.22576*Table3[[#This Row],[K]] + 1.24772*Table3[[#This Row],[HRA]] + 6.5357*Table3[[#This Row],[WHIP]]) * Table3[[#This Row],[Games]]</f>
        <v>472.19380399999994</v>
      </c>
      <c r="V13">
        <f>VLOOKUP(Table3[[#This Row],[ABBR]],Table1[#All],6,FALSE) /Table3[[#This Row],[Games]]</f>
        <v>8.867647058823529</v>
      </c>
      <c r="W13">
        <f>VLOOKUP(Table3[[#This Row],[ABBR]],Table1[#All],28,FALSE)</f>
        <v>0.34200000000000003</v>
      </c>
      <c r="X13">
        <f>VLOOKUP(Table3[[#This Row],[ABBR]],Table1[#All],21,FALSE)</f>
        <v>0.39500000000000002</v>
      </c>
      <c r="Y13">
        <f>VLOOKUP(Table3[[#This Row],[ABBR]],Table2[#All],13,FALSE) / Table3[[#This Row],[Games]]</f>
        <v>8.5441176470588243</v>
      </c>
      <c r="Z13">
        <f>VLOOKUP(Table3[[#This Row],[ABBR]],Table2[#All],21,FALSE) / Table3[[#This Row],[Games]]</f>
        <v>0.70588235294117652</v>
      </c>
      <c r="AA13">
        <f>VLOOKUP(Table3[[#This Row],[ABBR]],Table2[#All],25,FALSE)</f>
        <v>1.69</v>
      </c>
      <c r="AB13">
        <f>C13+D13</f>
        <v>68</v>
      </c>
    </row>
    <row r="14" spans="1:29" x14ac:dyDescent="0.25">
      <c r="A14" t="s">
        <v>116</v>
      </c>
      <c r="B14" t="s">
        <v>42</v>
      </c>
      <c r="C14" s="2">
        <f>VLOOKUP(VLOOKUP(Table3[[#This Row],[ABBR]],CHOOSE({2,1},StandingsRAW!$J:$J,StandingsRAW!$L:$L),2,FALSE),StandingsRAW!$A:$C,2,FALSE)</f>
        <v>33</v>
      </c>
      <c r="D14" s="2">
        <f>VLOOKUP(VLOOKUP(Table3[[#This Row],[ABBR]],CHOOSE({2,1},StandingsRAW!$J:$J,StandingsRAW!$L:$L),2,FALSE),StandingsRAW!$A:$C,3,FALSE)</f>
        <v>38</v>
      </c>
      <c r="E14" s="2">
        <f>VLOOKUP(VLOOKUP(Table3[[#This Row],[ABBR]],CHOOSE({2,1},StandingsRAW!$J:$J,StandingsRAW!$L:$L),2,FALSE),StandingsRAW!$A:$D,4,FALSE)</f>
        <v>0.46500000000000002</v>
      </c>
      <c r="F14" s="3">
        <f>Table3[[#This Row],[pyth%]]*Table3[[#This Row],[Games]]</f>
        <v>35.5</v>
      </c>
      <c r="G14" s="3">
        <f>(1-Table3[[#This Row],[pyth%]])*Table3[[#This Row],[Games]]</f>
        <v>35.5</v>
      </c>
      <c r="H14">
        <f>((Table3[[#This Row],[R]]^1.81)/(Table3[[#This Row],[R]]^1.81 + Table3[[#This Row],[RA]]^1.81))</f>
        <v>0.5</v>
      </c>
      <c r="I14" s="3">
        <f>Table3[[#This Row],[xpyth%]]*Table3[[#This Row],[Games]]</f>
        <v>33.747286630847526</v>
      </c>
      <c r="J14" s="3">
        <f>(1-Table3[[#This Row],[xpyth%]])*Table3[[#This Row],[Games]]</f>
        <v>37.252713369152474</v>
      </c>
      <c r="K14">
        <f>((Table3[[#This Row],[xR]]^1.81)/(Table3[[#This Row],[xR]]^1.81 + Table3[[#This Row],[xRA]]^1.81)) + $L$28</f>
        <v>0.47531389620912012</v>
      </c>
      <c r="L14" s="4">
        <f>VLOOKUP(Table3[[#This Row],[ABBR]],[1]Raw!$L$2:$T$23,9,FALSE)</f>
        <v>1.2219191737974344E-2</v>
      </c>
      <c r="M14" s="4">
        <f>Table3[[#This Row],[Diff/g]]+Table3[[#This Row],[SOS]]</f>
        <v>1.2219191737974344E-2</v>
      </c>
      <c r="N14" s="3">
        <f>Table3[[#This Row],[W]]-Table3[[#This Row],[pythW]]</f>
        <v>-2.5</v>
      </c>
      <c r="O14" s="3">
        <f>Table3[[#This Row],[W]]-Table3[[#This Row],[xpythW]]</f>
        <v>-0.74728663084752611</v>
      </c>
      <c r="P14">
        <f>VLOOKUP(Table3[[#This Row],[ABBR]],Table1[#All],5,FALSE)</f>
        <v>401</v>
      </c>
      <c r="Q14">
        <f>VLOOKUP(Table3[[#This Row],[ABBR]],Table2[#All],10,FALSE)</f>
        <v>401</v>
      </c>
      <c r="R14">
        <f>P14-Q14</f>
        <v>0</v>
      </c>
      <c r="S14" s="4">
        <f>Table3[[#This Row],[Diff]]/Table3[[#This Row],[Games]]</f>
        <v>0</v>
      </c>
      <c r="T14">
        <f>(-5.41729 + 0.5069*Table3[[#This Row],[H]] + 8.44144*Table3[[#This Row],[SECA]] + 11.79712*Table3[[#This Row],[OBP]]) *Table3[[#This Row],[Games]]</f>
        <v>402.82496231999988</v>
      </c>
      <c r="U14">
        <f>(-6.91097 + 0.22576*Table3[[#This Row],[K]] + 1.24772*Table3[[#This Row],[HRA]] + 6.5357*Table3[[#This Row],[WHIP]]) * Table3[[#This Row],[Games]]</f>
        <v>425.43043700000004</v>
      </c>
      <c r="V14">
        <f>VLOOKUP(Table3[[#This Row],[ABBR]],Table1[#All],6,FALSE) /Table3[[#This Row],[Games]]</f>
        <v>8.422535211267606</v>
      </c>
      <c r="W14">
        <f>VLOOKUP(Table3[[#This Row],[ABBR]],Table1[#All],28,FALSE)</f>
        <v>0.29799999999999999</v>
      </c>
      <c r="X14">
        <f>VLOOKUP(Table3[[#This Row],[ABBR]],Table1[#All],21,FALSE)</f>
        <v>0.36499999999999999</v>
      </c>
      <c r="Y14">
        <f>VLOOKUP(Table3[[#This Row],[ABBR]],Table2[#All],13,FALSE) / Table3[[#This Row],[Games]]</f>
        <v>8.6760563380281699</v>
      </c>
      <c r="Z14">
        <f>VLOOKUP(Table3[[#This Row],[ABBR]],Table2[#All],21,FALSE) / Table3[[#This Row],[Games]]</f>
        <v>0.3380281690140845</v>
      </c>
      <c r="AA14">
        <f>VLOOKUP(Table3[[#This Row],[ABBR]],Table2[#All],25,FALSE)</f>
        <v>1.61</v>
      </c>
      <c r="AB14">
        <f>C14+D14</f>
        <v>71</v>
      </c>
    </row>
    <row r="15" spans="1:29" x14ac:dyDescent="0.25">
      <c r="A15" t="s">
        <v>149</v>
      </c>
      <c r="B15" t="s">
        <v>33</v>
      </c>
      <c r="C15" s="2">
        <f>VLOOKUP(VLOOKUP(Table3[[#This Row],[ABBR]],CHOOSE({2,1},StandingsRAW!$J:$J,StandingsRAW!$L:$L),2,FALSE),StandingsRAW!$A:$C,2,FALSE)</f>
        <v>35</v>
      </c>
      <c r="D15" s="2">
        <f>VLOOKUP(VLOOKUP(Table3[[#This Row],[ABBR]],CHOOSE({2,1},StandingsRAW!$J:$J,StandingsRAW!$L:$L),2,FALSE),StandingsRAW!$A:$C,3,FALSE)</f>
        <v>37</v>
      </c>
      <c r="E15" s="2">
        <f>VLOOKUP(VLOOKUP(Table3[[#This Row],[ABBR]],CHOOSE({2,1},StandingsRAW!$J:$J,StandingsRAW!$L:$L),2,FALSE),StandingsRAW!$A:$D,4,FALSE)</f>
        <v>0.48599999999999999</v>
      </c>
      <c r="F15" s="3">
        <f>Table3[[#This Row],[pyth%]]*Table3[[#This Row],[Games]]</f>
        <v>32.83418637877341</v>
      </c>
      <c r="G15" s="3">
        <f>(1-Table3[[#This Row],[pyth%]])*Table3[[#This Row],[Games]]</f>
        <v>39.16581362122659</v>
      </c>
      <c r="H15">
        <f>((Table3[[#This Row],[R]]^1.81)/(Table3[[#This Row],[R]]^1.81 + Table3[[#This Row],[RA]]^1.81))</f>
        <v>0.4560303663718529</v>
      </c>
      <c r="I15" s="3">
        <f>Table3[[#This Row],[xpyth%]]*Table3[[#This Row],[Games]]</f>
        <v>34.131664844195882</v>
      </c>
      <c r="J15" s="3">
        <f>(1-Table3[[#This Row],[xpyth%]])*Table3[[#This Row],[Games]]</f>
        <v>37.868335155804118</v>
      </c>
      <c r="K15">
        <f>((Table3[[#This Row],[xR]]^1.81)/(Table3[[#This Row],[xR]]^1.81 + Table3[[#This Row],[xRA]]^1.81)) + $L$28</f>
        <v>0.4740509006138317</v>
      </c>
      <c r="L15" s="4">
        <f>VLOOKUP(Table3[[#This Row],[ABBR]],[1]Raw!$L$2:$T$23,9,FALSE)</f>
        <v>-8.5055838201705453E-2</v>
      </c>
      <c r="M15" s="4">
        <f>Table3[[#This Row],[Diff/g]]+Table3[[#This Row],[SOS]]</f>
        <v>-0.69616694931281664</v>
      </c>
      <c r="N15" s="3">
        <f>Table3[[#This Row],[W]]-Table3[[#This Row],[pythW]]</f>
        <v>2.1658136212265902</v>
      </c>
      <c r="O15" s="3">
        <f>Table3[[#This Row],[W]]-Table3[[#This Row],[xpythW]]</f>
        <v>0.86833515580411813</v>
      </c>
      <c r="P15">
        <f>VLOOKUP(Table3[[#This Row],[ABBR]],Table1[#All],5,FALSE)</f>
        <v>430</v>
      </c>
      <c r="Q15">
        <f>VLOOKUP(Table3[[#This Row],[ABBR]],Table2[#All],10,FALSE)</f>
        <v>474</v>
      </c>
      <c r="R15">
        <f>P15-Q15</f>
        <v>-44</v>
      </c>
      <c r="S15" s="4">
        <f>Table3[[#This Row],[Diff]]/Table3[[#This Row],[Games]]</f>
        <v>-0.61111111111111116</v>
      </c>
      <c r="T15">
        <f>(-5.41729 + 0.5069*Table3[[#This Row],[H]] + 8.44144*Table3[[#This Row],[SECA]] + 11.79712*Table3[[#This Row],[OBP]]) *Table3[[#This Row],[Games]]</f>
        <v>407.60178880000001</v>
      </c>
      <c r="U15">
        <f>(-6.91097 + 0.22576*Table3[[#This Row],[K]] + 1.24772*Table3[[#This Row],[HRA]] + 6.5357*Table3[[#This Row],[WHIP]]) * Table3[[#This Row],[Games]]</f>
        <v>431.68162399999994</v>
      </c>
      <c r="V15">
        <f>VLOOKUP(Table3[[#This Row],[ABBR]],Table1[#All],6,FALSE) /Table3[[#This Row],[Games]]</f>
        <v>8.7777777777777786</v>
      </c>
      <c r="W15">
        <f>VLOOKUP(Table3[[#This Row],[ABBR]],Table1[#All],28,FALSE)</f>
        <v>0.27100000000000002</v>
      </c>
      <c r="X15">
        <f>VLOOKUP(Table3[[#This Row],[ABBR]],Table1[#All],21,FALSE)</f>
        <v>0.36799999999999999</v>
      </c>
      <c r="Y15">
        <f>VLOOKUP(Table3[[#This Row],[ABBR]],Table2[#All],13,FALSE) / Table3[[#This Row],[Games]]</f>
        <v>7.3472222222222223</v>
      </c>
      <c r="Z15">
        <f>VLOOKUP(Table3[[#This Row],[ABBR]],Table2[#All],21,FALSE) / Table3[[#This Row],[Games]]</f>
        <v>0.31944444444444442</v>
      </c>
      <c r="AA15">
        <f>VLOOKUP(Table3[[#This Row],[ABBR]],Table2[#All],25,FALSE)</f>
        <v>1.66</v>
      </c>
      <c r="AB15">
        <f>C15+D15</f>
        <v>72</v>
      </c>
    </row>
    <row r="16" spans="1:29" x14ac:dyDescent="0.25">
      <c r="A16" t="s">
        <v>101</v>
      </c>
      <c r="B16" t="s">
        <v>40</v>
      </c>
      <c r="C16" s="2">
        <f>VLOOKUP(VLOOKUP(Table3[[#This Row],[ABBR]],CHOOSE({2,1},StandingsRAW!$J:$J,StandingsRAW!$L:$L),2,FALSE),StandingsRAW!$A:$C,2,FALSE)</f>
        <v>34</v>
      </c>
      <c r="D16" s="2">
        <f>VLOOKUP(VLOOKUP(Table3[[#This Row],[ABBR]],CHOOSE({2,1},StandingsRAW!$J:$J,StandingsRAW!$L:$L),2,FALSE),StandingsRAW!$A:$C,3,FALSE)</f>
        <v>33</v>
      </c>
      <c r="E16" s="2">
        <f>VLOOKUP(VLOOKUP(Table3[[#This Row],[ABBR]],CHOOSE({2,1},StandingsRAW!$J:$J,StandingsRAW!$L:$L),2,FALSE),StandingsRAW!$A:$D,4,FALSE)</f>
        <v>0.50700000000000001</v>
      </c>
      <c r="F16" s="3">
        <f>Table3[[#This Row],[pyth%]]*Table3[[#This Row],[Games]]</f>
        <v>31.450527928290299</v>
      </c>
      <c r="G16" s="3">
        <f>(1-Table3[[#This Row],[pyth%]])*Table3[[#This Row],[Games]]</f>
        <v>35.549472071709701</v>
      </c>
      <c r="H16">
        <f>((Table3[[#This Row],[R]]^1.81)/(Table3[[#This Row],[R]]^1.81 + Table3[[#This Row],[RA]]^1.81))</f>
        <v>0.46941086460134773</v>
      </c>
      <c r="I16" s="3">
        <f>Table3[[#This Row],[xpyth%]]*Table3[[#This Row],[Games]]</f>
        <v>30.296087444570833</v>
      </c>
      <c r="J16" s="3">
        <f>(1-Table3[[#This Row],[xpyth%]])*Table3[[#This Row],[Games]]</f>
        <v>36.703912555429163</v>
      </c>
      <c r="K16">
        <f>((Table3[[#This Row],[xR]]^1.81)/(Table3[[#This Row],[xR]]^1.81 + Table3[[#This Row],[xRA]]^1.81)) + $L$28</f>
        <v>0.45218040962046019</v>
      </c>
      <c r="L16" s="4">
        <f>VLOOKUP(Table3[[#This Row],[ABBR]],[1]Raw!$L$2:$T$23,9,FALSE)</f>
        <v>4.9795938672390828E-2</v>
      </c>
      <c r="M16" s="4">
        <f>Table3[[#This Row],[Diff/g]]+Table3[[#This Row],[SOS]]</f>
        <v>-0.32333838968581813</v>
      </c>
      <c r="N16" s="3">
        <f>Table3[[#This Row],[W]]-Table3[[#This Row],[pythW]]</f>
        <v>2.549472071709701</v>
      </c>
      <c r="O16" s="3">
        <f>Table3[[#This Row],[W]]-Table3[[#This Row],[xpythW]]</f>
        <v>3.7039125554291665</v>
      </c>
      <c r="P16">
        <f>VLOOKUP(Table3[[#This Row],[ABBR]],Table1[#All],5,FALSE)</f>
        <v>357</v>
      </c>
      <c r="Q16">
        <f>VLOOKUP(Table3[[#This Row],[ABBR]],Table2[#All],10,FALSE)</f>
        <v>382</v>
      </c>
      <c r="R16">
        <f>P16-Q16</f>
        <v>-25</v>
      </c>
      <c r="S16" s="4">
        <f>Table3[[#This Row],[Diff]]/Table3[[#This Row],[Games]]</f>
        <v>-0.37313432835820898</v>
      </c>
      <c r="T16">
        <f>(-5.41729 + 0.5069*Table3[[#This Row],[H]] + 8.44144*Table3[[#This Row],[SECA]] + 11.79712*Table3[[#This Row],[OBP]]) *Table3[[#This Row],[Games]]</f>
        <v>380.37439063999994</v>
      </c>
      <c r="U16">
        <f>(-6.91097 + 0.22576*Table3[[#This Row],[K]] + 1.24772*Table3[[#This Row],[HRA]] + 6.5357*Table3[[#This Row],[WHIP]]) * Table3[[#This Row],[Games]]</f>
        <v>422.90968599999997</v>
      </c>
      <c r="V16">
        <f>VLOOKUP(Table3[[#This Row],[ABBR]],Table1[#All],6,FALSE) /Table3[[#This Row],[Games]]</f>
        <v>8.3731343283582085</v>
      </c>
      <c r="W16">
        <f>VLOOKUP(Table3[[#This Row],[ABBR]],Table1[#All],28,FALSE)</f>
        <v>0.3</v>
      </c>
      <c r="X16">
        <f>VLOOKUP(Table3[[#This Row],[ABBR]],Table1[#All],21,FALSE)</f>
        <v>0.36599999999999999</v>
      </c>
      <c r="Y16">
        <f>VLOOKUP(Table3[[#This Row],[ABBR]],Table2[#All],13,FALSE) / Table3[[#This Row],[Games]]</f>
        <v>8.7014925373134329</v>
      </c>
      <c r="Z16">
        <f>VLOOKUP(Table3[[#This Row],[ABBR]],Table2[#All],21,FALSE) / Table3[[#This Row],[Games]]</f>
        <v>0.43283582089552236</v>
      </c>
      <c r="AA16">
        <f>VLOOKUP(Table3[[#This Row],[ABBR]],Table2[#All],25,FALSE)</f>
        <v>1.64</v>
      </c>
      <c r="AB16">
        <f>C16+D16</f>
        <v>67</v>
      </c>
    </row>
    <row r="17" spans="1:28" x14ac:dyDescent="0.25">
      <c r="A17" t="s">
        <v>111</v>
      </c>
      <c r="B17" t="s">
        <v>49</v>
      </c>
      <c r="C17" s="2">
        <f>VLOOKUP(VLOOKUP(Table3[[#This Row],[ABBR]],CHOOSE({2,1},StandingsRAW!$J:$J,StandingsRAW!$L:$L),2,FALSE),StandingsRAW!$A:$C,2,FALSE)</f>
        <v>30</v>
      </c>
      <c r="D17" s="2">
        <f>VLOOKUP(VLOOKUP(Table3[[#This Row],[ABBR]],CHOOSE({2,1},StandingsRAW!$J:$J,StandingsRAW!$L:$L),2,FALSE),StandingsRAW!$A:$C,3,FALSE)</f>
        <v>42</v>
      </c>
      <c r="E17" s="2">
        <f>VLOOKUP(VLOOKUP(Table3[[#This Row],[ABBR]],CHOOSE({2,1},StandingsRAW!$J:$J,StandingsRAW!$L:$L),2,FALSE),StandingsRAW!$A:$D,4,FALSE)</f>
        <v>0.41699999999999998</v>
      </c>
      <c r="F17" s="3">
        <f>Table3[[#This Row],[pyth%]]*Table3[[#This Row],[Games]]</f>
        <v>27.842059776764746</v>
      </c>
      <c r="G17" s="3">
        <f>(1-Table3[[#This Row],[pyth%]])*Table3[[#This Row],[Games]]</f>
        <v>44.157940223235251</v>
      </c>
      <c r="H17">
        <f>((Table3[[#This Row],[R]]^1.81)/(Table3[[#This Row],[R]]^1.81 + Table3[[#This Row],[RA]]^1.81))</f>
        <v>0.38669527467728815</v>
      </c>
      <c r="I17" s="3">
        <f>Table3[[#This Row],[xpyth%]]*Table3[[#This Row],[Games]]</f>
        <v>29.885578628791777</v>
      </c>
      <c r="J17" s="3">
        <f>(1-Table3[[#This Row],[xpyth%]])*Table3[[#This Row],[Games]]</f>
        <v>42.114421371208223</v>
      </c>
      <c r="K17">
        <f>((Table3[[#This Row],[xR]]^1.81)/(Table3[[#This Row],[xR]]^1.81 + Table3[[#This Row],[xRA]]^1.81)) + $L$28</f>
        <v>0.41507748095544134</v>
      </c>
      <c r="L17" s="4">
        <f>VLOOKUP(Table3[[#This Row],[ABBR]],[1]Raw!$L$2:$T$23,9,FALSE)</f>
        <v>0.54403040766857835</v>
      </c>
      <c r="M17" s="4">
        <f>Table3[[#This Row],[Diff/g]]+Table3[[#This Row],[SOS]]</f>
        <v>-0.85874737010919933</v>
      </c>
      <c r="N17" s="3">
        <f>Table3[[#This Row],[W]]-Table3[[#This Row],[pythW]]</f>
        <v>2.1579402232352543</v>
      </c>
      <c r="O17" s="3">
        <f>Table3[[#This Row],[W]]-Table3[[#This Row],[xpythW]]</f>
        <v>0.11442137120822338</v>
      </c>
      <c r="P17">
        <f>VLOOKUP(Table3[[#This Row],[ABBR]],Table1[#All],5,FALSE)</f>
        <v>348</v>
      </c>
      <c r="Q17">
        <f>VLOOKUP(Table3[[#This Row],[ABBR]],Table2[#All],10,FALSE)</f>
        <v>449</v>
      </c>
      <c r="R17">
        <f>P17-Q17</f>
        <v>-101</v>
      </c>
      <c r="S17" s="4">
        <f>Table3[[#This Row],[Diff]]/Table3[[#This Row],[Games]]</f>
        <v>-1.4027777777777777</v>
      </c>
      <c r="T17">
        <f>(-5.41729 + 0.5069*Table3[[#This Row],[H]] + 8.44144*Table3[[#This Row],[SECA]] + 11.79712*Table3[[#This Row],[OBP]]) *Table3[[#This Row],[Games]]</f>
        <v>382.47367903999992</v>
      </c>
      <c r="U17">
        <f>(-6.91097 + 0.22576*Table3[[#This Row],[K]] + 1.24772*Table3[[#This Row],[HRA]] + 6.5357*Table3[[#This Row],[WHIP]]) * Table3[[#This Row],[Games]]</f>
        <v>462.27984800000002</v>
      </c>
      <c r="V17">
        <f>VLOOKUP(Table3[[#This Row],[ABBR]],Table1[#All],6,FALSE) /Table3[[#This Row],[Games]]</f>
        <v>7.8055555555555554</v>
      </c>
      <c r="W17">
        <f>VLOOKUP(Table3[[#This Row],[ABBR]],Table1[#All],28,FALSE)</f>
        <v>0.309</v>
      </c>
      <c r="X17">
        <f>VLOOKUP(Table3[[#This Row],[ABBR]],Table1[#All],21,FALSE)</f>
        <v>0.35299999999999998</v>
      </c>
      <c r="Y17">
        <f>VLOOKUP(Table3[[#This Row],[ABBR]],Table2[#All],13,FALSE) / Table3[[#This Row],[Games]]</f>
        <v>7.7777777777777777</v>
      </c>
      <c r="Z17">
        <f>VLOOKUP(Table3[[#This Row],[ABBR]],Table2[#All],21,FALSE) / Table3[[#This Row],[Games]]</f>
        <v>0.79166666666666663</v>
      </c>
      <c r="AA17">
        <f>VLOOKUP(Table3[[#This Row],[ABBR]],Table2[#All],25,FALSE)</f>
        <v>1.62</v>
      </c>
      <c r="AB17">
        <f>C17+D17</f>
        <v>72</v>
      </c>
    </row>
    <row r="18" spans="1:28" x14ac:dyDescent="0.25">
      <c r="A18" t="s">
        <v>120</v>
      </c>
      <c r="B18" t="s">
        <v>35</v>
      </c>
      <c r="C18" s="2">
        <f>VLOOKUP(VLOOKUP(Table3[[#This Row],[ABBR]],CHOOSE({2,1},StandingsRAW!$J:$J,StandingsRAW!$L:$L),2,FALSE),StandingsRAW!$A:$C,2,FALSE)</f>
        <v>31</v>
      </c>
      <c r="D18" s="2">
        <f>VLOOKUP(VLOOKUP(Table3[[#This Row],[ABBR]],CHOOSE({2,1},StandingsRAW!$J:$J,StandingsRAW!$L:$L),2,FALSE),StandingsRAW!$A:$C,3,FALSE)</f>
        <v>37</v>
      </c>
      <c r="E18" s="2">
        <f>VLOOKUP(VLOOKUP(Table3[[#This Row],[ABBR]],CHOOSE({2,1},StandingsRAW!$J:$J,StandingsRAW!$L:$L),2,FALSE),StandingsRAW!$A:$D,4,FALSE)</f>
        <v>0.45600000000000002</v>
      </c>
      <c r="F18" s="3">
        <f>Table3[[#This Row],[pyth%]]*Table3[[#This Row],[Games]]</f>
        <v>32.810144268287523</v>
      </c>
      <c r="G18" s="3">
        <f>(1-Table3[[#This Row],[pyth%]])*Table3[[#This Row],[Games]]</f>
        <v>35.18985573171247</v>
      </c>
      <c r="H18">
        <f>((Table3[[#This Row],[R]]^1.81)/(Table3[[#This Row],[R]]^1.81 + Table3[[#This Row],[RA]]^1.81))</f>
        <v>0.48250212159246358</v>
      </c>
      <c r="I18" s="3">
        <f>Table3[[#This Row],[xpyth%]]*Table3[[#This Row],[Games]]</f>
        <v>28.123121888086065</v>
      </c>
      <c r="J18" s="3">
        <f>(1-Table3[[#This Row],[xpyth%]])*Table3[[#This Row],[Games]]</f>
        <v>39.876878111913932</v>
      </c>
      <c r="K18">
        <f>((Table3[[#This Row],[xR]]^1.81)/(Table3[[#This Row],[xR]]^1.81 + Table3[[#This Row],[xRA]]^1.81)) + $L$28</f>
        <v>0.41357532188361862</v>
      </c>
      <c r="L18" s="4">
        <f>VLOOKUP(Table3[[#This Row],[ABBR]],[1]Raw!$L$2:$T$23,9,FALSE)</f>
        <v>3.4577253885066342E-2</v>
      </c>
      <c r="M18" s="4">
        <f>Table3[[#This Row],[Diff/g]]+Table3[[#This Row],[SOS]]</f>
        <v>-0.21542274611493367</v>
      </c>
      <c r="N18" s="3">
        <f>Table3[[#This Row],[W]]-Table3[[#This Row],[pythW]]</f>
        <v>-1.8101442682875231</v>
      </c>
      <c r="O18" s="3">
        <f>Table3[[#This Row],[W]]-Table3[[#This Row],[xpythW]]</f>
        <v>2.8768781119139355</v>
      </c>
      <c r="P18">
        <f>VLOOKUP(Table3[[#This Row],[ABBR]],Table1[#All],5,FALSE)</f>
        <v>431</v>
      </c>
      <c r="Q18">
        <f>VLOOKUP(Table3[[#This Row],[ABBR]],Table2[#All],10,FALSE)</f>
        <v>448</v>
      </c>
      <c r="R18">
        <f>P18-Q18</f>
        <v>-17</v>
      </c>
      <c r="S18" s="4">
        <f>Table3[[#This Row],[Diff]]/Table3[[#This Row],[Games]]</f>
        <v>-0.25</v>
      </c>
      <c r="T18">
        <f>(-5.41729 + 0.5069*Table3[[#This Row],[H]] + 8.44144*Table3[[#This Row],[SECA]] + 11.79712*Table3[[#This Row],[OBP]]) *Table3[[#This Row],[Games]]</f>
        <v>405.61675983999999</v>
      </c>
      <c r="U18">
        <f>(-6.91097 + 0.22576*Table3[[#This Row],[K]] + 1.24772*Table3[[#This Row],[HRA]] + 6.5357*Table3[[#This Row],[WHIP]]) * Table3[[#This Row],[Games]]</f>
        <v>491.93150000000009</v>
      </c>
      <c r="V18">
        <f>VLOOKUP(Table3[[#This Row],[ABBR]],Table1[#All],6,FALSE) /Table3[[#This Row],[Games]]</f>
        <v>8.3382352941176467</v>
      </c>
      <c r="W18">
        <f>VLOOKUP(Table3[[#This Row],[ABBR]],Table1[#All],28,FALSE)</f>
        <v>0.32500000000000001</v>
      </c>
      <c r="X18">
        <f>VLOOKUP(Table3[[#This Row],[ABBR]],Table1[#All],21,FALSE)</f>
        <v>0.374</v>
      </c>
      <c r="Y18">
        <f>VLOOKUP(Table3[[#This Row],[ABBR]],Table2[#All],13,FALSE) / Table3[[#This Row],[Games]]</f>
        <v>8.6617647058823533</v>
      </c>
      <c r="Z18">
        <f>VLOOKUP(Table3[[#This Row],[ABBR]],Table2[#All],21,FALSE) / Table3[[#This Row],[Games]]</f>
        <v>0.6029411764705882</v>
      </c>
      <c r="AA18">
        <f>VLOOKUP(Table3[[#This Row],[ABBR]],Table2[#All],25,FALSE)</f>
        <v>1.75</v>
      </c>
      <c r="AB18">
        <f>C18+D18</f>
        <v>68</v>
      </c>
    </row>
    <row r="19" spans="1:28" x14ac:dyDescent="0.25">
      <c r="A19" t="s">
        <v>97</v>
      </c>
      <c r="B19" t="s">
        <v>44</v>
      </c>
      <c r="C19" s="2">
        <f>VLOOKUP(VLOOKUP(Table3[[#This Row],[ABBR]],CHOOSE({2,1},StandingsRAW!$J:$J,StandingsRAW!$L:$L),2,FALSE),StandingsRAW!$A:$C,2,FALSE)</f>
        <v>23</v>
      </c>
      <c r="D19" s="2">
        <f>VLOOKUP(VLOOKUP(Table3[[#This Row],[ABBR]],CHOOSE({2,1},StandingsRAW!$J:$J,StandingsRAW!$L:$L),2,FALSE),StandingsRAW!$A:$C,3,FALSE)</f>
        <v>45</v>
      </c>
      <c r="E19" s="2">
        <f>VLOOKUP(VLOOKUP(Table3[[#This Row],[ABBR]],CHOOSE({2,1},StandingsRAW!$J:$J,StandingsRAW!$L:$L),2,FALSE),StandingsRAW!$A:$D,4,FALSE)</f>
        <v>0.33800000000000002</v>
      </c>
      <c r="F19" s="3">
        <f>Table3[[#This Row],[pyth%]]*Table3[[#This Row],[Games]]</f>
        <v>25.037387517789984</v>
      </c>
      <c r="G19" s="3">
        <f>(1-Table3[[#This Row],[pyth%]])*Table3[[#This Row],[Games]]</f>
        <v>42.962612482210019</v>
      </c>
      <c r="H19">
        <f>((Table3[[#This Row],[R]]^1.81)/(Table3[[#This Row],[R]]^1.81 + Table3[[#This Row],[RA]]^1.81))</f>
        <v>0.36819687526161743</v>
      </c>
      <c r="I19" s="3">
        <f>Table3[[#This Row],[xpyth%]]*Table3[[#This Row],[Games]]</f>
        <v>24.264893840096867</v>
      </c>
      <c r="J19" s="3">
        <f>(1-Table3[[#This Row],[xpyth%]])*Table3[[#This Row],[Games]]</f>
        <v>43.735106159903133</v>
      </c>
      <c r="K19">
        <f>((Table3[[#This Row],[xR]]^1.81)/(Table3[[#This Row],[xR]]^1.81 + Table3[[#This Row],[xRA]]^1.81)) + $L$28</f>
        <v>0.35683667411907161</v>
      </c>
      <c r="L19" s="4">
        <f>VLOOKUP(Table3[[#This Row],[ABBR]],[1]Raw!$L$2:$T$23,9,FALSE)</f>
        <v>0.23007898398887261</v>
      </c>
      <c r="M19" s="4">
        <f>Table3[[#This Row],[Diff/g]]+Table3[[#This Row],[SOS]]</f>
        <v>-1.6816857218934804</v>
      </c>
      <c r="N19" s="3">
        <f>Table3[[#This Row],[W]]-Table3[[#This Row],[pythW]]</f>
        <v>-2.0373875177899841</v>
      </c>
      <c r="O19" s="3">
        <f>Table3[[#This Row],[W]]-Table3[[#This Row],[xpythW]]</f>
        <v>-1.2648938400968675</v>
      </c>
      <c r="P19">
        <f>VLOOKUP(Table3[[#This Row],[ABBR]],Table1[#All],5,FALSE)</f>
        <v>374</v>
      </c>
      <c r="Q19">
        <f>VLOOKUP(Table3[[#This Row],[ABBR]],Table2[#All],10,FALSE)</f>
        <v>504</v>
      </c>
      <c r="R19">
        <f>P19-Q19</f>
        <v>-130</v>
      </c>
      <c r="S19" s="4">
        <f>Table3[[#This Row],[Diff]]/Table3[[#This Row],[Games]]</f>
        <v>-1.911764705882353</v>
      </c>
      <c r="T19">
        <f>(-5.41729 + 0.5069*Table3[[#This Row],[H]] + 8.44144*Table3[[#This Row],[SECA]] + 11.79712*Table3[[#This Row],[OBP]]) *Table3[[#This Row],[Games]]</f>
        <v>381.22294511999996</v>
      </c>
      <c r="U19">
        <f>(-6.91097 + 0.22576*Table3[[#This Row],[K]] + 1.24772*Table3[[#This Row],[HRA]] + 6.5357*Table3[[#This Row],[WHIP]]) * Table3[[#This Row],[Games]]</f>
        <v>527.87806</v>
      </c>
      <c r="V19">
        <f>VLOOKUP(Table3[[#This Row],[ABBR]],Table1[#All],6,FALSE) /Table3[[#This Row],[Games]]</f>
        <v>8.4264705882352935</v>
      </c>
      <c r="W19">
        <f>VLOOKUP(Table3[[#This Row],[ABBR]],Table1[#All],28,FALSE)</f>
        <v>0.28000000000000003</v>
      </c>
      <c r="X19">
        <f>VLOOKUP(Table3[[#This Row],[ABBR]],Table1[#All],21,FALSE)</f>
        <v>0.372</v>
      </c>
      <c r="Y19">
        <f>VLOOKUP(Table3[[#This Row],[ABBR]],Table2[#All],13,FALSE) / Table3[[#This Row],[Games]]</f>
        <v>8.514705882352942</v>
      </c>
      <c r="Z19">
        <f>VLOOKUP(Table3[[#This Row],[ABBR]],Table2[#All],21,FALSE) / Table3[[#This Row],[Games]]</f>
        <v>0.52941176470588236</v>
      </c>
      <c r="AA19">
        <f>VLOOKUP(Table3[[#This Row],[ABBR]],Table2[#All],25,FALSE)</f>
        <v>1.85</v>
      </c>
      <c r="AB19">
        <f>C19+D19</f>
        <v>68</v>
      </c>
    </row>
    <row r="20" spans="1:28" x14ac:dyDescent="0.25">
      <c r="A20" t="s">
        <v>125</v>
      </c>
      <c r="B20" t="s">
        <v>41</v>
      </c>
      <c r="C20" s="2">
        <f>VLOOKUP(VLOOKUP(Table3[[#This Row],[ABBR]],CHOOSE({2,1},StandingsRAW!$J:$J,StandingsRAW!$L:$L),2,FALSE),StandingsRAW!$A:$C,2,FALSE)</f>
        <v>26</v>
      </c>
      <c r="D20" s="2">
        <f>VLOOKUP(VLOOKUP(Table3[[#This Row],[ABBR]],CHOOSE({2,1},StandingsRAW!$J:$J,StandingsRAW!$L:$L),2,FALSE),StandingsRAW!$A:$C,3,FALSE)</f>
        <v>46</v>
      </c>
      <c r="E20" s="2">
        <f>VLOOKUP(VLOOKUP(Table3[[#This Row],[ABBR]],CHOOSE({2,1},StandingsRAW!$J:$J,StandingsRAW!$L:$L),2,FALSE),StandingsRAW!$A:$D,4,FALSE)</f>
        <v>0.36099999999999999</v>
      </c>
      <c r="F20" s="3">
        <f>Table3[[#This Row],[pyth%]]*Table3[[#This Row],[Games]]</f>
        <v>28.169791997543832</v>
      </c>
      <c r="G20" s="3">
        <f>(1-Table3[[#This Row],[pyth%]])*Table3[[#This Row],[Games]]</f>
        <v>43.83020800245616</v>
      </c>
      <c r="H20">
        <f>((Table3[[#This Row],[R]]^1.81)/(Table3[[#This Row],[R]]^1.81 + Table3[[#This Row],[RA]]^1.81))</f>
        <v>0.39124711107699767</v>
      </c>
      <c r="I20" s="3">
        <f>Table3[[#This Row],[xpyth%]]*Table3[[#This Row],[Games]]</f>
        <v>23.657482221707617</v>
      </c>
      <c r="J20" s="3">
        <f>(1-Table3[[#This Row],[xpyth%]])*Table3[[#This Row],[Games]]</f>
        <v>48.342517778292375</v>
      </c>
      <c r="K20">
        <f>((Table3[[#This Row],[xR]]^1.81)/(Table3[[#This Row],[xR]]^1.81 + Table3[[#This Row],[xRA]]^1.81)) + $L$28</f>
        <v>0.32857614196816137</v>
      </c>
      <c r="L20" s="4">
        <f>VLOOKUP(Table3[[#This Row],[ABBR]],[1]Raw!$L$2:$T$23,9,FALSE)</f>
        <v>0.24647346105059859</v>
      </c>
      <c r="M20" s="4">
        <f>Table3[[#This Row],[Diff/g]]+Table3[[#This Row],[SOS]]</f>
        <v>-1.2674154278382903</v>
      </c>
      <c r="N20" s="3">
        <f>Table3[[#This Row],[W]]-Table3[[#This Row],[pythW]]</f>
        <v>-2.1697919975438325</v>
      </c>
      <c r="O20" s="3">
        <f>Table3[[#This Row],[W]]-Table3[[#This Row],[xpythW]]</f>
        <v>2.3425177782923825</v>
      </c>
      <c r="P20">
        <f>VLOOKUP(Table3[[#This Row],[ABBR]],Table1[#All],5,FALSE)</f>
        <v>394</v>
      </c>
      <c r="Q20">
        <f>VLOOKUP(Table3[[#This Row],[ABBR]],Table2[#All],10,FALSE)</f>
        <v>503</v>
      </c>
      <c r="R20">
        <f>P20-Q20</f>
        <v>-109</v>
      </c>
      <c r="S20" s="4">
        <f>Table3[[#This Row],[Diff]]/Table3[[#This Row],[Games]]</f>
        <v>-1.5138888888888888</v>
      </c>
      <c r="T20">
        <f>(-5.41729 + 0.5069*Table3[[#This Row],[H]] + 8.44144*Table3[[#This Row],[SECA]] + 11.79712*Table3[[#This Row],[OBP]]) *Table3[[#This Row],[Games]]</f>
        <v>362.79788191999995</v>
      </c>
      <c r="U20">
        <f>(-6.91097 + 0.22576*Table3[[#This Row],[K]] + 1.24772*Table3[[#This Row],[HRA]] + 6.5357*Table3[[#This Row],[WHIP]]) * Table3[[#This Row],[Games]]</f>
        <v>538.43684000000007</v>
      </c>
      <c r="V20">
        <f>VLOOKUP(Table3[[#This Row],[ABBR]],Table1[#All],6,FALSE) /Table3[[#This Row],[Games]]</f>
        <v>8.3055555555555554</v>
      </c>
      <c r="W20">
        <f>VLOOKUP(Table3[[#This Row],[ABBR]],Table1[#All],28,FALSE)</f>
        <v>0.248</v>
      </c>
      <c r="X20">
        <f>VLOOKUP(Table3[[#This Row],[ABBR]],Table1[#All],21,FALSE)</f>
        <v>0.35199999999999998</v>
      </c>
      <c r="Y20">
        <f>VLOOKUP(Table3[[#This Row],[ABBR]],Table2[#All],13,FALSE) / Table3[[#This Row],[Games]]</f>
        <v>9.0833333333333339</v>
      </c>
      <c r="Z20">
        <f>VLOOKUP(Table3[[#This Row],[ABBR]],Table2[#All],21,FALSE) / Table3[[#This Row],[Games]]</f>
        <v>0.72222222222222221</v>
      </c>
      <c r="AA20">
        <f>VLOOKUP(Table3[[#This Row],[ABBR]],Table2[#All],25,FALSE)</f>
        <v>1.75</v>
      </c>
      <c r="AB20">
        <f>C20+D20</f>
        <v>72</v>
      </c>
    </row>
    <row r="21" spans="1:28" x14ac:dyDescent="0.25">
      <c r="A21" t="s">
        <v>138</v>
      </c>
      <c r="B21" t="s">
        <v>37</v>
      </c>
      <c r="C21" s="2">
        <f>VLOOKUP(VLOOKUP(Table3[[#This Row],[ABBR]],CHOOSE({2,1},StandingsRAW!$J:$J,StandingsRAW!$L:$L),2,FALSE),StandingsRAW!$A:$C,2,FALSE)</f>
        <v>16</v>
      </c>
      <c r="D21" s="2">
        <f>VLOOKUP(VLOOKUP(Table3[[#This Row],[ABBR]],CHOOSE({2,1},StandingsRAW!$J:$J,StandingsRAW!$L:$L),2,FALSE),StandingsRAW!$A:$C,3,FALSE)</f>
        <v>52</v>
      </c>
      <c r="E21" s="2">
        <f>VLOOKUP(VLOOKUP(Table3[[#This Row],[ABBR]],CHOOSE({2,1},StandingsRAW!$J:$J,StandingsRAW!$L:$L),2,FALSE),StandingsRAW!$A:$D,4,FALSE)</f>
        <v>0.23499999999999999</v>
      </c>
      <c r="F21" s="3">
        <f>Table3[[#This Row],[pyth%]]*Table3[[#This Row],[Games]]</f>
        <v>20.082018386807125</v>
      </c>
      <c r="G21" s="3">
        <f>(1-Table3[[#This Row],[pyth%]])*Table3[[#This Row],[Games]]</f>
        <v>47.917981613192879</v>
      </c>
      <c r="H21">
        <f>((Table3[[#This Row],[R]]^1.81)/(Table3[[#This Row],[R]]^1.81 + Table3[[#This Row],[RA]]^1.81))</f>
        <v>0.29532379980598711</v>
      </c>
      <c r="I21" s="3">
        <f>Table3[[#This Row],[xpyth%]]*Table3[[#This Row],[Games]]</f>
        <v>21.541931855878669</v>
      </c>
      <c r="J21" s="3">
        <f>(1-Table3[[#This Row],[xpyth%]])*Table3[[#This Row],[Games]]</f>
        <v>46.458068144121327</v>
      </c>
      <c r="K21">
        <f>((Table3[[#This Row],[xR]]^1.81)/(Table3[[#This Row],[xR]]^1.81 + Table3[[#This Row],[xRA]]^1.81)) + $L$28</f>
        <v>0.31679311552762751</v>
      </c>
      <c r="L21" s="4">
        <f>VLOOKUP(Table3[[#This Row],[ABBR]],[1]Raw!$L$2:$T$23,9,FALSE)</f>
        <v>0.39789905319302504</v>
      </c>
      <c r="M21" s="4">
        <f>Table3[[#This Row],[Diff/g]]+Table3[[#This Row],[SOS]]</f>
        <v>-2.9403362409246223</v>
      </c>
      <c r="N21" s="3">
        <f>Table3[[#This Row],[W]]-Table3[[#This Row],[pythW]]</f>
        <v>-4.0820183868071247</v>
      </c>
      <c r="O21" s="3">
        <f>Table3[[#This Row],[W]]-Table3[[#This Row],[xpythW]]</f>
        <v>-5.5419318558786692</v>
      </c>
      <c r="P21">
        <f>VLOOKUP(Table3[[#This Row],[ABBR]],Table1[#All],5,FALSE)</f>
        <v>368</v>
      </c>
      <c r="Q21">
        <f>VLOOKUP(Table3[[#This Row],[ABBR]],Table2[#All],10,FALSE)</f>
        <v>595</v>
      </c>
      <c r="R21">
        <f>P21-Q21</f>
        <v>-227</v>
      </c>
      <c r="S21" s="4">
        <f>Table3[[#This Row],[Diff]]/Table3[[#This Row],[Games]]</f>
        <v>-3.3382352941176472</v>
      </c>
      <c r="T21">
        <f>(-5.41729 + 0.5069*Table3[[#This Row],[H]] + 8.44144*Table3[[#This Row],[SECA]] + 11.79712*Table3[[#This Row],[OBP]]) *Table3[[#This Row],[Games]]</f>
        <v>397.96088719999995</v>
      </c>
      <c r="U21">
        <f>(-6.91097 + 0.22576*Table3[[#This Row],[K]] + 1.24772*Table3[[#This Row],[HRA]] + 6.5357*Table3[[#This Row],[WHIP]]) * Table3[[#This Row],[Games]]</f>
        <v>608.48138400000016</v>
      </c>
      <c r="V21">
        <f>VLOOKUP(Table3[[#This Row],[ABBR]],Table1[#All],6,FALSE) /Table3[[#This Row],[Games]]</f>
        <v>8.985294117647058</v>
      </c>
      <c r="W21">
        <f>VLOOKUP(Table3[[#This Row],[ABBR]],Table1[#All],28,FALSE)</f>
        <v>0.27700000000000002</v>
      </c>
      <c r="X21">
        <f>VLOOKUP(Table3[[#This Row],[ABBR]],Table1[#All],21,FALSE)</f>
        <v>0.371</v>
      </c>
      <c r="Y21">
        <f>VLOOKUP(Table3[[#This Row],[ABBR]],Table2[#All],13,FALSE) / Table3[[#This Row],[Games]]</f>
        <v>8.264705882352942</v>
      </c>
      <c r="Z21">
        <f>VLOOKUP(Table3[[#This Row],[ABBR]],Table2[#All],21,FALSE) / Table3[[#This Row],[Games]]</f>
        <v>0.52941176470588236</v>
      </c>
      <c r="AA21">
        <f>VLOOKUP(Table3[[#This Row],[ABBR]],Table2[#All],25,FALSE)</f>
        <v>2.04</v>
      </c>
      <c r="AB21">
        <f>C21+D21</f>
        <v>68</v>
      </c>
    </row>
    <row r="22" spans="1:28" x14ac:dyDescent="0.25">
      <c r="A22" t="s">
        <v>118</v>
      </c>
      <c r="B22" t="s">
        <v>46</v>
      </c>
      <c r="C22" s="2">
        <f>VLOOKUP(VLOOKUP(Table3[[#This Row],[ABBR]],CHOOSE({2,1},StandingsRAW!$J:$J,StandingsRAW!$L:$L),2,FALSE),StandingsRAW!$A:$C,2,FALSE)</f>
        <v>19</v>
      </c>
      <c r="D22" s="2">
        <f>VLOOKUP(VLOOKUP(Table3[[#This Row],[ABBR]],CHOOSE({2,1},StandingsRAW!$J:$J,StandingsRAW!$L:$L),2,FALSE),StandingsRAW!$A:$C,3,FALSE)</f>
        <v>52</v>
      </c>
      <c r="E22" s="2">
        <f>VLOOKUP(VLOOKUP(Table3[[#This Row],[ABBR]],CHOOSE({2,1},StandingsRAW!$J:$J,StandingsRAW!$L:$L),2,FALSE),StandingsRAW!$A:$D,4,FALSE)</f>
        <v>0.26800000000000002</v>
      </c>
      <c r="F22" s="3">
        <f>Table3[[#This Row],[pyth%]]*Table3[[#This Row],[Games]]</f>
        <v>20.005670120324254</v>
      </c>
      <c r="G22" s="3">
        <f>(1-Table3[[#This Row],[pyth%]])*Table3[[#This Row],[Games]]</f>
        <v>50.994329879675746</v>
      </c>
      <c r="H22">
        <f>((Table3[[#This Row],[R]]^1.81)/(Table3[[#This Row],[R]]^1.81 + Table3[[#This Row],[RA]]^1.81))</f>
        <v>0.28177000169470778</v>
      </c>
      <c r="I22" s="3">
        <f>Table3[[#This Row],[xpyth%]]*Table3[[#This Row],[Games]]</f>
        <v>21.890030694736016</v>
      </c>
      <c r="J22" s="3">
        <f>(1-Table3[[#This Row],[xpyth%]])*Table3[[#This Row],[Games]]</f>
        <v>49.109969305263981</v>
      </c>
      <c r="K22">
        <f>((Table3[[#This Row],[xR]]^1.81)/(Table3[[#This Row],[xR]]^1.81 + Table3[[#This Row],[xRA]]^1.81)) + $L$28</f>
        <v>0.30831029147515515</v>
      </c>
      <c r="L22" s="4">
        <f>VLOOKUP(Table3[[#This Row],[ABBR]],[1]Raw!$L$2:$T$23,9,FALSE)</f>
        <v>0.48283521779223576</v>
      </c>
      <c r="M22" s="4">
        <f>Table3[[#This Row],[Diff/g]]+Table3[[#This Row],[SOS]]</f>
        <v>-2.6157563315035386</v>
      </c>
      <c r="N22" s="3">
        <f>Table3[[#This Row],[W]]-Table3[[#This Row],[pythW]]</f>
        <v>-1.005670120324254</v>
      </c>
      <c r="O22" s="3">
        <f>Table3[[#This Row],[W]]-Table3[[#This Row],[xpythW]]</f>
        <v>-2.8900306947360157</v>
      </c>
      <c r="P22">
        <f>VLOOKUP(Table3[[#This Row],[ABBR]],Table1[#All],5,FALSE)</f>
        <v>325</v>
      </c>
      <c r="Q22">
        <f>VLOOKUP(Table3[[#This Row],[ABBR]],Table2[#All],10,FALSE)</f>
        <v>545</v>
      </c>
      <c r="R22">
        <f>P22-Q22</f>
        <v>-220</v>
      </c>
      <c r="S22" s="4">
        <f>Table3[[#This Row],[Diff]]/Table3[[#This Row],[Games]]</f>
        <v>-3.0985915492957745</v>
      </c>
      <c r="T22">
        <f>(-5.41729 + 0.5069*Table3[[#This Row],[H]] + 8.44144*Table3[[#This Row],[SECA]] + 11.79712*Table3[[#This Row],[OBP]]) *Table3[[#This Row],[Games]]</f>
        <v>319.63520679999999</v>
      </c>
      <c r="U22">
        <f>(-6.91097 + 0.22576*Table3[[#This Row],[K]] + 1.24772*Table3[[#This Row],[HRA]] + 6.5357*Table3[[#This Row],[WHIP]]) * Table3[[#This Row],[Games]]</f>
        <v>499.49929700000001</v>
      </c>
      <c r="V22">
        <f>VLOOKUP(Table3[[#This Row],[ABBR]],Table1[#All],6,FALSE) /Table3[[#This Row],[Games]]</f>
        <v>7.6619718309859151</v>
      </c>
      <c r="W22">
        <f>VLOOKUP(Table3[[#This Row],[ABBR]],Table1[#All],28,FALSE)</f>
        <v>0.24399999999999999</v>
      </c>
      <c r="X22">
        <f>VLOOKUP(Table3[[#This Row],[ABBR]],Table1[#All],21,FALSE)</f>
        <v>0.33700000000000002</v>
      </c>
      <c r="Y22">
        <f>VLOOKUP(Table3[[#This Row],[ABBR]],Table2[#All],13,FALSE) / Table3[[#This Row],[Games]]</f>
        <v>7.507042253521127</v>
      </c>
      <c r="Z22">
        <f>VLOOKUP(Table3[[#This Row],[ABBR]],Table2[#All],21,FALSE) / Table3[[#This Row],[Games]]</f>
        <v>0.3380281690140845</v>
      </c>
      <c r="AA22">
        <f>VLOOKUP(Table3[[#This Row],[ABBR]],Table2[#All],25,FALSE)</f>
        <v>1.81</v>
      </c>
      <c r="AB22">
        <f>C22+D22</f>
        <v>71</v>
      </c>
    </row>
    <row r="23" spans="1:28" x14ac:dyDescent="0.25">
      <c r="A23" t="s">
        <v>129</v>
      </c>
      <c r="B23" t="s">
        <v>51</v>
      </c>
      <c r="C23" s="2">
        <f>VLOOKUP(VLOOKUP(Table3[[#This Row],[ABBR]],CHOOSE({2,1},StandingsRAW!$J:$J,StandingsRAW!$L:$L),2,FALSE),StandingsRAW!$A:$C,2,FALSE)</f>
        <v>7</v>
      </c>
      <c r="D23" s="2">
        <f>VLOOKUP(VLOOKUP(Table3[[#This Row],[ABBR]],CHOOSE({2,1},StandingsRAW!$J:$J,StandingsRAW!$L:$L),2,FALSE),StandingsRAW!$A:$C,3,FALSE)</f>
        <v>29</v>
      </c>
      <c r="E23" s="2">
        <f>VLOOKUP(VLOOKUP(Table3[[#This Row],[ABBR]],CHOOSE({2,1},StandingsRAW!$J:$J,StandingsRAW!$L:$L),2,FALSE),StandingsRAW!$A:$D,4,FALSE)</f>
        <v>0.19400000000000001</v>
      </c>
      <c r="F23" s="3">
        <f>Table3[[#This Row],[pyth%]]*Table3[[#This Row],[Games]]</f>
        <v>11.277678413689902</v>
      </c>
      <c r="G23" s="3">
        <f>(1-Table3[[#This Row],[pyth%]])*Table3[[#This Row],[Games]]</f>
        <v>24.722321586310098</v>
      </c>
      <c r="H23">
        <f>((Table3[[#This Row],[R]]^1.81)/(Table3[[#This Row],[R]]^1.81 + Table3[[#This Row],[RA]]^1.81))</f>
        <v>0.31326884482471951</v>
      </c>
      <c r="I23" s="3">
        <f>Table3[[#This Row],[xpyth%]]*Table3[[#This Row],[Games]]</f>
        <v>9.9002300695031984</v>
      </c>
      <c r="J23" s="3">
        <f>(1-Table3[[#This Row],[xpyth%]])*Table3[[#This Row],[Games]]</f>
        <v>26.099769930496802</v>
      </c>
      <c r="K23">
        <f>((Table3[[#This Row],[xR]]^1.81)/(Table3[[#This Row],[xR]]^1.81 + Table3[[#This Row],[xRA]]^1.81)) + $L$28</f>
        <v>0.27500639081953326</v>
      </c>
      <c r="L23" s="4">
        <f>VLOOKUP(Table3[[#This Row],[ABBR]],[1]Raw!$L$2:$T$23,9,FALSE)</f>
        <v>0.15129900843412036</v>
      </c>
      <c r="M23" s="4">
        <f>Table3[[#This Row],[Diff/g]]+Table3[[#This Row],[SOS]]</f>
        <v>-2.4875898804547685</v>
      </c>
      <c r="N23" s="3">
        <f>Table3[[#This Row],[W]]-Table3[[#This Row],[pythW]]</f>
        <v>-4.2776784136899018</v>
      </c>
      <c r="O23" s="3">
        <f>Table3[[#This Row],[W]]-Table3[[#This Row],[xpythW]]</f>
        <v>-2.9002300695031984</v>
      </c>
      <c r="P23">
        <f>VLOOKUP(Table3[[#This Row],[ABBR]],Table1[#All],5,FALSE)</f>
        <v>175</v>
      </c>
      <c r="Q23">
        <f>VLOOKUP(Table3[[#This Row],[ABBR]],Table2[#All],10,FALSE)</f>
        <v>270</v>
      </c>
      <c r="R23">
        <f>P23-Q23</f>
        <v>-95</v>
      </c>
      <c r="S23" s="4">
        <f>Table3[[#This Row],[Diff]]/Table3[[#This Row],[Games]]</f>
        <v>-2.6388888888888888</v>
      </c>
      <c r="T23">
        <f>(-5.41729 + 0.5069*Table3[[#This Row],[H]] + 8.44144*Table3[[#This Row],[SECA]] + 11.79712*Table3[[#This Row],[OBP]]) *Table3[[#This Row],[Games]]</f>
        <v>175.49550592</v>
      </c>
      <c r="U23">
        <f>(-6.91097 + 0.22576*Table3[[#This Row],[K]] + 1.24772*Table3[[#This Row],[HRA]] + 6.5357*Table3[[#This Row],[WHIP]]) * Table3[[#This Row],[Games]]</f>
        <v>299.81815599999999</v>
      </c>
      <c r="V23">
        <f>VLOOKUP(Table3[[#This Row],[ABBR]],Table1[#All],6,FALSE) /Table3[[#This Row],[Games]]</f>
        <v>7.7222222222222223</v>
      </c>
      <c r="W23">
        <f>VLOOKUP(Table3[[#This Row],[ABBR]],Table1[#All],28,FALSE)</f>
        <v>0.26500000000000001</v>
      </c>
      <c r="X23">
        <f>VLOOKUP(Table3[[#This Row],[ABBR]],Table1[#All],21,FALSE)</f>
        <v>0.35099999999999998</v>
      </c>
      <c r="Y23">
        <f>VLOOKUP(Table3[[#This Row],[ABBR]],Table2[#All],13,FALSE) / Table3[[#This Row],[Games]]</f>
        <v>7.9444444444444446</v>
      </c>
      <c r="Z23">
        <f>VLOOKUP(Table3[[#This Row],[ABBR]],Table2[#All],21,FALSE) / Table3[[#This Row],[Games]]</f>
        <v>0.66666666666666663</v>
      </c>
      <c r="AA23">
        <f>VLOOKUP(Table3[[#This Row],[ABBR]],Table2[#All],25,FALSE)</f>
        <v>1.93</v>
      </c>
      <c r="AB23">
        <f>C23+D23</f>
        <v>36</v>
      </c>
    </row>
    <row r="25" spans="1:28" x14ac:dyDescent="0.25">
      <c r="D25" s="3">
        <f>SUM(Table3[W])</f>
        <v>751</v>
      </c>
      <c r="E25" s="3">
        <f>SUM(Table3[L])</f>
        <v>755</v>
      </c>
      <c r="F25" s="3"/>
      <c r="G25" s="3">
        <f>SUM(Table3[pythW])</f>
        <v>759.42380303863729</v>
      </c>
      <c r="H25" s="3">
        <f>SUM(Table3[pythL])</f>
        <v>746.57619696136283</v>
      </c>
      <c r="J25" s="3">
        <f>SUM(Table3[xpythW])</f>
        <v>735.74782231261997</v>
      </c>
      <c r="K25" s="3">
        <f>SUM(Table3[xpythL])</f>
        <v>770.25217768738003</v>
      </c>
      <c r="P25" t="s">
        <v>161</v>
      </c>
      <c r="Q25">
        <f>SUM(Table3[R],Table3[RA]) / SUM(Table3[Games])</f>
        <v>12.114873837981408</v>
      </c>
    </row>
    <row r="26" spans="1:28" x14ac:dyDescent="0.25">
      <c r="P26" t="s">
        <v>160</v>
      </c>
      <c r="Q26">
        <f>(VLOOKUP("BC",Table3[[#All],[ABBR]:[Games]],15,FALSE) + VLOOKUP("BC",Table3[[#All],[ABBR]:[Games]],15,FALSE)) / VLOOKUP("BC",Table3[[#All],[ABBR]:[Games]],27,FALSE)</f>
        <v>11.944444444444445</v>
      </c>
    </row>
    <row r="27" spans="1:28" x14ac:dyDescent="0.25">
      <c r="D27">
        <f>D25/(D25+E25)</f>
        <v>0.49867197875166003</v>
      </c>
      <c r="G27">
        <f>G25/(G25+H25)</f>
        <v>0.50426547346523065</v>
      </c>
      <c r="I27">
        <f>$D27-G27</f>
        <v>-5.5934947135706237E-3</v>
      </c>
      <c r="J27">
        <f>J25/(J25+K25)</f>
        <v>0.48854437072551127</v>
      </c>
      <c r="L27">
        <f>$D27-J27</f>
        <v>1.012760802614876E-2</v>
      </c>
    </row>
    <row r="28" spans="1:28" x14ac:dyDescent="0.25">
      <c r="I28">
        <v>-7.1732524993405877E-3</v>
      </c>
      <c r="L28">
        <f>$D28-J28</f>
        <v>0</v>
      </c>
    </row>
    <row r="33" spans="16:16" x14ac:dyDescent="0.25">
      <c r="P33" s="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3620E-2011-4BC3-AE20-69375340A842}">
  <sheetPr codeName="Sheet3"/>
  <dimension ref="A1:AE23"/>
  <sheetViews>
    <sheetView workbookViewId="0">
      <selection activeCell="A2" sqref="A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1" x14ac:dyDescent="0.25">
      <c r="A2" t="s">
        <v>30</v>
      </c>
      <c r="B2">
        <v>68</v>
      </c>
      <c r="C2">
        <v>0.28199999999999997</v>
      </c>
      <c r="D2">
        <v>2359</v>
      </c>
      <c r="E2">
        <v>525</v>
      </c>
      <c r="F2">
        <v>666</v>
      </c>
      <c r="G2">
        <v>135</v>
      </c>
      <c r="H2">
        <v>13</v>
      </c>
      <c r="I2">
        <v>56</v>
      </c>
      <c r="J2">
        <v>470</v>
      </c>
      <c r="K2">
        <v>375</v>
      </c>
      <c r="L2">
        <v>82</v>
      </c>
      <c r="M2">
        <v>504</v>
      </c>
      <c r="N2">
        <v>31</v>
      </c>
      <c r="O2">
        <v>4</v>
      </c>
      <c r="P2">
        <v>44</v>
      </c>
      <c r="Q2">
        <v>58</v>
      </c>
      <c r="R2">
        <v>182</v>
      </c>
      <c r="S2">
        <v>42</v>
      </c>
      <c r="T2">
        <v>8</v>
      </c>
      <c r="U2">
        <v>0.39400000000000002</v>
      </c>
      <c r="V2">
        <v>0.42199999999999999</v>
      </c>
      <c r="W2">
        <v>0.81599999999999995</v>
      </c>
      <c r="X2">
        <v>2864</v>
      </c>
      <c r="Y2">
        <v>42.125</v>
      </c>
      <c r="Z2">
        <v>0.13100000000000001</v>
      </c>
      <c r="AA2">
        <v>0.74399999999999999</v>
      </c>
      <c r="AB2">
        <v>0.35799999999999998</v>
      </c>
      <c r="AC2">
        <v>0.13900000000000001</v>
      </c>
      <c r="AD2">
        <v>378.85700000000003</v>
      </c>
      <c r="AE2" s="1">
        <v>0.56000000000000005</v>
      </c>
    </row>
    <row r="3" spans="1:31" x14ac:dyDescent="0.25">
      <c r="A3" t="s">
        <v>32</v>
      </c>
      <c r="B3">
        <v>68</v>
      </c>
      <c r="C3">
        <v>0.27700000000000002</v>
      </c>
      <c r="D3">
        <v>2292</v>
      </c>
      <c r="E3">
        <v>426</v>
      </c>
      <c r="F3">
        <v>636</v>
      </c>
      <c r="G3">
        <v>99</v>
      </c>
      <c r="H3">
        <v>16</v>
      </c>
      <c r="I3">
        <v>43</v>
      </c>
      <c r="J3">
        <v>383</v>
      </c>
      <c r="K3">
        <v>368</v>
      </c>
      <c r="L3">
        <v>81</v>
      </c>
      <c r="M3">
        <v>548</v>
      </c>
      <c r="N3">
        <v>28</v>
      </c>
      <c r="O3">
        <v>8</v>
      </c>
      <c r="P3">
        <v>68</v>
      </c>
      <c r="Q3">
        <v>43</v>
      </c>
      <c r="R3">
        <v>130</v>
      </c>
      <c r="S3">
        <v>31</v>
      </c>
      <c r="T3">
        <v>11</v>
      </c>
      <c r="U3">
        <v>0.39200000000000002</v>
      </c>
      <c r="V3">
        <v>0.39100000000000001</v>
      </c>
      <c r="W3">
        <v>0.78300000000000003</v>
      </c>
      <c r="X3">
        <v>2792</v>
      </c>
      <c r="Y3">
        <v>53.302</v>
      </c>
      <c r="Z3">
        <v>0.13200000000000001</v>
      </c>
      <c r="AA3">
        <v>0.67200000000000004</v>
      </c>
      <c r="AB3">
        <v>0.317</v>
      </c>
      <c r="AC3">
        <v>0.113</v>
      </c>
      <c r="AD3">
        <v>338.18900000000002</v>
      </c>
      <c r="AE3" s="1">
        <v>0.58799999999999997</v>
      </c>
    </row>
    <row r="4" spans="1:31" x14ac:dyDescent="0.25">
      <c r="A4" t="s">
        <v>34</v>
      </c>
      <c r="B4">
        <v>72</v>
      </c>
      <c r="C4">
        <v>0.27400000000000002</v>
      </c>
      <c r="D4">
        <v>2436</v>
      </c>
      <c r="E4">
        <v>510</v>
      </c>
      <c r="F4">
        <v>667</v>
      </c>
      <c r="G4">
        <v>121</v>
      </c>
      <c r="H4">
        <v>9</v>
      </c>
      <c r="I4">
        <v>71</v>
      </c>
      <c r="J4">
        <v>456</v>
      </c>
      <c r="K4">
        <v>389</v>
      </c>
      <c r="L4">
        <v>93</v>
      </c>
      <c r="M4">
        <v>638</v>
      </c>
      <c r="N4">
        <v>34</v>
      </c>
      <c r="O4">
        <v>6</v>
      </c>
      <c r="P4">
        <v>66</v>
      </c>
      <c r="Q4">
        <v>52</v>
      </c>
      <c r="R4">
        <v>105</v>
      </c>
      <c r="S4">
        <v>37</v>
      </c>
      <c r="T4">
        <v>9</v>
      </c>
      <c r="U4">
        <v>0.38900000000000001</v>
      </c>
      <c r="V4">
        <v>0.41799999999999998</v>
      </c>
      <c r="W4">
        <v>0.80800000000000005</v>
      </c>
      <c r="X4">
        <v>2970</v>
      </c>
      <c r="Y4">
        <v>34.31</v>
      </c>
      <c r="Z4">
        <v>0.13100000000000001</v>
      </c>
      <c r="AA4">
        <v>0.61</v>
      </c>
      <c r="AB4">
        <v>0.33200000000000002</v>
      </c>
      <c r="AC4">
        <v>0.14399999999999999</v>
      </c>
      <c r="AD4">
        <v>380.90800000000002</v>
      </c>
      <c r="AE4" s="1">
        <v>0.6</v>
      </c>
    </row>
    <row r="5" spans="1:31" x14ac:dyDescent="0.25">
      <c r="A5" t="s">
        <v>38</v>
      </c>
      <c r="B5">
        <v>72</v>
      </c>
      <c r="C5">
        <v>0.26800000000000002</v>
      </c>
      <c r="D5">
        <v>2457</v>
      </c>
      <c r="E5">
        <v>519</v>
      </c>
      <c r="F5">
        <v>659</v>
      </c>
      <c r="G5">
        <v>133</v>
      </c>
      <c r="H5">
        <v>26</v>
      </c>
      <c r="I5">
        <v>44</v>
      </c>
      <c r="J5">
        <v>460</v>
      </c>
      <c r="K5">
        <v>418</v>
      </c>
      <c r="L5">
        <v>112</v>
      </c>
      <c r="M5">
        <v>590</v>
      </c>
      <c r="N5">
        <v>47</v>
      </c>
      <c r="O5">
        <v>11</v>
      </c>
      <c r="P5">
        <v>62</v>
      </c>
      <c r="Q5">
        <v>66</v>
      </c>
      <c r="R5">
        <v>125</v>
      </c>
      <c r="S5">
        <v>28</v>
      </c>
      <c r="T5">
        <v>8</v>
      </c>
      <c r="U5">
        <v>0.39200000000000002</v>
      </c>
      <c r="V5">
        <v>0.39700000000000002</v>
      </c>
      <c r="W5">
        <v>0.78900000000000003</v>
      </c>
      <c r="X5">
        <v>3064</v>
      </c>
      <c r="Y5">
        <v>55.841000000000001</v>
      </c>
      <c r="Z5">
        <v>0.13600000000000001</v>
      </c>
      <c r="AA5">
        <v>0.70799999999999996</v>
      </c>
      <c r="AB5">
        <v>0.33900000000000002</v>
      </c>
      <c r="AC5">
        <v>0.129</v>
      </c>
      <c r="AD5">
        <v>365.61799999999999</v>
      </c>
      <c r="AE5" s="1">
        <v>0.57099999999999995</v>
      </c>
    </row>
    <row r="6" spans="1:31" x14ac:dyDescent="0.25">
      <c r="A6" t="s">
        <v>36</v>
      </c>
      <c r="B6">
        <v>71</v>
      </c>
      <c r="C6">
        <v>0.26600000000000001</v>
      </c>
      <c r="D6">
        <v>2431</v>
      </c>
      <c r="E6">
        <v>516</v>
      </c>
      <c r="F6">
        <v>647</v>
      </c>
      <c r="G6">
        <v>96</v>
      </c>
      <c r="H6">
        <v>23</v>
      </c>
      <c r="I6">
        <v>25</v>
      </c>
      <c r="J6">
        <v>450</v>
      </c>
      <c r="K6">
        <v>472</v>
      </c>
      <c r="L6">
        <v>116</v>
      </c>
      <c r="M6">
        <v>559</v>
      </c>
      <c r="N6">
        <v>23</v>
      </c>
      <c r="O6">
        <v>39</v>
      </c>
      <c r="P6">
        <v>52</v>
      </c>
      <c r="Q6">
        <v>69</v>
      </c>
      <c r="R6">
        <v>122</v>
      </c>
      <c r="S6">
        <v>24</v>
      </c>
      <c r="T6">
        <v>10</v>
      </c>
      <c r="U6">
        <v>0.40600000000000003</v>
      </c>
      <c r="V6">
        <v>0.35499999999999998</v>
      </c>
      <c r="W6">
        <v>0.76100000000000001</v>
      </c>
      <c r="X6">
        <v>3093</v>
      </c>
      <c r="Y6">
        <v>97.24</v>
      </c>
      <c r="Z6">
        <v>0.153</v>
      </c>
      <c r="AA6">
        <v>0.84399999999999997</v>
      </c>
      <c r="AB6">
        <v>0.32400000000000001</v>
      </c>
      <c r="AC6">
        <v>8.8999999999999996E-2</v>
      </c>
      <c r="AD6">
        <v>333.04</v>
      </c>
      <c r="AE6" s="1">
        <v>0.58499999999999996</v>
      </c>
    </row>
    <row r="7" spans="1:31" x14ac:dyDescent="0.25">
      <c r="A7" t="s">
        <v>31</v>
      </c>
      <c r="B7">
        <v>68</v>
      </c>
      <c r="C7">
        <v>0.26300000000000001</v>
      </c>
      <c r="D7">
        <v>2301</v>
      </c>
      <c r="E7">
        <v>454</v>
      </c>
      <c r="F7">
        <v>606</v>
      </c>
      <c r="G7">
        <v>115</v>
      </c>
      <c r="H7">
        <v>15</v>
      </c>
      <c r="I7">
        <v>46</v>
      </c>
      <c r="J7">
        <v>402</v>
      </c>
      <c r="K7">
        <v>437</v>
      </c>
      <c r="L7">
        <v>81</v>
      </c>
      <c r="M7">
        <v>558</v>
      </c>
      <c r="N7">
        <v>30</v>
      </c>
      <c r="O7">
        <v>13</v>
      </c>
      <c r="P7">
        <v>53</v>
      </c>
      <c r="Q7">
        <v>57</v>
      </c>
      <c r="R7">
        <v>72</v>
      </c>
      <c r="S7">
        <v>23</v>
      </c>
      <c r="T7">
        <v>8</v>
      </c>
      <c r="U7">
        <v>0.39500000000000002</v>
      </c>
      <c r="V7">
        <v>0.38600000000000001</v>
      </c>
      <c r="W7">
        <v>0.78100000000000003</v>
      </c>
      <c r="X7">
        <v>2860</v>
      </c>
      <c r="Y7">
        <v>50.021999999999998</v>
      </c>
      <c r="Z7">
        <v>0.153</v>
      </c>
      <c r="AA7">
        <v>0.78300000000000003</v>
      </c>
      <c r="AB7">
        <v>0.33400000000000002</v>
      </c>
      <c r="AC7">
        <v>0.123</v>
      </c>
      <c r="AD7">
        <v>338.65100000000001</v>
      </c>
      <c r="AE7" s="1">
        <v>0.57799999999999996</v>
      </c>
    </row>
    <row r="8" spans="1:31" x14ac:dyDescent="0.25">
      <c r="A8" t="s">
        <v>47</v>
      </c>
      <c r="B8">
        <v>68</v>
      </c>
      <c r="C8">
        <v>0.26200000000000001</v>
      </c>
      <c r="D8">
        <v>2304</v>
      </c>
      <c r="E8">
        <v>455</v>
      </c>
      <c r="F8">
        <v>603</v>
      </c>
      <c r="G8">
        <v>107</v>
      </c>
      <c r="H8">
        <v>5</v>
      </c>
      <c r="I8">
        <v>37</v>
      </c>
      <c r="J8">
        <v>389</v>
      </c>
      <c r="K8">
        <v>425</v>
      </c>
      <c r="L8">
        <v>99</v>
      </c>
      <c r="M8">
        <v>624</v>
      </c>
      <c r="N8">
        <v>22</v>
      </c>
      <c r="O8">
        <v>10</v>
      </c>
      <c r="P8">
        <v>51</v>
      </c>
      <c r="Q8">
        <v>56</v>
      </c>
      <c r="R8">
        <v>164</v>
      </c>
      <c r="S8">
        <v>28</v>
      </c>
      <c r="T8">
        <v>14</v>
      </c>
      <c r="U8">
        <v>0.39500000000000002</v>
      </c>
      <c r="V8">
        <v>0.36099999999999999</v>
      </c>
      <c r="W8">
        <v>0.75600000000000001</v>
      </c>
      <c r="X8">
        <v>2870</v>
      </c>
      <c r="Y8">
        <v>62.27</v>
      </c>
      <c r="Z8">
        <v>0.14799999999999999</v>
      </c>
      <c r="AA8">
        <v>0.68100000000000005</v>
      </c>
      <c r="AB8">
        <v>0.34200000000000003</v>
      </c>
      <c r="AC8">
        <v>9.9000000000000005E-2</v>
      </c>
      <c r="AD8">
        <v>313.03300000000002</v>
      </c>
      <c r="AE8" s="1">
        <v>0.56499999999999995</v>
      </c>
    </row>
    <row r="9" spans="1:31" x14ac:dyDescent="0.25">
      <c r="A9" t="s">
        <v>48</v>
      </c>
      <c r="B9">
        <v>68</v>
      </c>
      <c r="C9">
        <v>0.25900000000000001</v>
      </c>
      <c r="D9">
        <v>2284</v>
      </c>
      <c r="E9">
        <v>403</v>
      </c>
      <c r="F9">
        <v>592</v>
      </c>
      <c r="G9">
        <v>78</v>
      </c>
      <c r="H9">
        <v>11</v>
      </c>
      <c r="I9">
        <v>29</v>
      </c>
      <c r="J9">
        <v>359</v>
      </c>
      <c r="K9">
        <v>404</v>
      </c>
      <c r="L9">
        <v>85</v>
      </c>
      <c r="M9">
        <v>528</v>
      </c>
      <c r="N9">
        <v>31</v>
      </c>
      <c r="O9">
        <v>15</v>
      </c>
      <c r="P9">
        <v>55</v>
      </c>
      <c r="Q9">
        <v>46</v>
      </c>
      <c r="R9">
        <v>91</v>
      </c>
      <c r="S9">
        <v>19</v>
      </c>
      <c r="T9">
        <v>9</v>
      </c>
      <c r="U9">
        <v>0.38600000000000001</v>
      </c>
      <c r="V9">
        <v>0.34100000000000003</v>
      </c>
      <c r="W9">
        <v>0.72699999999999998</v>
      </c>
      <c r="X9">
        <v>2829</v>
      </c>
      <c r="Y9">
        <v>78.759</v>
      </c>
      <c r="Z9">
        <v>0.14299999999999999</v>
      </c>
      <c r="AA9">
        <v>0.76500000000000001</v>
      </c>
      <c r="AB9">
        <v>0.28999999999999998</v>
      </c>
      <c r="AC9">
        <v>8.2000000000000003E-2</v>
      </c>
      <c r="AD9">
        <v>288.64699999999999</v>
      </c>
      <c r="AE9" s="1">
        <v>0.57599999999999996</v>
      </c>
    </row>
    <row r="10" spans="1:31" x14ac:dyDescent="0.25">
      <c r="A10" t="s">
        <v>37</v>
      </c>
      <c r="B10">
        <v>68</v>
      </c>
      <c r="C10">
        <v>0.25900000000000001</v>
      </c>
      <c r="D10">
        <v>2360</v>
      </c>
      <c r="E10">
        <v>368</v>
      </c>
      <c r="F10">
        <v>611</v>
      </c>
      <c r="G10">
        <v>95</v>
      </c>
      <c r="H10">
        <v>11</v>
      </c>
      <c r="I10">
        <v>36</v>
      </c>
      <c r="J10">
        <v>331</v>
      </c>
      <c r="K10">
        <v>355</v>
      </c>
      <c r="L10">
        <v>76</v>
      </c>
      <c r="M10">
        <v>545</v>
      </c>
      <c r="N10">
        <v>21</v>
      </c>
      <c r="O10">
        <v>3</v>
      </c>
      <c r="P10">
        <v>50</v>
      </c>
      <c r="Q10">
        <v>49</v>
      </c>
      <c r="R10">
        <v>87</v>
      </c>
      <c r="S10">
        <v>14</v>
      </c>
      <c r="T10">
        <v>6</v>
      </c>
      <c r="U10">
        <v>0.371</v>
      </c>
      <c r="V10">
        <v>0.35399999999999998</v>
      </c>
      <c r="W10">
        <v>0.72499999999999998</v>
      </c>
      <c r="X10">
        <v>2828</v>
      </c>
      <c r="Y10">
        <v>65.555999999999997</v>
      </c>
      <c r="Z10">
        <v>0.126</v>
      </c>
      <c r="AA10">
        <v>0.65100000000000002</v>
      </c>
      <c r="AB10">
        <v>0.27700000000000002</v>
      </c>
      <c r="AC10">
        <v>9.5000000000000001E-2</v>
      </c>
      <c r="AD10">
        <v>297.45</v>
      </c>
      <c r="AE10" s="1">
        <v>0.56299999999999994</v>
      </c>
    </row>
    <row r="11" spans="1:31" x14ac:dyDescent="0.25">
      <c r="A11" t="s">
        <v>33</v>
      </c>
      <c r="B11">
        <v>72</v>
      </c>
      <c r="C11">
        <v>0.25800000000000001</v>
      </c>
      <c r="D11">
        <v>2453</v>
      </c>
      <c r="E11">
        <v>430</v>
      </c>
      <c r="F11">
        <v>632</v>
      </c>
      <c r="G11">
        <v>125</v>
      </c>
      <c r="H11">
        <v>29</v>
      </c>
      <c r="I11">
        <v>16</v>
      </c>
      <c r="J11">
        <v>369</v>
      </c>
      <c r="K11">
        <v>366</v>
      </c>
      <c r="L11">
        <v>81</v>
      </c>
      <c r="M11">
        <v>609</v>
      </c>
      <c r="N11">
        <v>29</v>
      </c>
      <c r="O11">
        <v>9</v>
      </c>
      <c r="P11">
        <v>53</v>
      </c>
      <c r="Q11">
        <v>73</v>
      </c>
      <c r="R11">
        <v>106</v>
      </c>
      <c r="S11">
        <v>38</v>
      </c>
      <c r="T11">
        <v>7</v>
      </c>
      <c r="U11">
        <v>0.36799999999999999</v>
      </c>
      <c r="V11">
        <v>0.35199999999999998</v>
      </c>
      <c r="W11">
        <v>0.72</v>
      </c>
      <c r="X11">
        <v>2954</v>
      </c>
      <c r="Y11">
        <v>153.31299999999999</v>
      </c>
      <c r="Z11">
        <v>0.124</v>
      </c>
      <c r="AA11">
        <v>0.60099999999999998</v>
      </c>
      <c r="AB11">
        <v>0.27100000000000002</v>
      </c>
      <c r="AC11">
        <v>9.4E-2</v>
      </c>
      <c r="AD11">
        <v>305.52499999999998</v>
      </c>
      <c r="AE11" s="1">
        <v>0.53900000000000003</v>
      </c>
    </row>
    <row r="12" spans="1:31" x14ac:dyDescent="0.25">
      <c r="A12" t="s">
        <v>39</v>
      </c>
      <c r="B12">
        <v>72</v>
      </c>
      <c r="C12">
        <v>0.25700000000000001</v>
      </c>
      <c r="D12">
        <v>2420</v>
      </c>
      <c r="E12">
        <v>446</v>
      </c>
      <c r="F12">
        <v>621</v>
      </c>
      <c r="G12">
        <v>109</v>
      </c>
      <c r="H12">
        <v>18</v>
      </c>
      <c r="I12">
        <v>26</v>
      </c>
      <c r="J12">
        <v>393</v>
      </c>
      <c r="K12">
        <v>404</v>
      </c>
      <c r="L12">
        <v>94</v>
      </c>
      <c r="M12">
        <v>614</v>
      </c>
      <c r="N12">
        <v>34</v>
      </c>
      <c r="O12">
        <v>23</v>
      </c>
      <c r="P12">
        <v>66</v>
      </c>
      <c r="Q12">
        <v>75</v>
      </c>
      <c r="R12">
        <v>132</v>
      </c>
      <c r="S12">
        <v>30</v>
      </c>
      <c r="T12">
        <v>10</v>
      </c>
      <c r="U12">
        <v>0.379</v>
      </c>
      <c r="V12">
        <v>0.34899999999999998</v>
      </c>
      <c r="W12">
        <v>0.72799999999999998</v>
      </c>
      <c r="X12">
        <v>2988</v>
      </c>
      <c r="Y12">
        <v>93.076999999999998</v>
      </c>
      <c r="Z12">
        <v>0.13500000000000001</v>
      </c>
      <c r="AA12">
        <v>0.65800000000000003</v>
      </c>
      <c r="AB12">
        <v>0.30099999999999999</v>
      </c>
      <c r="AC12">
        <v>9.1999999999999998E-2</v>
      </c>
      <c r="AD12">
        <v>306.339</v>
      </c>
      <c r="AE12" s="1">
        <v>0.56599999999999995</v>
      </c>
    </row>
    <row r="13" spans="1:31" x14ac:dyDescent="0.25">
      <c r="A13" t="s">
        <v>42</v>
      </c>
      <c r="B13">
        <v>71</v>
      </c>
      <c r="C13">
        <v>0.25</v>
      </c>
      <c r="D13">
        <v>2389</v>
      </c>
      <c r="E13">
        <v>401</v>
      </c>
      <c r="F13">
        <v>598</v>
      </c>
      <c r="G13">
        <v>114</v>
      </c>
      <c r="H13">
        <v>18</v>
      </c>
      <c r="I13">
        <v>32</v>
      </c>
      <c r="J13">
        <v>363</v>
      </c>
      <c r="K13">
        <v>353</v>
      </c>
      <c r="L13">
        <v>95</v>
      </c>
      <c r="M13">
        <v>592</v>
      </c>
      <c r="N13">
        <v>29</v>
      </c>
      <c r="O13">
        <v>11</v>
      </c>
      <c r="P13">
        <v>51</v>
      </c>
      <c r="Q13">
        <v>69</v>
      </c>
      <c r="R13">
        <v>152</v>
      </c>
      <c r="S13">
        <v>39</v>
      </c>
      <c r="T13">
        <v>11</v>
      </c>
      <c r="U13">
        <v>0.36499999999999999</v>
      </c>
      <c r="V13">
        <v>0.35299999999999998</v>
      </c>
      <c r="W13">
        <v>0.71799999999999997</v>
      </c>
      <c r="X13">
        <v>2888</v>
      </c>
      <c r="Y13">
        <v>74.656000000000006</v>
      </c>
      <c r="Z13">
        <v>0.122</v>
      </c>
      <c r="AA13">
        <v>0.59599999999999997</v>
      </c>
      <c r="AB13">
        <v>0.29799999999999999</v>
      </c>
      <c r="AC13">
        <v>0.10299999999999999</v>
      </c>
      <c r="AD13">
        <v>292.72199999999998</v>
      </c>
      <c r="AE13" s="1">
        <v>0.53800000000000003</v>
      </c>
    </row>
    <row r="14" spans="1:31" x14ac:dyDescent="0.25">
      <c r="A14" t="s">
        <v>45</v>
      </c>
      <c r="B14">
        <v>72</v>
      </c>
      <c r="C14">
        <v>0.25</v>
      </c>
      <c r="D14">
        <v>2360</v>
      </c>
      <c r="E14">
        <v>448</v>
      </c>
      <c r="F14">
        <v>590</v>
      </c>
      <c r="G14">
        <v>94</v>
      </c>
      <c r="H14">
        <v>21</v>
      </c>
      <c r="I14">
        <v>17</v>
      </c>
      <c r="J14">
        <v>391</v>
      </c>
      <c r="K14">
        <v>421</v>
      </c>
      <c r="L14">
        <v>96</v>
      </c>
      <c r="M14">
        <v>544</v>
      </c>
      <c r="N14">
        <v>37</v>
      </c>
      <c r="O14">
        <v>21</v>
      </c>
      <c r="P14">
        <v>74</v>
      </c>
      <c r="Q14">
        <v>67</v>
      </c>
      <c r="R14">
        <v>203</v>
      </c>
      <c r="S14">
        <v>49</v>
      </c>
      <c r="T14">
        <v>13</v>
      </c>
      <c r="U14">
        <v>0.38</v>
      </c>
      <c r="V14">
        <v>0.32900000000000001</v>
      </c>
      <c r="W14">
        <v>0.70899999999999996</v>
      </c>
      <c r="X14">
        <v>2963</v>
      </c>
      <c r="Y14">
        <v>138.82400000000001</v>
      </c>
      <c r="Z14">
        <v>0.14199999999999999</v>
      </c>
      <c r="AA14">
        <v>0.77400000000000002</v>
      </c>
      <c r="AB14">
        <v>0.32300000000000001</v>
      </c>
      <c r="AC14">
        <v>7.9000000000000001E-2</v>
      </c>
      <c r="AD14">
        <v>282.46899999999999</v>
      </c>
      <c r="AE14" s="1">
        <v>0.55200000000000005</v>
      </c>
    </row>
    <row r="15" spans="1:31" x14ac:dyDescent="0.25">
      <c r="A15" t="s">
        <v>35</v>
      </c>
      <c r="B15">
        <v>68</v>
      </c>
      <c r="C15">
        <v>0.249</v>
      </c>
      <c r="D15">
        <v>2279</v>
      </c>
      <c r="E15">
        <v>431</v>
      </c>
      <c r="F15">
        <v>567</v>
      </c>
      <c r="G15">
        <v>115</v>
      </c>
      <c r="H15">
        <v>8</v>
      </c>
      <c r="I15">
        <v>45</v>
      </c>
      <c r="J15">
        <v>369</v>
      </c>
      <c r="K15">
        <v>386</v>
      </c>
      <c r="L15">
        <v>90</v>
      </c>
      <c r="M15">
        <v>694</v>
      </c>
      <c r="N15">
        <v>36</v>
      </c>
      <c r="O15">
        <v>7</v>
      </c>
      <c r="P15">
        <v>53</v>
      </c>
      <c r="Q15">
        <v>59</v>
      </c>
      <c r="R15">
        <v>109</v>
      </c>
      <c r="S15">
        <v>21</v>
      </c>
      <c r="T15">
        <v>7</v>
      </c>
      <c r="U15">
        <v>0.374</v>
      </c>
      <c r="V15">
        <v>0.36599999999999999</v>
      </c>
      <c r="W15">
        <v>0.73899999999999999</v>
      </c>
      <c r="X15">
        <v>2797</v>
      </c>
      <c r="Y15">
        <v>50.643999999999998</v>
      </c>
      <c r="Z15">
        <v>0.13800000000000001</v>
      </c>
      <c r="AA15">
        <v>0.55600000000000005</v>
      </c>
      <c r="AB15">
        <v>0.32500000000000001</v>
      </c>
      <c r="AC15">
        <v>0.11700000000000001</v>
      </c>
      <c r="AD15">
        <v>297.88</v>
      </c>
      <c r="AE15" s="1">
        <v>0.54</v>
      </c>
    </row>
    <row r="16" spans="1:31" x14ac:dyDescent="0.25">
      <c r="A16" t="s">
        <v>43</v>
      </c>
      <c r="B16">
        <v>72</v>
      </c>
      <c r="C16">
        <v>0.249</v>
      </c>
      <c r="D16">
        <v>2424</v>
      </c>
      <c r="E16">
        <v>398</v>
      </c>
      <c r="F16">
        <v>604</v>
      </c>
      <c r="G16">
        <v>99</v>
      </c>
      <c r="H16">
        <v>10</v>
      </c>
      <c r="I16">
        <v>49</v>
      </c>
      <c r="J16">
        <v>337</v>
      </c>
      <c r="K16">
        <v>377</v>
      </c>
      <c r="L16">
        <v>55</v>
      </c>
      <c r="M16">
        <v>646</v>
      </c>
      <c r="N16">
        <v>21</v>
      </c>
      <c r="O16">
        <v>12</v>
      </c>
      <c r="P16">
        <v>50</v>
      </c>
      <c r="Q16">
        <v>63</v>
      </c>
      <c r="R16">
        <v>126</v>
      </c>
      <c r="S16">
        <v>30</v>
      </c>
      <c r="T16">
        <v>13</v>
      </c>
      <c r="U16">
        <v>0.36</v>
      </c>
      <c r="V16">
        <v>0.35899999999999999</v>
      </c>
      <c r="W16">
        <v>0.71899999999999997</v>
      </c>
      <c r="X16">
        <v>2907</v>
      </c>
      <c r="Y16">
        <v>49.469000000000001</v>
      </c>
      <c r="Z16">
        <v>0.13</v>
      </c>
      <c r="AA16">
        <v>0.58399999999999996</v>
      </c>
      <c r="AB16">
        <v>0.30499999999999999</v>
      </c>
      <c r="AC16">
        <v>0.11</v>
      </c>
      <c r="AD16">
        <v>304.702</v>
      </c>
      <c r="AE16" s="1">
        <v>0.57099999999999995</v>
      </c>
    </row>
    <row r="17" spans="1:31" x14ac:dyDescent="0.25">
      <c r="A17" t="s">
        <v>44</v>
      </c>
      <c r="B17">
        <v>68</v>
      </c>
      <c r="C17">
        <v>0.247</v>
      </c>
      <c r="D17">
        <v>2321</v>
      </c>
      <c r="E17">
        <v>374</v>
      </c>
      <c r="F17">
        <v>573</v>
      </c>
      <c r="G17">
        <v>106</v>
      </c>
      <c r="H17">
        <v>10</v>
      </c>
      <c r="I17">
        <v>28</v>
      </c>
      <c r="J17">
        <v>322</v>
      </c>
      <c r="K17">
        <v>376</v>
      </c>
      <c r="L17">
        <v>104</v>
      </c>
      <c r="M17">
        <v>607</v>
      </c>
      <c r="N17">
        <v>26</v>
      </c>
      <c r="O17">
        <v>8</v>
      </c>
      <c r="P17">
        <v>68</v>
      </c>
      <c r="Q17">
        <v>55</v>
      </c>
      <c r="R17">
        <v>81</v>
      </c>
      <c r="S17">
        <v>16</v>
      </c>
      <c r="T17">
        <v>10</v>
      </c>
      <c r="U17">
        <v>0.372</v>
      </c>
      <c r="V17">
        <v>0.33700000000000002</v>
      </c>
      <c r="W17">
        <v>0.71</v>
      </c>
      <c r="X17">
        <v>2849</v>
      </c>
      <c r="Y17">
        <v>82.893000000000001</v>
      </c>
      <c r="Z17">
        <v>0.13200000000000001</v>
      </c>
      <c r="AA17">
        <v>0.61899999999999999</v>
      </c>
      <c r="AB17">
        <v>0.28000000000000003</v>
      </c>
      <c r="AC17">
        <v>0.09</v>
      </c>
      <c r="AD17">
        <v>275.51600000000002</v>
      </c>
      <c r="AE17" s="1">
        <v>0.58599999999999997</v>
      </c>
    </row>
    <row r="18" spans="1:31" x14ac:dyDescent="0.25">
      <c r="A18" t="s">
        <v>40</v>
      </c>
      <c r="B18">
        <v>68</v>
      </c>
      <c r="C18">
        <v>0.246</v>
      </c>
      <c r="D18">
        <v>2278</v>
      </c>
      <c r="E18">
        <v>357</v>
      </c>
      <c r="F18">
        <v>561</v>
      </c>
      <c r="G18">
        <v>91</v>
      </c>
      <c r="H18">
        <v>23</v>
      </c>
      <c r="I18">
        <v>14</v>
      </c>
      <c r="J18">
        <v>320</v>
      </c>
      <c r="K18">
        <v>370</v>
      </c>
      <c r="L18">
        <v>74</v>
      </c>
      <c r="M18">
        <v>592</v>
      </c>
      <c r="N18">
        <v>24</v>
      </c>
      <c r="O18">
        <v>13</v>
      </c>
      <c r="P18">
        <v>65</v>
      </c>
      <c r="Q18">
        <v>55</v>
      </c>
      <c r="R18">
        <v>167</v>
      </c>
      <c r="S18">
        <v>33</v>
      </c>
      <c r="T18">
        <v>7</v>
      </c>
      <c r="U18">
        <v>0.36599999999999999</v>
      </c>
      <c r="V18">
        <v>0.32500000000000001</v>
      </c>
      <c r="W18">
        <v>0.69099999999999995</v>
      </c>
      <c r="X18">
        <v>2766</v>
      </c>
      <c r="Y18">
        <v>162.714</v>
      </c>
      <c r="Z18">
        <v>0.13400000000000001</v>
      </c>
      <c r="AA18">
        <v>0.625</v>
      </c>
      <c r="AB18">
        <v>0.3</v>
      </c>
      <c r="AC18">
        <v>7.9000000000000001E-2</v>
      </c>
      <c r="AD18">
        <v>260.17399999999998</v>
      </c>
      <c r="AE18" s="1">
        <v>0.56899999999999995</v>
      </c>
    </row>
    <row r="19" spans="1:31" x14ac:dyDescent="0.25">
      <c r="A19" t="s">
        <v>41</v>
      </c>
      <c r="B19">
        <v>72</v>
      </c>
      <c r="C19">
        <v>0.246</v>
      </c>
      <c r="D19">
        <v>2428</v>
      </c>
      <c r="E19">
        <v>394</v>
      </c>
      <c r="F19">
        <v>598</v>
      </c>
      <c r="G19">
        <v>102</v>
      </c>
      <c r="H19">
        <v>16</v>
      </c>
      <c r="I19">
        <v>35</v>
      </c>
      <c r="J19">
        <v>341</v>
      </c>
      <c r="K19">
        <v>334</v>
      </c>
      <c r="L19">
        <v>71</v>
      </c>
      <c r="M19">
        <v>562</v>
      </c>
      <c r="N19">
        <v>20</v>
      </c>
      <c r="O19">
        <v>2</v>
      </c>
      <c r="P19">
        <v>71</v>
      </c>
      <c r="Q19">
        <v>52</v>
      </c>
      <c r="R19">
        <v>52</v>
      </c>
      <c r="S19">
        <v>22</v>
      </c>
      <c r="T19">
        <v>4</v>
      </c>
      <c r="U19">
        <v>0.35199999999999998</v>
      </c>
      <c r="V19">
        <v>0.34499999999999997</v>
      </c>
      <c r="W19">
        <v>0.69599999999999995</v>
      </c>
      <c r="X19">
        <v>2868</v>
      </c>
      <c r="Y19">
        <v>69.370999999999995</v>
      </c>
      <c r="Z19">
        <v>0.11600000000000001</v>
      </c>
      <c r="AA19">
        <v>0.59399999999999997</v>
      </c>
      <c r="AB19">
        <v>0.248</v>
      </c>
      <c r="AC19">
        <v>9.8000000000000004E-2</v>
      </c>
      <c r="AD19">
        <v>282.43400000000003</v>
      </c>
      <c r="AE19" s="1">
        <v>0.54100000000000004</v>
      </c>
    </row>
    <row r="20" spans="1:31" x14ac:dyDescent="0.25">
      <c r="A20" t="s">
        <v>50</v>
      </c>
      <c r="B20">
        <v>72</v>
      </c>
      <c r="C20">
        <v>0.24</v>
      </c>
      <c r="D20">
        <v>2354</v>
      </c>
      <c r="E20">
        <v>422</v>
      </c>
      <c r="F20">
        <v>565</v>
      </c>
      <c r="G20">
        <v>95</v>
      </c>
      <c r="H20">
        <v>11</v>
      </c>
      <c r="I20">
        <v>50</v>
      </c>
      <c r="J20">
        <v>358</v>
      </c>
      <c r="K20">
        <v>431</v>
      </c>
      <c r="L20">
        <v>57</v>
      </c>
      <c r="M20">
        <v>593</v>
      </c>
      <c r="N20">
        <v>24</v>
      </c>
      <c r="O20">
        <v>8</v>
      </c>
      <c r="P20">
        <v>67</v>
      </c>
      <c r="Q20">
        <v>57</v>
      </c>
      <c r="R20">
        <v>82</v>
      </c>
      <c r="S20">
        <v>29</v>
      </c>
      <c r="T20">
        <v>10</v>
      </c>
      <c r="U20">
        <v>0.36699999999999999</v>
      </c>
      <c r="V20">
        <v>0.35299999999999998</v>
      </c>
      <c r="W20">
        <v>0.72099999999999997</v>
      </c>
      <c r="X20">
        <v>2888</v>
      </c>
      <c r="Y20">
        <v>47.08</v>
      </c>
      <c r="Z20">
        <v>0.14899999999999999</v>
      </c>
      <c r="AA20">
        <v>0.72699999999999998</v>
      </c>
      <c r="AB20">
        <v>0.31900000000000001</v>
      </c>
      <c r="AC20">
        <v>0.113</v>
      </c>
      <c r="AD20">
        <v>297.548</v>
      </c>
      <c r="AE20" s="1">
        <v>0.54600000000000004</v>
      </c>
    </row>
    <row r="21" spans="1:31" x14ac:dyDescent="0.25">
      <c r="A21" t="s">
        <v>49</v>
      </c>
      <c r="B21">
        <v>72</v>
      </c>
      <c r="C21">
        <v>0.23599999999999999</v>
      </c>
      <c r="D21">
        <v>2377</v>
      </c>
      <c r="E21">
        <v>348</v>
      </c>
      <c r="F21">
        <v>562</v>
      </c>
      <c r="G21">
        <v>107</v>
      </c>
      <c r="H21">
        <v>9</v>
      </c>
      <c r="I21">
        <v>50</v>
      </c>
      <c r="J21">
        <v>319</v>
      </c>
      <c r="K21">
        <v>386</v>
      </c>
      <c r="L21">
        <v>53</v>
      </c>
      <c r="M21">
        <v>644</v>
      </c>
      <c r="N21">
        <v>20</v>
      </c>
      <c r="O21">
        <v>13</v>
      </c>
      <c r="P21">
        <v>59</v>
      </c>
      <c r="Q21">
        <v>51</v>
      </c>
      <c r="R21">
        <v>92</v>
      </c>
      <c r="S21">
        <v>18</v>
      </c>
      <c r="T21">
        <v>7</v>
      </c>
      <c r="U21">
        <v>0.35299999999999998</v>
      </c>
      <c r="V21">
        <v>0.35199999999999998</v>
      </c>
      <c r="W21">
        <v>0.70499999999999996</v>
      </c>
      <c r="X21">
        <v>2862</v>
      </c>
      <c r="Y21">
        <v>47.54</v>
      </c>
      <c r="Z21">
        <v>0.13500000000000001</v>
      </c>
      <c r="AA21">
        <v>0.59899999999999998</v>
      </c>
      <c r="AB21">
        <v>0.309</v>
      </c>
      <c r="AC21">
        <v>0.11600000000000001</v>
      </c>
      <c r="AD21">
        <v>287.17899999999997</v>
      </c>
      <c r="AE21" s="1">
        <v>0.52600000000000002</v>
      </c>
    </row>
    <row r="22" spans="1:31" x14ac:dyDescent="0.25">
      <c r="A22" t="s">
        <v>51</v>
      </c>
      <c r="B22">
        <v>36</v>
      </c>
      <c r="C22">
        <v>0.23</v>
      </c>
      <c r="D22">
        <v>1210</v>
      </c>
      <c r="E22">
        <v>175</v>
      </c>
      <c r="F22">
        <v>278</v>
      </c>
      <c r="G22">
        <v>44</v>
      </c>
      <c r="H22">
        <v>5</v>
      </c>
      <c r="I22">
        <v>17</v>
      </c>
      <c r="J22">
        <v>152</v>
      </c>
      <c r="K22">
        <v>193</v>
      </c>
      <c r="L22">
        <v>40</v>
      </c>
      <c r="M22">
        <v>359</v>
      </c>
      <c r="N22">
        <v>13</v>
      </c>
      <c r="O22">
        <v>2</v>
      </c>
      <c r="P22">
        <v>32</v>
      </c>
      <c r="Q22">
        <v>29</v>
      </c>
      <c r="R22">
        <v>42</v>
      </c>
      <c r="S22">
        <v>19</v>
      </c>
      <c r="T22">
        <v>6</v>
      </c>
      <c r="U22">
        <v>0.35099999999999998</v>
      </c>
      <c r="V22">
        <v>0.317</v>
      </c>
      <c r="W22">
        <v>0.66700000000000004</v>
      </c>
      <c r="X22">
        <v>1466</v>
      </c>
      <c r="Y22">
        <v>71.176000000000002</v>
      </c>
      <c r="Z22">
        <v>0.13200000000000001</v>
      </c>
      <c r="AA22">
        <v>0.53800000000000003</v>
      </c>
      <c r="AB22">
        <v>0.26500000000000001</v>
      </c>
      <c r="AC22">
        <v>8.6999999999999994E-2</v>
      </c>
      <c r="AD22">
        <v>128.577</v>
      </c>
      <c r="AE22" s="1">
        <v>0.54100000000000004</v>
      </c>
    </row>
    <row r="23" spans="1:31" x14ac:dyDescent="0.25">
      <c r="A23" t="s">
        <v>46</v>
      </c>
      <c r="B23">
        <v>72</v>
      </c>
      <c r="C23">
        <v>0.22700000000000001</v>
      </c>
      <c r="D23">
        <v>2392</v>
      </c>
      <c r="E23">
        <v>325</v>
      </c>
      <c r="F23">
        <v>544</v>
      </c>
      <c r="G23">
        <v>99</v>
      </c>
      <c r="H23">
        <v>14</v>
      </c>
      <c r="I23">
        <v>14</v>
      </c>
      <c r="J23">
        <v>267</v>
      </c>
      <c r="K23">
        <v>330</v>
      </c>
      <c r="L23">
        <v>73</v>
      </c>
      <c r="M23">
        <v>600</v>
      </c>
      <c r="N23">
        <v>12</v>
      </c>
      <c r="O23">
        <v>14</v>
      </c>
      <c r="P23">
        <v>65</v>
      </c>
      <c r="Q23">
        <v>74</v>
      </c>
      <c r="R23">
        <v>114</v>
      </c>
      <c r="S23">
        <v>29</v>
      </c>
      <c r="T23">
        <v>6</v>
      </c>
      <c r="U23">
        <v>0.33700000000000002</v>
      </c>
      <c r="V23">
        <v>0.29799999999999999</v>
      </c>
      <c r="W23">
        <v>0.63500000000000001</v>
      </c>
      <c r="X23">
        <v>2834</v>
      </c>
      <c r="Y23">
        <v>170.857</v>
      </c>
      <c r="Z23">
        <v>0.11600000000000001</v>
      </c>
      <c r="AA23">
        <v>0.55000000000000004</v>
      </c>
      <c r="AB23">
        <v>0.24399999999999999</v>
      </c>
      <c r="AC23">
        <v>7.0999999999999994E-2</v>
      </c>
      <c r="AD23">
        <v>228.935</v>
      </c>
      <c r="AE23" s="1">
        <v>0.53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AD2D-C6F0-45C3-BCAA-8416D239628E}">
  <sheetPr codeName="Sheet4"/>
  <dimension ref="A1:AF23"/>
  <sheetViews>
    <sheetView workbookViewId="0">
      <selection activeCell="A2" sqref="A2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</v>
      </c>
      <c r="J1" t="s">
        <v>4</v>
      </c>
      <c r="K1" t="s">
        <v>58</v>
      </c>
      <c r="L1" t="s">
        <v>10</v>
      </c>
      <c r="M1" t="s">
        <v>12</v>
      </c>
      <c r="N1" t="s">
        <v>6</v>
      </c>
      <c r="O1" t="s">
        <v>7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8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73</v>
      </c>
      <c r="AF1" t="s">
        <v>163</v>
      </c>
    </row>
    <row r="2" spans="1:32" x14ac:dyDescent="0.25">
      <c r="A2" t="s">
        <v>34</v>
      </c>
      <c r="B2">
        <v>72</v>
      </c>
      <c r="C2">
        <v>72</v>
      </c>
      <c r="D2">
        <v>0</v>
      </c>
      <c r="E2">
        <v>57</v>
      </c>
      <c r="F2">
        <v>15</v>
      </c>
      <c r="G2">
        <v>23</v>
      </c>
      <c r="H2">
        <v>642</v>
      </c>
      <c r="I2">
        <v>529</v>
      </c>
      <c r="J2">
        <v>310</v>
      </c>
      <c r="K2">
        <v>259</v>
      </c>
      <c r="L2">
        <v>368</v>
      </c>
      <c r="M2">
        <v>620</v>
      </c>
      <c r="N2">
        <v>76</v>
      </c>
      <c r="O2">
        <v>6</v>
      </c>
      <c r="P2">
        <v>3.63</v>
      </c>
      <c r="Q2">
        <v>2854</v>
      </c>
      <c r="R2">
        <v>8</v>
      </c>
      <c r="S2">
        <v>1</v>
      </c>
      <c r="T2">
        <v>0</v>
      </c>
      <c r="U2">
        <v>48</v>
      </c>
      <c r="V2">
        <v>0.22900000000000001</v>
      </c>
      <c r="W2">
        <v>59</v>
      </c>
      <c r="X2">
        <v>62</v>
      </c>
      <c r="Y2">
        <v>1.4</v>
      </c>
      <c r="Z2">
        <v>1.54</v>
      </c>
      <c r="AA2">
        <v>0.95599999999999996</v>
      </c>
      <c r="AB2">
        <v>8.69</v>
      </c>
      <c r="AC2">
        <v>3.74</v>
      </c>
      <c r="AD2">
        <v>912.38</v>
      </c>
      <c r="AE2" s="1">
        <v>0.56299999999999994</v>
      </c>
      <c r="AF2">
        <f>DOLLARDE(Table2[[#This Row],[IP]],3)</f>
        <v>642</v>
      </c>
    </row>
    <row r="3" spans="1:32" x14ac:dyDescent="0.25">
      <c r="A3" t="s">
        <v>30</v>
      </c>
      <c r="B3">
        <v>68</v>
      </c>
      <c r="C3">
        <v>68</v>
      </c>
      <c r="D3">
        <v>1</v>
      </c>
      <c r="E3">
        <v>48</v>
      </c>
      <c r="F3">
        <v>20</v>
      </c>
      <c r="G3">
        <v>20</v>
      </c>
      <c r="H3">
        <v>609</v>
      </c>
      <c r="I3">
        <v>571</v>
      </c>
      <c r="J3">
        <v>318</v>
      </c>
      <c r="K3">
        <v>248</v>
      </c>
      <c r="L3">
        <v>277</v>
      </c>
      <c r="M3">
        <v>625</v>
      </c>
      <c r="N3">
        <v>98</v>
      </c>
      <c r="O3">
        <v>6</v>
      </c>
      <c r="P3">
        <v>3.67</v>
      </c>
      <c r="Q3">
        <v>2712</v>
      </c>
      <c r="R3">
        <v>7</v>
      </c>
      <c r="S3">
        <v>6</v>
      </c>
      <c r="T3">
        <v>0</v>
      </c>
      <c r="U3">
        <v>35</v>
      </c>
      <c r="V3">
        <v>0.252</v>
      </c>
      <c r="W3">
        <v>59</v>
      </c>
      <c r="X3">
        <v>74</v>
      </c>
      <c r="Y3">
        <v>1.39</v>
      </c>
      <c r="Z3">
        <v>1.48</v>
      </c>
      <c r="AA3">
        <v>0.97599999999999998</v>
      </c>
      <c r="AB3">
        <v>9.24</v>
      </c>
      <c r="AC3">
        <v>3.91</v>
      </c>
      <c r="AD3">
        <v>890.01</v>
      </c>
      <c r="AE3" s="1">
        <v>0.59099999999999997</v>
      </c>
      <c r="AF3">
        <f>DOLLARDE(Table2[[#This Row],[IP]],3)</f>
        <v>609</v>
      </c>
    </row>
    <row r="4" spans="1:32" x14ac:dyDescent="0.25">
      <c r="A4" t="s">
        <v>31</v>
      </c>
      <c r="B4">
        <v>68</v>
      </c>
      <c r="C4">
        <v>68</v>
      </c>
      <c r="D4">
        <v>0</v>
      </c>
      <c r="E4">
        <v>50</v>
      </c>
      <c r="F4">
        <v>18</v>
      </c>
      <c r="G4">
        <v>16</v>
      </c>
      <c r="H4">
        <v>606.20000000000005</v>
      </c>
      <c r="I4">
        <v>502</v>
      </c>
      <c r="J4">
        <v>279</v>
      </c>
      <c r="K4">
        <v>250</v>
      </c>
      <c r="L4">
        <v>303</v>
      </c>
      <c r="M4">
        <v>584</v>
      </c>
      <c r="N4">
        <v>91</v>
      </c>
      <c r="O4">
        <v>16</v>
      </c>
      <c r="P4">
        <v>3.71</v>
      </c>
      <c r="Q4">
        <v>2647</v>
      </c>
      <c r="R4">
        <v>3</v>
      </c>
      <c r="S4">
        <v>3</v>
      </c>
      <c r="T4">
        <v>0</v>
      </c>
      <c r="U4">
        <v>32</v>
      </c>
      <c r="V4">
        <v>0.22900000000000001</v>
      </c>
      <c r="W4">
        <v>65</v>
      </c>
      <c r="X4">
        <v>73</v>
      </c>
      <c r="Y4">
        <v>1.33</v>
      </c>
      <c r="Z4">
        <v>1.46</v>
      </c>
      <c r="AA4">
        <v>0.95499999999999996</v>
      </c>
      <c r="AB4">
        <v>8.66</v>
      </c>
      <c r="AC4">
        <v>3.46</v>
      </c>
      <c r="AD4">
        <v>817.49</v>
      </c>
      <c r="AE4" s="1">
        <v>0.57399999999999995</v>
      </c>
      <c r="AF4">
        <f>DOLLARDE(Table2[[#This Row],[IP]],3)</f>
        <v>606.66666666666686</v>
      </c>
    </row>
    <row r="5" spans="1:32" x14ac:dyDescent="0.25">
      <c r="A5" t="s">
        <v>45</v>
      </c>
      <c r="B5">
        <v>72</v>
      </c>
      <c r="C5">
        <v>72</v>
      </c>
      <c r="D5">
        <v>1</v>
      </c>
      <c r="E5">
        <v>45</v>
      </c>
      <c r="F5">
        <v>27</v>
      </c>
      <c r="G5">
        <v>14</v>
      </c>
      <c r="H5">
        <v>641</v>
      </c>
      <c r="I5">
        <v>574</v>
      </c>
      <c r="J5">
        <v>344</v>
      </c>
      <c r="K5">
        <v>282</v>
      </c>
      <c r="L5">
        <v>313</v>
      </c>
      <c r="M5">
        <v>608</v>
      </c>
      <c r="N5">
        <v>114</v>
      </c>
      <c r="O5">
        <v>31</v>
      </c>
      <c r="P5">
        <v>3.96</v>
      </c>
      <c r="Q5">
        <v>2870</v>
      </c>
      <c r="R5">
        <v>4</v>
      </c>
      <c r="S5">
        <v>6</v>
      </c>
      <c r="T5">
        <v>1</v>
      </c>
      <c r="U5">
        <v>21</v>
      </c>
      <c r="V5">
        <v>0.24099999999999999</v>
      </c>
      <c r="W5">
        <v>74</v>
      </c>
      <c r="X5">
        <v>72</v>
      </c>
      <c r="Y5">
        <v>1.38</v>
      </c>
      <c r="Z5">
        <v>1.44</v>
      </c>
      <c r="AA5">
        <v>0.97</v>
      </c>
      <c r="AB5">
        <v>8.5399999999999991</v>
      </c>
      <c r="AC5">
        <v>3.55</v>
      </c>
      <c r="AD5">
        <v>875.31</v>
      </c>
      <c r="AE5" s="1">
        <v>0.57399999999999995</v>
      </c>
      <c r="AF5">
        <f>DOLLARDE(Table2[[#This Row],[IP]],3)</f>
        <v>641</v>
      </c>
    </row>
    <row r="6" spans="1:32" x14ac:dyDescent="0.25">
      <c r="A6" t="s">
        <v>39</v>
      </c>
      <c r="B6">
        <v>72</v>
      </c>
      <c r="C6">
        <v>71</v>
      </c>
      <c r="D6">
        <v>0</v>
      </c>
      <c r="E6">
        <v>37</v>
      </c>
      <c r="F6">
        <v>35</v>
      </c>
      <c r="G6">
        <v>16</v>
      </c>
      <c r="H6">
        <v>631</v>
      </c>
      <c r="I6">
        <v>579</v>
      </c>
      <c r="J6">
        <v>386</v>
      </c>
      <c r="K6">
        <v>310</v>
      </c>
      <c r="L6">
        <v>392</v>
      </c>
      <c r="M6">
        <v>563</v>
      </c>
      <c r="N6">
        <v>109</v>
      </c>
      <c r="O6">
        <v>7</v>
      </c>
      <c r="P6">
        <v>4.42</v>
      </c>
      <c r="Q6">
        <v>2908</v>
      </c>
      <c r="R6">
        <v>3</v>
      </c>
      <c r="S6">
        <v>4</v>
      </c>
      <c r="T6">
        <v>0</v>
      </c>
      <c r="U6">
        <v>19</v>
      </c>
      <c r="V6">
        <v>0.249</v>
      </c>
      <c r="W6">
        <v>74</v>
      </c>
      <c r="X6">
        <v>82</v>
      </c>
      <c r="Y6">
        <v>1.54</v>
      </c>
      <c r="Z6">
        <v>1.51</v>
      </c>
      <c r="AA6">
        <v>0.96099999999999997</v>
      </c>
      <c r="AB6">
        <v>8.0299999999999994</v>
      </c>
      <c r="AC6">
        <v>4.18</v>
      </c>
      <c r="AD6">
        <v>918.28</v>
      </c>
      <c r="AE6" s="1">
        <v>0.56499999999999995</v>
      </c>
      <c r="AF6">
        <f>DOLLARDE(Table2[[#This Row],[IP]],3)</f>
        <v>631</v>
      </c>
    </row>
    <row r="7" spans="1:32" x14ac:dyDescent="0.25">
      <c r="A7" t="s">
        <v>48</v>
      </c>
      <c r="B7">
        <v>68</v>
      </c>
      <c r="C7">
        <v>68</v>
      </c>
      <c r="D7">
        <v>0</v>
      </c>
      <c r="E7">
        <v>42</v>
      </c>
      <c r="F7">
        <v>26</v>
      </c>
      <c r="G7">
        <v>18</v>
      </c>
      <c r="H7">
        <v>601</v>
      </c>
      <c r="I7">
        <v>554</v>
      </c>
      <c r="J7">
        <v>327</v>
      </c>
      <c r="K7">
        <v>299</v>
      </c>
      <c r="L7">
        <v>337</v>
      </c>
      <c r="M7">
        <v>620</v>
      </c>
      <c r="N7">
        <v>93</v>
      </c>
      <c r="O7">
        <v>10</v>
      </c>
      <c r="P7">
        <v>4.4800000000000004</v>
      </c>
      <c r="Q7">
        <v>2706</v>
      </c>
      <c r="R7">
        <v>4</v>
      </c>
      <c r="S7">
        <v>4</v>
      </c>
      <c r="T7">
        <v>0</v>
      </c>
      <c r="U7">
        <v>42</v>
      </c>
      <c r="V7">
        <v>0.251</v>
      </c>
      <c r="W7">
        <v>83</v>
      </c>
      <c r="X7">
        <v>67</v>
      </c>
      <c r="Y7">
        <v>1.48</v>
      </c>
      <c r="Z7">
        <v>1.59</v>
      </c>
      <c r="AA7">
        <v>0.96099999999999997</v>
      </c>
      <c r="AB7">
        <v>9.2799999999999994</v>
      </c>
      <c r="AC7">
        <v>4.28</v>
      </c>
      <c r="AD7">
        <v>913.3</v>
      </c>
      <c r="AE7" s="1">
        <v>0.57199999999999995</v>
      </c>
      <c r="AF7">
        <f>DOLLARDE(Table2[[#This Row],[IP]],3)</f>
        <v>601</v>
      </c>
    </row>
    <row r="8" spans="1:32" x14ac:dyDescent="0.25">
      <c r="A8" t="s">
        <v>32</v>
      </c>
      <c r="B8">
        <v>68</v>
      </c>
      <c r="C8">
        <v>68</v>
      </c>
      <c r="D8">
        <v>0</v>
      </c>
      <c r="E8">
        <v>40</v>
      </c>
      <c r="F8">
        <v>28</v>
      </c>
      <c r="G8">
        <v>15</v>
      </c>
      <c r="H8">
        <v>598.1</v>
      </c>
      <c r="I8">
        <v>586</v>
      </c>
      <c r="J8">
        <v>376</v>
      </c>
      <c r="K8">
        <v>313</v>
      </c>
      <c r="L8">
        <v>320</v>
      </c>
      <c r="M8">
        <v>553</v>
      </c>
      <c r="N8">
        <v>89</v>
      </c>
      <c r="O8">
        <v>13</v>
      </c>
      <c r="P8">
        <v>4.71</v>
      </c>
      <c r="Q8">
        <v>2740</v>
      </c>
      <c r="R8">
        <v>8</v>
      </c>
      <c r="S8">
        <v>2</v>
      </c>
      <c r="T8">
        <v>0</v>
      </c>
      <c r="U8">
        <v>26</v>
      </c>
      <c r="V8">
        <v>0.26</v>
      </c>
      <c r="W8">
        <v>90</v>
      </c>
      <c r="X8">
        <v>68</v>
      </c>
      <c r="Y8">
        <v>1.51</v>
      </c>
      <c r="Z8">
        <v>1.46</v>
      </c>
      <c r="AA8">
        <v>0.95099999999999996</v>
      </c>
      <c r="AB8">
        <v>8.32</v>
      </c>
      <c r="AC8">
        <v>4.26</v>
      </c>
      <c r="AD8">
        <v>902.35</v>
      </c>
      <c r="AE8" s="1">
        <v>0.57199999999999995</v>
      </c>
      <c r="AF8">
        <f>DOLLARDE(Table2[[#This Row],[IP]],3)</f>
        <v>598.33333333333337</v>
      </c>
    </row>
    <row r="9" spans="1:32" x14ac:dyDescent="0.25">
      <c r="A9" t="s">
        <v>50</v>
      </c>
      <c r="B9">
        <v>72</v>
      </c>
      <c r="C9">
        <v>73</v>
      </c>
      <c r="D9">
        <v>1</v>
      </c>
      <c r="E9">
        <v>38</v>
      </c>
      <c r="F9">
        <v>34</v>
      </c>
      <c r="G9">
        <v>13</v>
      </c>
      <c r="H9">
        <v>626.20000000000005</v>
      </c>
      <c r="I9">
        <v>600</v>
      </c>
      <c r="J9">
        <v>409</v>
      </c>
      <c r="K9">
        <v>338</v>
      </c>
      <c r="L9">
        <v>329</v>
      </c>
      <c r="M9">
        <v>593</v>
      </c>
      <c r="N9">
        <v>103</v>
      </c>
      <c r="O9">
        <v>17</v>
      </c>
      <c r="P9">
        <v>4.8499999999999996</v>
      </c>
      <c r="Q9">
        <v>2844</v>
      </c>
      <c r="R9">
        <v>9</v>
      </c>
      <c r="S9">
        <v>4</v>
      </c>
      <c r="T9">
        <v>0</v>
      </c>
      <c r="U9">
        <v>43</v>
      </c>
      <c r="V9">
        <v>0.25600000000000001</v>
      </c>
      <c r="W9">
        <v>87</v>
      </c>
      <c r="X9">
        <v>68</v>
      </c>
      <c r="Y9">
        <v>1.48</v>
      </c>
      <c r="Z9">
        <v>1.47</v>
      </c>
      <c r="AA9">
        <v>0.95099999999999996</v>
      </c>
      <c r="AB9">
        <v>8.52</v>
      </c>
      <c r="AC9">
        <v>4.29</v>
      </c>
      <c r="AD9">
        <v>963.8</v>
      </c>
      <c r="AE9" s="1">
        <v>0.55700000000000005</v>
      </c>
      <c r="AF9">
        <f>DOLLARDE(Table2[[#This Row],[IP]],3)</f>
        <v>626.66666666666686</v>
      </c>
    </row>
    <row r="10" spans="1:32" x14ac:dyDescent="0.25">
      <c r="A10" t="s">
        <v>40</v>
      </c>
      <c r="B10">
        <v>68</v>
      </c>
      <c r="C10">
        <v>68</v>
      </c>
      <c r="D10">
        <v>0</v>
      </c>
      <c r="E10">
        <v>34</v>
      </c>
      <c r="F10">
        <v>33</v>
      </c>
      <c r="G10">
        <v>10</v>
      </c>
      <c r="H10">
        <v>601.1</v>
      </c>
      <c r="I10">
        <v>593</v>
      </c>
      <c r="J10">
        <v>382</v>
      </c>
      <c r="K10">
        <v>324</v>
      </c>
      <c r="L10">
        <v>394</v>
      </c>
      <c r="M10">
        <v>583</v>
      </c>
      <c r="N10">
        <v>114</v>
      </c>
      <c r="O10">
        <v>14</v>
      </c>
      <c r="P10">
        <v>4.8499999999999996</v>
      </c>
      <c r="Q10">
        <v>2824</v>
      </c>
      <c r="R10">
        <v>12</v>
      </c>
      <c r="S10">
        <v>1</v>
      </c>
      <c r="T10">
        <v>0</v>
      </c>
      <c r="U10">
        <v>29</v>
      </c>
      <c r="V10">
        <v>0.26200000000000001</v>
      </c>
      <c r="W10">
        <v>96</v>
      </c>
      <c r="X10">
        <v>80</v>
      </c>
      <c r="Y10">
        <v>1.64</v>
      </c>
      <c r="Z10">
        <v>1.62</v>
      </c>
      <c r="AA10">
        <v>0.96699999999999997</v>
      </c>
      <c r="AB10">
        <v>8.73</v>
      </c>
      <c r="AC10">
        <v>4.8600000000000003</v>
      </c>
      <c r="AD10">
        <v>958.35</v>
      </c>
      <c r="AE10" s="1">
        <v>0.56799999999999995</v>
      </c>
      <c r="AF10">
        <f>DOLLARDE(Table2[[#This Row],[IP]],3)</f>
        <v>601.33333333333337</v>
      </c>
    </row>
    <row r="11" spans="1:32" x14ac:dyDescent="0.25">
      <c r="A11" t="s">
        <v>43</v>
      </c>
      <c r="B11">
        <v>72</v>
      </c>
      <c r="C11">
        <v>72</v>
      </c>
      <c r="D11">
        <v>1</v>
      </c>
      <c r="E11">
        <v>35</v>
      </c>
      <c r="F11">
        <v>35</v>
      </c>
      <c r="G11">
        <v>9</v>
      </c>
      <c r="H11">
        <v>630</v>
      </c>
      <c r="I11">
        <v>553</v>
      </c>
      <c r="J11">
        <v>388</v>
      </c>
      <c r="K11">
        <v>343</v>
      </c>
      <c r="L11">
        <v>389</v>
      </c>
      <c r="M11">
        <v>684</v>
      </c>
      <c r="N11">
        <v>89</v>
      </c>
      <c r="O11">
        <v>15</v>
      </c>
      <c r="P11">
        <v>4.9000000000000004</v>
      </c>
      <c r="Q11">
        <v>2872</v>
      </c>
      <c r="R11">
        <v>7</v>
      </c>
      <c r="S11">
        <v>5</v>
      </c>
      <c r="T11">
        <v>1</v>
      </c>
      <c r="U11">
        <v>37</v>
      </c>
      <c r="V11">
        <v>0.24199999999999999</v>
      </c>
      <c r="W11">
        <v>89</v>
      </c>
      <c r="X11">
        <v>80</v>
      </c>
      <c r="Y11">
        <v>1.5</v>
      </c>
      <c r="Z11">
        <v>1.7</v>
      </c>
      <c r="AA11">
        <v>0.93799999999999994</v>
      </c>
      <c r="AB11">
        <v>9.77</v>
      </c>
      <c r="AC11">
        <v>4.17</v>
      </c>
      <c r="AD11">
        <v>930.84</v>
      </c>
      <c r="AE11" s="1">
        <v>0.54</v>
      </c>
      <c r="AF11">
        <f>DOLLARDE(Table2[[#This Row],[IP]],3)</f>
        <v>630</v>
      </c>
    </row>
    <row r="12" spans="1:32" x14ac:dyDescent="0.25">
      <c r="A12" t="s">
        <v>42</v>
      </c>
      <c r="B12">
        <v>71</v>
      </c>
      <c r="C12">
        <v>71</v>
      </c>
      <c r="D12">
        <v>1</v>
      </c>
      <c r="E12">
        <v>34</v>
      </c>
      <c r="F12">
        <v>37</v>
      </c>
      <c r="G12">
        <v>15</v>
      </c>
      <c r="H12">
        <v>620.1</v>
      </c>
      <c r="I12">
        <v>576</v>
      </c>
      <c r="J12">
        <v>401</v>
      </c>
      <c r="K12">
        <v>345</v>
      </c>
      <c r="L12">
        <v>422</v>
      </c>
      <c r="M12">
        <v>616</v>
      </c>
      <c r="N12">
        <v>105</v>
      </c>
      <c r="O12">
        <v>16</v>
      </c>
      <c r="P12">
        <v>5.01</v>
      </c>
      <c r="Q12">
        <v>2916</v>
      </c>
      <c r="R12">
        <v>9</v>
      </c>
      <c r="S12">
        <v>6</v>
      </c>
      <c r="T12">
        <v>1</v>
      </c>
      <c r="U12">
        <v>24</v>
      </c>
      <c r="V12">
        <v>0.252</v>
      </c>
      <c r="W12">
        <v>90</v>
      </c>
      <c r="X12">
        <v>92</v>
      </c>
      <c r="Y12">
        <v>1.61</v>
      </c>
      <c r="Z12">
        <v>1.67</v>
      </c>
      <c r="AA12">
        <v>0.95</v>
      </c>
      <c r="AB12">
        <v>8.94</v>
      </c>
      <c r="AC12">
        <v>4.57</v>
      </c>
      <c r="AD12">
        <v>946.15</v>
      </c>
      <c r="AE12" s="1">
        <v>0.52300000000000002</v>
      </c>
      <c r="AF12">
        <f>DOLLARDE(Table2[[#This Row],[IP]],3)</f>
        <v>620.33333333333337</v>
      </c>
    </row>
    <row r="13" spans="1:32" x14ac:dyDescent="0.25">
      <c r="A13" t="s">
        <v>33</v>
      </c>
      <c r="B13">
        <v>72</v>
      </c>
      <c r="C13">
        <v>71</v>
      </c>
      <c r="D13">
        <v>0</v>
      </c>
      <c r="E13">
        <v>35</v>
      </c>
      <c r="F13">
        <v>37</v>
      </c>
      <c r="G13">
        <v>15</v>
      </c>
      <c r="H13">
        <v>630.1</v>
      </c>
      <c r="I13">
        <v>635</v>
      </c>
      <c r="J13">
        <v>474</v>
      </c>
      <c r="K13">
        <v>386</v>
      </c>
      <c r="L13">
        <v>413</v>
      </c>
      <c r="M13">
        <v>529</v>
      </c>
      <c r="N13">
        <v>114</v>
      </c>
      <c r="O13">
        <v>19</v>
      </c>
      <c r="P13">
        <v>5.51</v>
      </c>
      <c r="Q13">
        <v>3034</v>
      </c>
      <c r="R13">
        <v>9</v>
      </c>
      <c r="S13">
        <v>6</v>
      </c>
      <c r="T13">
        <v>0</v>
      </c>
      <c r="U13">
        <v>23</v>
      </c>
      <c r="V13">
        <v>0.26900000000000002</v>
      </c>
      <c r="W13">
        <v>85</v>
      </c>
      <c r="X13">
        <v>92</v>
      </c>
      <c r="Y13">
        <v>1.66</v>
      </c>
      <c r="Z13">
        <v>1.49</v>
      </c>
      <c r="AA13">
        <v>0.94699999999999995</v>
      </c>
      <c r="AB13">
        <v>7.55</v>
      </c>
      <c r="AC13">
        <v>4.83</v>
      </c>
      <c r="AD13" s="57">
        <v>1005.33</v>
      </c>
      <c r="AE13" s="1">
        <v>0.55400000000000005</v>
      </c>
      <c r="AF13">
        <f>DOLLARDE(Table2[[#This Row],[IP]],3)</f>
        <v>630.33333333333337</v>
      </c>
    </row>
    <row r="14" spans="1:32" x14ac:dyDescent="0.25">
      <c r="A14" t="s">
        <v>36</v>
      </c>
      <c r="B14">
        <v>71</v>
      </c>
      <c r="C14">
        <v>71</v>
      </c>
      <c r="D14">
        <v>1</v>
      </c>
      <c r="E14">
        <v>36</v>
      </c>
      <c r="F14">
        <v>35</v>
      </c>
      <c r="G14">
        <v>11</v>
      </c>
      <c r="H14">
        <v>619</v>
      </c>
      <c r="I14">
        <v>614</v>
      </c>
      <c r="J14">
        <v>478</v>
      </c>
      <c r="K14">
        <v>383</v>
      </c>
      <c r="L14">
        <v>415</v>
      </c>
      <c r="M14">
        <v>569</v>
      </c>
      <c r="N14">
        <v>112</v>
      </c>
      <c r="O14">
        <v>16</v>
      </c>
      <c r="P14">
        <v>5.57</v>
      </c>
      <c r="Q14">
        <v>2984</v>
      </c>
      <c r="R14">
        <v>3</v>
      </c>
      <c r="S14">
        <v>4</v>
      </c>
      <c r="T14">
        <v>0</v>
      </c>
      <c r="U14">
        <v>36</v>
      </c>
      <c r="V14">
        <v>0.26400000000000001</v>
      </c>
      <c r="W14">
        <v>103</v>
      </c>
      <c r="X14">
        <v>94</v>
      </c>
      <c r="Y14">
        <v>1.66</v>
      </c>
      <c r="Z14">
        <v>1.59</v>
      </c>
      <c r="AA14">
        <v>0.95499999999999996</v>
      </c>
      <c r="AB14">
        <v>8.27</v>
      </c>
      <c r="AC14">
        <v>5</v>
      </c>
      <c r="AD14" s="57">
        <v>1015.53</v>
      </c>
      <c r="AE14" s="1">
        <v>0.54700000000000004</v>
      </c>
      <c r="AF14">
        <f>DOLLARDE(Table2[[#This Row],[IP]],3)</f>
        <v>619</v>
      </c>
    </row>
    <row r="15" spans="1:32" x14ac:dyDescent="0.25">
      <c r="A15" t="s">
        <v>35</v>
      </c>
      <c r="B15">
        <v>68</v>
      </c>
      <c r="C15">
        <v>67</v>
      </c>
      <c r="D15">
        <v>1</v>
      </c>
      <c r="E15">
        <v>31</v>
      </c>
      <c r="F15">
        <v>37</v>
      </c>
      <c r="G15">
        <v>15</v>
      </c>
      <c r="H15">
        <v>596</v>
      </c>
      <c r="I15">
        <v>589</v>
      </c>
      <c r="J15">
        <v>448</v>
      </c>
      <c r="K15">
        <v>371</v>
      </c>
      <c r="L15">
        <v>453</v>
      </c>
      <c r="M15">
        <v>589</v>
      </c>
      <c r="N15">
        <v>97</v>
      </c>
      <c r="O15">
        <v>9</v>
      </c>
      <c r="P15">
        <v>5.6</v>
      </c>
      <c r="Q15">
        <v>2855</v>
      </c>
      <c r="R15">
        <v>7</v>
      </c>
      <c r="S15">
        <v>6</v>
      </c>
      <c r="T15">
        <v>0</v>
      </c>
      <c r="U15">
        <v>41</v>
      </c>
      <c r="V15">
        <v>0.26500000000000001</v>
      </c>
      <c r="W15">
        <v>76</v>
      </c>
      <c r="X15">
        <v>90</v>
      </c>
      <c r="Y15">
        <v>1.75</v>
      </c>
      <c r="Z15">
        <v>1.75</v>
      </c>
      <c r="AA15">
        <v>0.96</v>
      </c>
      <c r="AB15">
        <v>8.89</v>
      </c>
      <c r="AC15">
        <v>5.52</v>
      </c>
      <c r="AD15" s="57">
        <v>1015.97</v>
      </c>
      <c r="AE15" s="1">
        <v>0.52600000000000002</v>
      </c>
      <c r="AF15">
        <f>DOLLARDE(Table2[[#This Row],[IP]],3)</f>
        <v>596</v>
      </c>
    </row>
    <row r="16" spans="1:32" x14ac:dyDescent="0.25">
      <c r="A16" t="s">
        <v>49</v>
      </c>
      <c r="B16">
        <v>72</v>
      </c>
      <c r="C16">
        <v>72</v>
      </c>
      <c r="D16">
        <v>1</v>
      </c>
      <c r="E16">
        <v>29</v>
      </c>
      <c r="F16">
        <v>42</v>
      </c>
      <c r="G16">
        <v>12</v>
      </c>
      <c r="H16">
        <v>624</v>
      </c>
      <c r="I16">
        <v>629</v>
      </c>
      <c r="J16">
        <v>449</v>
      </c>
      <c r="K16">
        <v>396</v>
      </c>
      <c r="L16">
        <v>381</v>
      </c>
      <c r="M16">
        <v>560</v>
      </c>
      <c r="N16">
        <v>97</v>
      </c>
      <c r="O16">
        <v>13</v>
      </c>
      <c r="P16">
        <v>5.71</v>
      </c>
      <c r="Q16">
        <v>2901</v>
      </c>
      <c r="R16">
        <v>5</v>
      </c>
      <c r="S16">
        <v>1</v>
      </c>
      <c r="T16">
        <v>1</v>
      </c>
      <c r="U16">
        <v>57</v>
      </c>
      <c r="V16">
        <v>0.26900000000000002</v>
      </c>
      <c r="W16">
        <v>83</v>
      </c>
      <c r="X16">
        <v>77</v>
      </c>
      <c r="Y16">
        <v>1.62</v>
      </c>
      <c r="Z16">
        <v>1.51</v>
      </c>
      <c r="AA16">
        <v>0.95299999999999996</v>
      </c>
      <c r="AB16">
        <v>8.08</v>
      </c>
      <c r="AC16">
        <v>5.17</v>
      </c>
      <c r="AD16" s="57">
        <v>1059.3699999999999</v>
      </c>
      <c r="AE16" s="1">
        <v>0.54100000000000004</v>
      </c>
      <c r="AF16">
        <f>DOLLARDE(Table2[[#This Row],[IP]],3)</f>
        <v>624</v>
      </c>
    </row>
    <row r="17" spans="1:32" x14ac:dyDescent="0.25">
      <c r="A17" t="s">
        <v>38</v>
      </c>
      <c r="B17">
        <v>72</v>
      </c>
      <c r="C17">
        <v>72</v>
      </c>
      <c r="D17">
        <v>0</v>
      </c>
      <c r="E17">
        <v>37</v>
      </c>
      <c r="F17">
        <v>34</v>
      </c>
      <c r="G17">
        <v>10</v>
      </c>
      <c r="H17">
        <v>633</v>
      </c>
      <c r="I17">
        <v>634</v>
      </c>
      <c r="J17">
        <v>465</v>
      </c>
      <c r="K17">
        <v>409</v>
      </c>
      <c r="L17">
        <v>407</v>
      </c>
      <c r="M17">
        <v>663</v>
      </c>
      <c r="N17">
        <v>116</v>
      </c>
      <c r="O17">
        <v>12</v>
      </c>
      <c r="P17">
        <v>5.82</v>
      </c>
      <c r="Q17">
        <v>2980</v>
      </c>
      <c r="R17">
        <v>6</v>
      </c>
      <c r="S17">
        <v>9</v>
      </c>
      <c r="T17">
        <v>0</v>
      </c>
      <c r="U17">
        <v>45</v>
      </c>
      <c r="V17">
        <v>0.26300000000000001</v>
      </c>
      <c r="W17">
        <v>120</v>
      </c>
      <c r="X17">
        <v>62</v>
      </c>
      <c r="Y17">
        <v>1.64</v>
      </c>
      <c r="Z17">
        <v>1.69</v>
      </c>
      <c r="AA17">
        <v>0.96099999999999997</v>
      </c>
      <c r="AB17">
        <v>9.43</v>
      </c>
      <c r="AC17">
        <v>4.92</v>
      </c>
      <c r="AD17" s="57">
        <v>1040.8599999999999</v>
      </c>
      <c r="AE17" s="1">
        <v>0.57399999999999995</v>
      </c>
      <c r="AF17">
        <f>DOLLARDE(Table2[[#This Row],[IP]],3)</f>
        <v>633</v>
      </c>
    </row>
    <row r="18" spans="1:32" x14ac:dyDescent="0.25">
      <c r="A18" t="s">
        <v>47</v>
      </c>
      <c r="B18">
        <v>68</v>
      </c>
      <c r="C18">
        <v>68</v>
      </c>
      <c r="D18">
        <v>0</v>
      </c>
      <c r="E18">
        <v>32</v>
      </c>
      <c r="F18">
        <v>35</v>
      </c>
      <c r="G18">
        <v>12</v>
      </c>
      <c r="H18">
        <v>594.1</v>
      </c>
      <c r="I18">
        <v>615</v>
      </c>
      <c r="J18">
        <v>469</v>
      </c>
      <c r="K18">
        <v>396</v>
      </c>
      <c r="L18">
        <v>388</v>
      </c>
      <c r="M18">
        <v>581</v>
      </c>
      <c r="N18">
        <v>115</v>
      </c>
      <c r="O18">
        <v>7</v>
      </c>
      <c r="P18">
        <v>6</v>
      </c>
      <c r="Q18">
        <v>2855</v>
      </c>
      <c r="R18">
        <v>14</v>
      </c>
      <c r="S18">
        <v>1</v>
      </c>
      <c r="T18">
        <v>0</v>
      </c>
      <c r="U18">
        <v>48</v>
      </c>
      <c r="V18">
        <v>0.27200000000000002</v>
      </c>
      <c r="W18">
        <v>66</v>
      </c>
      <c r="X18">
        <v>88</v>
      </c>
      <c r="Y18">
        <v>1.69</v>
      </c>
      <c r="Z18">
        <v>1.63</v>
      </c>
      <c r="AA18">
        <v>0.93600000000000005</v>
      </c>
      <c r="AB18">
        <v>8.8000000000000007</v>
      </c>
      <c r="AC18">
        <v>5.4</v>
      </c>
      <c r="AD18" s="57">
        <v>1030.29</v>
      </c>
      <c r="AE18" s="1">
        <v>0.56200000000000006</v>
      </c>
      <c r="AF18">
        <f>DOLLARDE(Table2[[#This Row],[IP]],3)</f>
        <v>594.33333333333337</v>
      </c>
    </row>
    <row r="19" spans="1:32" x14ac:dyDescent="0.25">
      <c r="A19" t="s">
        <v>41</v>
      </c>
      <c r="B19">
        <v>72</v>
      </c>
      <c r="C19">
        <v>73</v>
      </c>
      <c r="D19">
        <v>0</v>
      </c>
      <c r="E19">
        <v>26</v>
      </c>
      <c r="F19">
        <v>46</v>
      </c>
      <c r="G19">
        <v>13</v>
      </c>
      <c r="H19">
        <v>627</v>
      </c>
      <c r="I19">
        <v>668</v>
      </c>
      <c r="J19">
        <v>503</v>
      </c>
      <c r="K19">
        <v>431</v>
      </c>
      <c r="L19">
        <v>428</v>
      </c>
      <c r="M19">
        <v>654</v>
      </c>
      <c r="N19">
        <v>109</v>
      </c>
      <c r="O19">
        <v>18</v>
      </c>
      <c r="P19">
        <v>6.19</v>
      </c>
      <c r="Q19">
        <v>3044</v>
      </c>
      <c r="R19">
        <v>11</v>
      </c>
      <c r="S19">
        <v>2</v>
      </c>
      <c r="T19">
        <v>0</v>
      </c>
      <c r="U19">
        <v>52</v>
      </c>
      <c r="V19">
        <v>0.27700000000000002</v>
      </c>
      <c r="W19">
        <v>110</v>
      </c>
      <c r="X19">
        <v>80</v>
      </c>
      <c r="Y19">
        <v>1.75</v>
      </c>
      <c r="Z19">
        <v>1.73</v>
      </c>
      <c r="AA19">
        <v>0.95699999999999996</v>
      </c>
      <c r="AB19">
        <v>9.39</v>
      </c>
      <c r="AC19">
        <v>5.62</v>
      </c>
      <c r="AD19" s="57">
        <v>1114.46</v>
      </c>
      <c r="AE19" s="1">
        <v>0.56200000000000006</v>
      </c>
      <c r="AF19">
        <f>DOLLARDE(Table2[[#This Row],[IP]],3)</f>
        <v>627</v>
      </c>
    </row>
    <row r="20" spans="1:32" x14ac:dyDescent="0.25">
      <c r="A20" t="s">
        <v>44</v>
      </c>
      <c r="B20">
        <v>68</v>
      </c>
      <c r="C20">
        <v>68</v>
      </c>
      <c r="D20">
        <v>0</v>
      </c>
      <c r="E20">
        <v>23</v>
      </c>
      <c r="F20">
        <v>45</v>
      </c>
      <c r="G20">
        <v>12</v>
      </c>
      <c r="H20">
        <v>603.1</v>
      </c>
      <c r="I20">
        <v>611</v>
      </c>
      <c r="J20">
        <v>504</v>
      </c>
      <c r="K20">
        <v>443</v>
      </c>
      <c r="L20">
        <v>504</v>
      </c>
      <c r="M20">
        <v>579</v>
      </c>
      <c r="N20">
        <v>104</v>
      </c>
      <c r="O20">
        <v>12</v>
      </c>
      <c r="P20">
        <v>6.61</v>
      </c>
      <c r="Q20">
        <v>3011</v>
      </c>
      <c r="R20">
        <v>4</v>
      </c>
      <c r="S20">
        <v>10</v>
      </c>
      <c r="T20">
        <v>0</v>
      </c>
      <c r="U20">
        <v>36</v>
      </c>
      <c r="V20">
        <v>0.26800000000000002</v>
      </c>
      <c r="W20">
        <v>107</v>
      </c>
      <c r="X20">
        <v>119</v>
      </c>
      <c r="Y20">
        <v>1.85</v>
      </c>
      <c r="Z20">
        <v>1.8</v>
      </c>
      <c r="AA20">
        <v>0.93600000000000005</v>
      </c>
      <c r="AB20">
        <v>8.64</v>
      </c>
      <c r="AC20">
        <v>5.96</v>
      </c>
      <c r="AD20" s="57">
        <v>1066.33</v>
      </c>
      <c r="AE20" s="1">
        <v>0.54400000000000004</v>
      </c>
      <c r="AF20">
        <f>DOLLARDE(Table2[[#This Row],[IP]],3)</f>
        <v>603.33333333333337</v>
      </c>
    </row>
    <row r="21" spans="1:32" x14ac:dyDescent="0.25">
      <c r="A21" t="s">
        <v>46</v>
      </c>
      <c r="B21">
        <v>72</v>
      </c>
      <c r="C21">
        <v>72</v>
      </c>
      <c r="D21">
        <v>2</v>
      </c>
      <c r="E21">
        <v>19</v>
      </c>
      <c r="F21">
        <v>53</v>
      </c>
      <c r="G21">
        <v>13</v>
      </c>
      <c r="H21">
        <v>617.1</v>
      </c>
      <c r="I21">
        <v>696</v>
      </c>
      <c r="J21">
        <v>545</v>
      </c>
      <c r="K21">
        <v>456</v>
      </c>
      <c r="L21">
        <v>424</v>
      </c>
      <c r="M21">
        <v>533</v>
      </c>
      <c r="N21">
        <v>150</v>
      </c>
      <c r="O21">
        <v>34</v>
      </c>
      <c r="P21">
        <v>6.65</v>
      </c>
      <c r="Q21">
        <v>3074</v>
      </c>
      <c r="R21">
        <v>9</v>
      </c>
      <c r="S21">
        <v>6</v>
      </c>
      <c r="T21">
        <v>0</v>
      </c>
      <c r="U21">
        <v>24</v>
      </c>
      <c r="V21">
        <v>0.29399999999999998</v>
      </c>
      <c r="W21">
        <v>77</v>
      </c>
      <c r="X21">
        <v>135</v>
      </c>
      <c r="Y21">
        <v>1.81</v>
      </c>
      <c r="Z21">
        <v>1.55</v>
      </c>
      <c r="AA21">
        <v>0.95</v>
      </c>
      <c r="AB21">
        <v>7.77</v>
      </c>
      <c r="AC21">
        <v>6</v>
      </c>
      <c r="AD21" s="57">
        <v>1101.56</v>
      </c>
      <c r="AE21" s="1">
        <v>0.51600000000000001</v>
      </c>
      <c r="AF21">
        <f>DOLLARDE(Table2[[#This Row],[IP]],3)</f>
        <v>617.33333333333337</v>
      </c>
    </row>
    <row r="22" spans="1:32" x14ac:dyDescent="0.25">
      <c r="A22" t="s">
        <v>51</v>
      </c>
      <c r="B22">
        <v>36</v>
      </c>
      <c r="C22">
        <v>36</v>
      </c>
      <c r="D22">
        <v>0</v>
      </c>
      <c r="E22">
        <v>7</v>
      </c>
      <c r="F22">
        <v>29</v>
      </c>
      <c r="G22">
        <v>3</v>
      </c>
      <c r="H22">
        <v>301</v>
      </c>
      <c r="I22">
        <v>350</v>
      </c>
      <c r="J22">
        <v>270</v>
      </c>
      <c r="K22">
        <v>244</v>
      </c>
      <c r="L22">
        <v>232</v>
      </c>
      <c r="M22">
        <v>286</v>
      </c>
      <c r="N22">
        <v>56</v>
      </c>
      <c r="O22">
        <v>12</v>
      </c>
      <c r="P22">
        <v>7.3</v>
      </c>
      <c r="Q22">
        <v>1514</v>
      </c>
      <c r="R22">
        <v>5</v>
      </c>
      <c r="S22">
        <v>1</v>
      </c>
      <c r="T22">
        <v>0</v>
      </c>
      <c r="U22">
        <v>24</v>
      </c>
      <c r="V22">
        <v>0.29399999999999998</v>
      </c>
      <c r="W22">
        <v>57</v>
      </c>
      <c r="X22">
        <v>42</v>
      </c>
      <c r="Y22">
        <v>1.93</v>
      </c>
      <c r="Z22">
        <v>1.72</v>
      </c>
      <c r="AA22">
        <v>0.94799999999999995</v>
      </c>
      <c r="AB22">
        <v>8.5500000000000007</v>
      </c>
      <c r="AC22">
        <v>6.58</v>
      </c>
      <c r="AD22" s="57">
        <v>579.72</v>
      </c>
      <c r="AE22" s="1">
        <v>0.52800000000000002</v>
      </c>
      <c r="AF22">
        <f>DOLLARDE(Table2[[#This Row],[IP]],3)</f>
        <v>301</v>
      </c>
    </row>
    <row r="23" spans="1:32" x14ac:dyDescent="0.25">
      <c r="A23" t="s">
        <v>37</v>
      </c>
      <c r="B23">
        <v>68</v>
      </c>
      <c r="C23">
        <v>68</v>
      </c>
      <c r="D23">
        <v>0</v>
      </c>
      <c r="E23">
        <v>16</v>
      </c>
      <c r="F23">
        <v>52</v>
      </c>
      <c r="G23">
        <v>6</v>
      </c>
      <c r="H23">
        <v>589.20000000000005</v>
      </c>
      <c r="I23">
        <v>721</v>
      </c>
      <c r="J23">
        <v>595</v>
      </c>
      <c r="K23">
        <v>488</v>
      </c>
      <c r="L23">
        <v>481</v>
      </c>
      <c r="M23">
        <v>562</v>
      </c>
      <c r="N23">
        <v>128</v>
      </c>
      <c r="O23">
        <v>18</v>
      </c>
      <c r="P23">
        <v>7.45</v>
      </c>
      <c r="Q23">
        <v>3058</v>
      </c>
      <c r="R23">
        <v>14</v>
      </c>
      <c r="S23">
        <v>1</v>
      </c>
      <c r="T23">
        <v>0</v>
      </c>
      <c r="U23">
        <v>36</v>
      </c>
      <c r="V23">
        <v>0.309</v>
      </c>
      <c r="W23">
        <v>109</v>
      </c>
      <c r="X23">
        <v>111</v>
      </c>
      <c r="Y23">
        <v>2.04</v>
      </c>
      <c r="Z23">
        <v>1.77</v>
      </c>
      <c r="AA23">
        <v>0.94599999999999995</v>
      </c>
      <c r="AB23">
        <v>8.58</v>
      </c>
      <c r="AC23">
        <v>7.14</v>
      </c>
      <c r="AD23" s="57">
        <v>1174.47</v>
      </c>
      <c r="AE23" s="1">
        <v>0.54600000000000004</v>
      </c>
      <c r="AF23">
        <f>DOLLARDE(Table2[[#This Row],[IP]],3)</f>
        <v>589.66666666666686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D9E43-4468-464F-A74B-65FA99ED982F}">
  <sheetPr codeName="Sheet5"/>
  <dimension ref="A1:N26"/>
  <sheetViews>
    <sheetView workbookViewId="0">
      <selection activeCell="E6" sqref="E6"/>
    </sheetView>
  </sheetViews>
  <sheetFormatPr defaultRowHeight="15" x14ac:dyDescent="0.25"/>
  <cols>
    <col min="1" max="1" width="27" customWidth="1"/>
  </cols>
  <sheetData>
    <row r="1" spans="1:14" x14ac:dyDescent="0.25">
      <c r="A1" t="s">
        <v>90</v>
      </c>
      <c r="B1" t="s">
        <v>54</v>
      </c>
      <c r="C1" t="s">
        <v>55</v>
      </c>
      <c r="D1" t="s">
        <v>91</v>
      </c>
      <c r="E1" t="s">
        <v>49</v>
      </c>
      <c r="F1" t="s">
        <v>92</v>
      </c>
      <c r="G1" t="s">
        <v>93</v>
      </c>
      <c r="H1" t="s">
        <v>0</v>
      </c>
      <c r="J1" t="s">
        <v>94</v>
      </c>
      <c r="K1" t="s">
        <v>145</v>
      </c>
      <c r="L1" t="s">
        <v>33</v>
      </c>
    </row>
    <row r="2" spans="1:14" x14ac:dyDescent="0.25">
      <c r="A2" t="s">
        <v>109</v>
      </c>
      <c r="B2">
        <v>45</v>
      </c>
      <c r="C2">
        <v>27</v>
      </c>
      <c r="D2">
        <v>0.625</v>
      </c>
      <c r="E2" t="s">
        <v>95</v>
      </c>
      <c r="F2" t="s">
        <v>99</v>
      </c>
      <c r="G2" s="12">
        <v>44745</v>
      </c>
      <c r="H2" t="str">
        <f>VLOOKUP(A2,$J$1:$L$22,3,FALSE)</f>
        <v>TVC</v>
      </c>
      <c r="J2" t="s">
        <v>96</v>
      </c>
      <c r="K2" t="s">
        <v>97</v>
      </c>
      <c r="L2" t="s">
        <v>44</v>
      </c>
      <c r="N2" t="s">
        <v>171</v>
      </c>
    </row>
    <row r="3" spans="1:14" x14ac:dyDescent="0.25">
      <c r="A3" t="s">
        <v>105</v>
      </c>
      <c r="B3">
        <v>37</v>
      </c>
      <c r="C3">
        <v>35</v>
      </c>
      <c r="D3">
        <v>0.51400000000000001</v>
      </c>
      <c r="E3">
        <v>8</v>
      </c>
      <c r="F3" t="s">
        <v>99</v>
      </c>
      <c r="G3" s="12">
        <v>44657</v>
      </c>
      <c r="H3" t="str">
        <f t="shared" ref="H3:H7" si="0">VLOOKUP(A3,$J$1:$L$22,3,FALSE)</f>
        <v>RFD</v>
      </c>
      <c r="J3" t="s">
        <v>100</v>
      </c>
      <c r="K3" t="s">
        <v>101</v>
      </c>
      <c r="L3" t="s">
        <v>40</v>
      </c>
    </row>
    <row r="4" spans="1:14" x14ac:dyDescent="0.25">
      <c r="A4" t="s">
        <v>102</v>
      </c>
      <c r="B4">
        <v>36</v>
      </c>
      <c r="C4">
        <v>35</v>
      </c>
      <c r="D4">
        <v>0.50700000000000001</v>
      </c>
      <c r="E4">
        <v>8.5</v>
      </c>
      <c r="F4" t="s">
        <v>172</v>
      </c>
      <c r="G4" s="12">
        <v>44716</v>
      </c>
      <c r="H4" t="str">
        <f t="shared" si="0"/>
        <v>KZO</v>
      </c>
      <c r="J4" t="s">
        <v>103</v>
      </c>
      <c r="K4" t="s">
        <v>104</v>
      </c>
      <c r="L4" t="s">
        <v>48</v>
      </c>
    </row>
    <row r="5" spans="1:14" x14ac:dyDescent="0.25">
      <c r="A5" t="s">
        <v>94</v>
      </c>
      <c r="B5">
        <v>35</v>
      </c>
      <c r="C5">
        <v>37</v>
      </c>
      <c r="D5">
        <v>0.48599999999999999</v>
      </c>
      <c r="E5">
        <v>10</v>
      </c>
      <c r="F5" t="s">
        <v>113</v>
      </c>
      <c r="G5" s="12">
        <v>44686</v>
      </c>
      <c r="H5" t="str">
        <f t="shared" si="0"/>
        <v>BC</v>
      </c>
      <c r="J5" t="s">
        <v>107</v>
      </c>
      <c r="K5" t="s">
        <v>108</v>
      </c>
      <c r="L5" t="s">
        <v>38</v>
      </c>
    </row>
    <row r="6" spans="1:14" x14ac:dyDescent="0.25">
      <c r="A6" t="s">
        <v>98</v>
      </c>
      <c r="B6">
        <v>33</v>
      </c>
      <c r="C6">
        <v>38</v>
      </c>
      <c r="D6">
        <v>0.46500000000000002</v>
      </c>
      <c r="E6">
        <v>11.5</v>
      </c>
      <c r="F6" t="s">
        <v>170</v>
      </c>
      <c r="G6" s="12">
        <v>44657</v>
      </c>
      <c r="H6" t="str">
        <f t="shared" si="0"/>
        <v>KEN</v>
      </c>
      <c r="J6" t="s">
        <v>110</v>
      </c>
      <c r="K6" t="s">
        <v>111</v>
      </c>
      <c r="L6" t="s">
        <v>49</v>
      </c>
    </row>
    <row r="7" spans="1:14" x14ac:dyDescent="0.25">
      <c r="A7" t="s">
        <v>112</v>
      </c>
      <c r="B7">
        <v>19</v>
      </c>
      <c r="C7">
        <v>52</v>
      </c>
      <c r="D7">
        <v>0.26800000000000002</v>
      </c>
      <c r="E7">
        <v>25.5</v>
      </c>
      <c r="F7" t="s">
        <v>113</v>
      </c>
      <c r="G7" s="12">
        <v>44627</v>
      </c>
      <c r="H7" t="str">
        <f t="shared" si="0"/>
        <v>KMO</v>
      </c>
      <c r="J7" t="s">
        <v>102</v>
      </c>
      <c r="K7" t="s">
        <v>114</v>
      </c>
      <c r="L7" t="s">
        <v>36</v>
      </c>
    </row>
    <row r="8" spans="1:14" x14ac:dyDescent="0.25">
      <c r="A8" t="s">
        <v>115</v>
      </c>
      <c r="B8" t="s">
        <v>54</v>
      </c>
      <c r="C8" t="s">
        <v>55</v>
      </c>
      <c r="D8" t="s">
        <v>91</v>
      </c>
      <c r="E8" t="s">
        <v>49</v>
      </c>
      <c r="F8" t="s">
        <v>92</v>
      </c>
      <c r="G8" t="s">
        <v>93</v>
      </c>
      <c r="H8" t="e">
        <v>#N/A</v>
      </c>
      <c r="J8" t="s">
        <v>98</v>
      </c>
      <c r="K8" t="s">
        <v>116</v>
      </c>
      <c r="L8" t="s">
        <v>42</v>
      </c>
    </row>
    <row r="9" spans="1:14" x14ac:dyDescent="0.25">
      <c r="A9" t="s">
        <v>117</v>
      </c>
      <c r="B9">
        <v>57</v>
      </c>
      <c r="C9">
        <v>15</v>
      </c>
      <c r="D9">
        <v>0.79200000000000004</v>
      </c>
      <c r="E9" t="s">
        <v>95</v>
      </c>
      <c r="F9" t="s">
        <v>99</v>
      </c>
      <c r="G9" s="12">
        <v>44745</v>
      </c>
      <c r="H9" t="str">
        <f t="shared" ref="H9:H14" si="1">VLOOKUP(A9,$J$1:$L$22,3,FALSE)</f>
        <v>WIR</v>
      </c>
      <c r="J9" t="s">
        <v>112</v>
      </c>
      <c r="K9" t="s">
        <v>118</v>
      </c>
      <c r="L9" t="s">
        <v>46</v>
      </c>
    </row>
    <row r="10" spans="1:14" x14ac:dyDescent="0.25">
      <c r="A10" t="s">
        <v>121</v>
      </c>
      <c r="B10">
        <v>38</v>
      </c>
      <c r="C10">
        <v>33</v>
      </c>
      <c r="D10">
        <v>0.53500000000000003</v>
      </c>
      <c r="E10">
        <v>18.5</v>
      </c>
      <c r="F10" t="s">
        <v>99</v>
      </c>
      <c r="G10" s="12">
        <v>44775</v>
      </c>
      <c r="H10" t="str">
        <f t="shared" si="1"/>
        <v>WAU</v>
      </c>
      <c r="J10" t="s">
        <v>119</v>
      </c>
      <c r="K10" t="s">
        <v>120</v>
      </c>
      <c r="L10" t="s">
        <v>35</v>
      </c>
    </row>
    <row r="11" spans="1:14" x14ac:dyDescent="0.25">
      <c r="A11" t="s">
        <v>107</v>
      </c>
      <c r="B11">
        <v>36</v>
      </c>
      <c r="C11">
        <v>35</v>
      </c>
      <c r="D11">
        <v>0.50700000000000001</v>
      </c>
      <c r="E11">
        <v>20.5</v>
      </c>
      <c r="F11" t="s">
        <v>99</v>
      </c>
      <c r="G11" s="12">
        <v>44627</v>
      </c>
      <c r="H11" t="str">
        <f t="shared" si="1"/>
        <v>FDL</v>
      </c>
      <c r="J11" t="s">
        <v>122</v>
      </c>
      <c r="K11" t="s">
        <v>123</v>
      </c>
      <c r="L11" t="s">
        <v>43</v>
      </c>
    </row>
    <row r="12" spans="1:14" x14ac:dyDescent="0.25">
      <c r="A12" t="s">
        <v>122</v>
      </c>
      <c r="B12">
        <v>36</v>
      </c>
      <c r="C12">
        <v>36</v>
      </c>
      <c r="D12">
        <v>0.5</v>
      </c>
      <c r="E12">
        <v>21</v>
      </c>
      <c r="F12" t="s">
        <v>106</v>
      </c>
      <c r="G12" s="12">
        <v>44686</v>
      </c>
      <c r="H12" t="str">
        <f t="shared" si="1"/>
        <v>LAK</v>
      </c>
      <c r="J12" t="s">
        <v>124</v>
      </c>
      <c r="K12" t="s">
        <v>125</v>
      </c>
      <c r="L12" t="s">
        <v>41</v>
      </c>
    </row>
    <row r="13" spans="1:14" x14ac:dyDescent="0.25">
      <c r="A13" t="s">
        <v>110</v>
      </c>
      <c r="B13">
        <v>30</v>
      </c>
      <c r="C13">
        <v>42</v>
      </c>
      <c r="D13">
        <v>0.41699999999999998</v>
      </c>
      <c r="E13">
        <v>27</v>
      </c>
      <c r="F13" t="s">
        <v>169</v>
      </c>
      <c r="G13" s="12">
        <v>44716</v>
      </c>
      <c r="H13" t="str">
        <f t="shared" si="1"/>
        <v>GB</v>
      </c>
      <c r="J13" t="s">
        <v>126</v>
      </c>
      <c r="K13" t="s">
        <v>127</v>
      </c>
      <c r="L13" t="s">
        <v>32</v>
      </c>
    </row>
    <row r="14" spans="1:14" x14ac:dyDescent="0.25">
      <c r="A14" t="s">
        <v>124</v>
      </c>
      <c r="B14">
        <v>26</v>
      </c>
      <c r="C14">
        <v>46</v>
      </c>
      <c r="D14">
        <v>0.36099999999999999</v>
      </c>
      <c r="E14">
        <v>31</v>
      </c>
      <c r="F14" t="s">
        <v>113</v>
      </c>
      <c r="G14" s="12">
        <v>44570</v>
      </c>
      <c r="H14" t="str">
        <f t="shared" si="1"/>
        <v>MAD</v>
      </c>
      <c r="J14" t="s">
        <v>128</v>
      </c>
      <c r="K14" t="s">
        <v>129</v>
      </c>
      <c r="L14" t="s">
        <v>51</v>
      </c>
    </row>
    <row r="15" spans="1:14" x14ac:dyDescent="0.25">
      <c r="A15" t="s">
        <v>130</v>
      </c>
      <c r="B15" t="s">
        <v>54</v>
      </c>
      <c r="C15" t="s">
        <v>55</v>
      </c>
      <c r="D15" t="s">
        <v>91</v>
      </c>
      <c r="E15" t="s">
        <v>49</v>
      </c>
      <c r="F15" t="s">
        <v>92</v>
      </c>
      <c r="G15" t="s">
        <v>93</v>
      </c>
      <c r="H15" t="e">
        <v>#N/A</v>
      </c>
      <c r="J15" t="s">
        <v>131</v>
      </c>
      <c r="K15" t="s">
        <v>132</v>
      </c>
      <c r="L15" t="s">
        <v>47</v>
      </c>
    </row>
    <row r="16" spans="1:14" x14ac:dyDescent="0.25">
      <c r="A16" t="s">
        <v>103</v>
      </c>
      <c r="B16">
        <v>42</v>
      </c>
      <c r="C16">
        <v>26</v>
      </c>
      <c r="D16">
        <v>0.61799999999999999</v>
      </c>
      <c r="E16" t="s">
        <v>95</v>
      </c>
      <c r="F16" t="s">
        <v>113</v>
      </c>
      <c r="G16" s="12">
        <v>44745</v>
      </c>
      <c r="H16" t="str">
        <f t="shared" ref="H16:H20" si="2">VLOOKUP(A16,$J$1:$L$22,3,FALSE)</f>
        <v>EC</v>
      </c>
      <c r="J16" t="s">
        <v>105</v>
      </c>
      <c r="K16" t="s">
        <v>133</v>
      </c>
      <c r="L16" t="s">
        <v>39</v>
      </c>
    </row>
    <row r="17" spans="1:12" x14ac:dyDescent="0.25">
      <c r="A17" t="s">
        <v>100</v>
      </c>
      <c r="B17">
        <v>34</v>
      </c>
      <c r="C17">
        <v>33</v>
      </c>
      <c r="D17">
        <v>0.50700000000000001</v>
      </c>
      <c r="E17">
        <v>7.5</v>
      </c>
      <c r="F17" t="s">
        <v>169</v>
      </c>
      <c r="G17" s="12">
        <v>44657</v>
      </c>
      <c r="H17" t="str">
        <f t="shared" si="2"/>
        <v>DUL</v>
      </c>
      <c r="J17" t="s">
        <v>134</v>
      </c>
      <c r="K17" t="s">
        <v>135</v>
      </c>
      <c r="L17" t="s">
        <v>31</v>
      </c>
    </row>
    <row r="18" spans="1:12" x14ac:dyDescent="0.25">
      <c r="A18" t="s">
        <v>119</v>
      </c>
      <c r="B18">
        <v>31</v>
      </c>
      <c r="C18">
        <v>37</v>
      </c>
      <c r="D18">
        <v>0.45600000000000002</v>
      </c>
      <c r="E18">
        <v>11</v>
      </c>
      <c r="F18" t="s">
        <v>99</v>
      </c>
      <c r="G18" s="12">
        <v>44627</v>
      </c>
      <c r="H18" t="str">
        <f t="shared" si="2"/>
        <v>LAC</v>
      </c>
      <c r="J18" t="s">
        <v>109</v>
      </c>
      <c r="K18" t="s">
        <v>136</v>
      </c>
      <c r="L18" t="s">
        <v>45</v>
      </c>
    </row>
    <row r="19" spans="1:12" x14ac:dyDescent="0.25">
      <c r="A19" t="s">
        <v>137</v>
      </c>
      <c r="B19">
        <v>16</v>
      </c>
      <c r="C19">
        <v>52</v>
      </c>
      <c r="D19">
        <v>0.23499999999999999</v>
      </c>
      <c r="E19">
        <v>26</v>
      </c>
      <c r="F19" t="s">
        <v>99</v>
      </c>
      <c r="G19" s="12">
        <v>44600</v>
      </c>
      <c r="H19" t="str">
        <f t="shared" si="2"/>
        <v>WAT</v>
      </c>
      <c r="J19" t="s">
        <v>137</v>
      </c>
      <c r="K19" t="s">
        <v>138</v>
      </c>
      <c r="L19" t="s">
        <v>37</v>
      </c>
    </row>
    <row r="20" spans="1:12" x14ac:dyDescent="0.25">
      <c r="A20" t="s">
        <v>128</v>
      </c>
      <c r="B20">
        <v>7</v>
      </c>
      <c r="C20">
        <v>29</v>
      </c>
      <c r="D20">
        <v>0.19400000000000001</v>
      </c>
      <c r="E20">
        <v>19</v>
      </c>
      <c r="F20" t="s">
        <v>113</v>
      </c>
      <c r="G20" s="12">
        <v>44570</v>
      </c>
      <c r="H20" t="str">
        <f t="shared" si="2"/>
        <v>MIN</v>
      </c>
      <c r="J20" t="s">
        <v>121</v>
      </c>
      <c r="K20" t="s">
        <v>139</v>
      </c>
      <c r="L20" t="s">
        <v>50</v>
      </c>
    </row>
    <row r="21" spans="1:12" x14ac:dyDescent="0.25">
      <c r="A21" t="s">
        <v>140</v>
      </c>
      <c r="B21" t="s">
        <v>54</v>
      </c>
      <c r="C21" t="s">
        <v>55</v>
      </c>
      <c r="D21" t="s">
        <v>91</v>
      </c>
      <c r="E21" t="s">
        <v>49</v>
      </c>
      <c r="F21" t="s">
        <v>92</v>
      </c>
      <c r="G21" t="s">
        <v>93</v>
      </c>
      <c r="H21" t="e">
        <v>#N/A</v>
      </c>
      <c r="J21" t="s">
        <v>141</v>
      </c>
      <c r="K21" t="s">
        <v>142</v>
      </c>
      <c r="L21" t="s">
        <v>30</v>
      </c>
    </row>
    <row r="22" spans="1:12" x14ac:dyDescent="0.25">
      <c r="A22" t="s">
        <v>134</v>
      </c>
      <c r="B22">
        <v>50</v>
      </c>
      <c r="C22">
        <v>18</v>
      </c>
      <c r="D22">
        <v>0.73499999999999999</v>
      </c>
      <c r="E22" t="s">
        <v>95</v>
      </c>
      <c r="F22" t="s">
        <v>113</v>
      </c>
      <c r="G22" s="12">
        <v>44775</v>
      </c>
      <c r="H22" t="str">
        <f t="shared" ref="H22:H26" si="3">VLOOKUP(A22,$J$1:$L$22,3,FALSE)</f>
        <v>STC</v>
      </c>
      <c r="J22" t="s">
        <v>117</v>
      </c>
      <c r="K22" t="s">
        <v>143</v>
      </c>
      <c r="L22" t="s">
        <v>34</v>
      </c>
    </row>
    <row r="23" spans="1:12" x14ac:dyDescent="0.25">
      <c r="A23" t="s">
        <v>141</v>
      </c>
      <c r="B23">
        <v>48</v>
      </c>
      <c r="C23">
        <v>20</v>
      </c>
      <c r="D23">
        <v>0.70599999999999996</v>
      </c>
      <c r="E23">
        <v>2</v>
      </c>
      <c r="F23" t="s">
        <v>106</v>
      </c>
      <c r="G23" s="12">
        <v>44745</v>
      </c>
      <c r="H23" t="str">
        <f t="shared" si="3"/>
        <v>WIL</v>
      </c>
    </row>
    <row r="24" spans="1:12" x14ac:dyDescent="0.25">
      <c r="A24" t="s">
        <v>126</v>
      </c>
      <c r="B24">
        <v>40</v>
      </c>
      <c r="C24">
        <v>28</v>
      </c>
      <c r="D24">
        <v>0.58799999999999997</v>
      </c>
      <c r="E24">
        <v>10</v>
      </c>
      <c r="F24" t="s">
        <v>113</v>
      </c>
      <c r="G24" s="12">
        <v>44716</v>
      </c>
      <c r="H24" t="str">
        <f t="shared" si="3"/>
        <v>MAN</v>
      </c>
    </row>
    <row r="25" spans="1:12" x14ac:dyDescent="0.25">
      <c r="A25" t="s">
        <v>131</v>
      </c>
      <c r="B25">
        <v>32</v>
      </c>
      <c r="C25">
        <v>36</v>
      </c>
      <c r="D25">
        <v>0.47099999999999997</v>
      </c>
      <c r="E25">
        <v>18</v>
      </c>
      <c r="F25" t="s">
        <v>99</v>
      </c>
      <c r="G25" s="12">
        <v>44716</v>
      </c>
      <c r="H25" t="str">
        <f t="shared" si="3"/>
        <v>ROC</v>
      </c>
    </row>
    <row r="26" spans="1:12" x14ac:dyDescent="0.25">
      <c r="A26" t="s">
        <v>96</v>
      </c>
      <c r="B26">
        <v>23</v>
      </c>
      <c r="C26">
        <v>45</v>
      </c>
      <c r="D26">
        <v>0.33800000000000002</v>
      </c>
      <c r="E26">
        <v>27</v>
      </c>
      <c r="F26" t="s">
        <v>99</v>
      </c>
      <c r="G26" s="12">
        <v>44657</v>
      </c>
      <c r="H26" t="str">
        <f t="shared" si="3"/>
        <v>BIS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DC0F-C268-4CF5-9853-0946ECF03243}">
  <dimension ref="A1:R24"/>
  <sheetViews>
    <sheetView tabSelected="1" workbookViewId="0">
      <selection activeCell="B2" sqref="B2:E6"/>
    </sheetView>
  </sheetViews>
  <sheetFormatPr defaultRowHeight="15" x14ac:dyDescent="0.25"/>
  <cols>
    <col min="1" max="1" width="16.7109375" customWidth="1"/>
  </cols>
  <sheetData>
    <row r="1" spans="1:18" x14ac:dyDescent="0.25">
      <c r="A1" s="40" t="s">
        <v>0</v>
      </c>
      <c r="B1" s="13" t="s">
        <v>151</v>
      </c>
      <c r="C1" s="9" t="s">
        <v>75</v>
      </c>
      <c r="D1" s="13" t="s">
        <v>152</v>
      </c>
      <c r="E1" s="9" t="s">
        <v>153</v>
      </c>
      <c r="F1" s="13" t="s">
        <v>165</v>
      </c>
      <c r="G1" s="9" t="s">
        <v>166</v>
      </c>
      <c r="H1" s="8" t="s">
        <v>167</v>
      </c>
      <c r="I1" s="9" t="s">
        <v>168</v>
      </c>
      <c r="J1" s="13" t="s">
        <v>154</v>
      </c>
      <c r="K1" s="8" t="s">
        <v>85</v>
      </c>
      <c r="L1" s="9" t="s">
        <v>89</v>
      </c>
      <c r="M1" s="13" t="s">
        <v>155</v>
      </c>
      <c r="N1" s="9" t="s">
        <v>87</v>
      </c>
      <c r="O1" s="13" t="s">
        <v>156</v>
      </c>
      <c r="P1" s="9" t="s">
        <v>157</v>
      </c>
      <c r="Q1" s="10" t="s">
        <v>81</v>
      </c>
      <c r="R1" s="9" t="s">
        <v>82</v>
      </c>
    </row>
    <row r="2" spans="1:18" x14ac:dyDescent="0.25">
      <c r="A2" s="58" t="s">
        <v>142</v>
      </c>
      <c r="B2" s="18" t="str">
        <f>TEXT(VLOOKUP($A2,Table3[#All],3,FALSE),"0") &amp; "-" &amp; TEXT(VLOOKUP($A2,Table3[#All],4,FALSE),"0")</f>
        <v>48-20</v>
      </c>
      <c r="C2" s="19">
        <f>VLOOKUP($A2,Table3[#All],5,FALSE)</f>
        <v>0.70599999999999996</v>
      </c>
      <c r="D2" s="14" t="str">
        <f>TEXT(VLOOKUP($A2,Table3[#All],6,FALSE),"0") &amp; "-" &amp; TEXT(VLOOKUP($A2,Table3[#All],7,FALSE),"0")</f>
        <v>48-20</v>
      </c>
      <c r="E2" s="23" t="str">
        <f>TEXT(VLOOKUP($A2,Table3[#All],9,FALSE),"0") &amp; "-" &amp; TEXT(VLOOKUP($A2,Table3[#All],10,FALSE),"0")</f>
        <v>46-22</v>
      </c>
      <c r="F2" s="53" t="str">
        <f>TEXT(VLOOKUP(VLOOKUP($A2,Table3[[Name]:[ABBR]],2,FALSE),[1]Raw!$L$2:$AC$23,11,FALSE),"0") &amp; "-" &amp;TEXT(VLOOKUP(VLOOKUP($A2,Table3[[Name]:[ABBR]],2,FALSE),[1]Raw!$L$2:$AC$23,12,FALSE),"0")</f>
        <v>29-7</v>
      </c>
      <c r="G2" s="54" t="str">
        <f>TEXT(VLOOKUP(VLOOKUP($A2,Table3[[Name]:[ABBR]],2,FALSE),[1]Raw!$L$2:$AC$23,13,FALSE),"0") &amp; "-" &amp;TEXT(VLOOKUP(VLOOKUP($A2,Table3[[Name]:[ABBR]],2,FALSE),[1]Raw!$L$2:$AC$23,14,FALSE),"0")</f>
        <v>19-13</v>
      </c>
      <c r="H2" s="53" t="str">
        <f>TEXT(VLOOKUP(VLOOKUP($A2,Table3[[Name]:[ABBR]],2,FALSE),[1]Raw!$L$2:$AC$23,15,FALSE),"0") &amp; "-" &amp;TEXT(VLOOKUP(VLOOKUP($A2,Table3[[Name]:[ABBR]],2,FALSE),[1]Raw!$L$2:$AC$23,16,FALSE),"0")</f>
        <v>14-10</v>
      </c>
      <c r="I2" s="53" t="str">
        <f>TEXT(VLOOKUP(VLOOKUP($A2,Table3[[Name]:[ABBR]],2,FALSE),[1]Raw!$L$2:$AC$23,17,FALSE),"0") &amp; "-" &amp;TEXT(VLOOKUP(VLOOKUP($A2,Table3[[Name]:[ABBR]],2,FALSE),[1]Raw!$L$2:$AC$23,18,FALSE),"0")</f>
        <v>34-10</v>
      </c>
      <c r="J2" s="18">
        <f>VLOOKUP($A2,Table3[#All],16,FALSE)</f>
        <v>525</v>
      </c>
      <c r="K2" s="6">
        <f>VLOOKUP($A2,Table3[#All],17,FALSE)</f>
        <v>318</v>
      </c>
      <c r="L2" s="25">
        <f>VLOOKUP($A2,Table3[#All],18,FALSE)</f>
        <v>207</v>
      </c>
      <c r="M2" s="26">
        <f>VLOOKUP($A2,Table3[#All],20,FALSE)</f>
        <v>490.78653440000005</v>
      </c>
      <c r="N2" s="27">
        <f>VLOOKUP($A2,Table3[#All],21,FALSE)</f>
        <v>332.57860400000004</v>
      </c>
      <c r="O2" s="30">
        <f>ROUND(VLOOKUP($A2,Table3[#All],3,FALSE)-VLOOKUP($A2,Table3[#All],6,FALSE),0)</f>
        <v>0</v>
      </c>
      <c r="P2" s="25">
        <f>ROUND(VLOOKUP($A2,Table3[#All],3,FALSE)-VLOOKUP($A2,Table3[#All],9,FALSE),0)</f>
        <v>2</v>
      </c>
      <c r="Q2" s="34">
        <f>VLOOKUP($A2,Table3[#All],12,FALSE)</f>
        <v>-0.35296599871008938</v>
      </c>
      <c r="R2" s="31">
        <f>VLOOKUP($A2,Table3[#All],13,FALSE)</f>
        <v>2.6911516483487339</v>
      </c>
    </row>
    <row r="3" spans="1:18" x14ac:dyDescent="0.25">
      <c r="A3" s="58" t="s">
        <v>143</v>
      </c>
      <c r="B3" s="16" t="str">
        <f>TEXT(VLOOKUP($A3,Table3[#All],3,FALSE),"0") &amp; "-" &amp; TEXT(VLOOKUP($A3,Table3[#All],4,FALSE),"0")</f>
        <v>57-15</v>
      </c>
      <c r="C3" s="17">
        <f>VLOOKUP($A3,Table3[#All],5,FALSE)</f>
        <v>0.79200000000000004</v>
      </c>
      <c r="D3" s="16" t="str">
        <f>TEXT(VLOOKUP($A3,Table3[#All],6,FALSE),"0") &amp; "-" &amp; TEXT(VLOOKUP($A3,Table3[#All],7,FALSE),"0")</f>
        <v>51-21</v>
      </c>
      <c r="E3" s="17" t="str">
        <f>TEXT(VLOOKUP($A3,Table3[#All],9,FALSE),"0") &amp; "-" &amp; TEXT(VLOOKUP($A3,Table3[#All],10,FALSE),"0")</f>
        <v>45-27</v>
      </c>
      <c r="F3" s="53" t="str">
        <f>TEXT(VLOOKUP(VLOOKUP($A3,Table3[[Name]:[ABBR]],2,FALSE),[1]Raw!$L$2:$AC$23,11,FALSE),"0") &amp; "-" &amp;TEXT(VLOOKUP(VLOOKUP($A3,Table3[[Name]:[ABBR]],2,FALSE),[1]Raw!$L$2:$AC$23,12,FALSE),"0")</f>
        <v>29-7</v>
      </c>
      <c r="G3" s="55" t="str">
        <f>TEXT(VLOOKUP(VLOOKUP($A3,Table3[[Name]:[ABBR]],2,FALSE),[1]Raw!$L$2:$AC$23,13,FALSE),"0") &amp; "-" &amp;TEXT(VLOOKUP(VLOOKUP($A3,Table3[[Name]:[ABBR]],2,FALSE),[1]Raw!$L$2:$AC$23,14,FALSE),"0")</f>
        <v>28-8</v>
      </c>
      <c r="H3" s="53" t="str">
        <f>TEXT(VLOOKUP(VLOOKUP($A3,Table3[[Name]:[ABBR]],2,FALSE),[1]Raw!$L$2:$AC$23,15,FALSE),"0") &amp; "-" &amp;TEXT(VLOOKUP(VLOOKUP($A3,Table3[[Name]:[ABBR]],2,FALSE),[1]Raw!$L$2:$AC$23,16,FALSE),"0")</f>
        <v>30-10</v>
      </c>
      <c r="I3" s="53" t="str">
        <f>TEXT(VLOOKUP(VLOOKUP($A3,Table3[[Name]:[ABBR]],2,FALSE),[1]Raw!$L$2:$AC$23,17,FALSE),"0") &amp; "-" &amp;TEXT(VLOOKUP(VLOOKUP($A3,Table3[[Name]:[ABBR]],2,FALSE),[1]Raw!$L$2:$AC$23,18,FALSE),"0")</f>
        <v>27-5</v>
      </c>
      <c r="J3" s="18">
        <f>VLOOKUP($A3,Table3[#All],16,FALSE)</f>
        <v>510</v>
      </c>
      <c r="K3" s="6">
        <f>VLOOKUP($A3,Table3[#All],17,FALSE)</f>
        <v>310</v>
      </c>
      <c r="L3" s="25">
        <f>VLOOKUP($A3,Table3[#All],18,FALSE)</f>
        <v>200</v>
      </c>
      <c r="M3" s="26">
        <f>VLOOKUP($A3,Table3[#All],20,FALSE)</f>
        <v>480.25533872</v>
      </c>
      <c r="N3" s="27">
        <f>VLOOKUP($A3,Table3[#All],21,FALSE)</f>
        <v>361.07047999999998</v>
      </c>
      <c r="O3" s="30">
        <f>ROUND(VLOOKUP($A3,Table3[#All],3,FALSE)-VLOOKUP($A3,Table3[#All],6,FALSE),0)</f>
        <v>6</v>
      </c>
      <c r="P3" s="25">
        <f>ROUND(VLOOKUP($A3,Table3[#All],3,FALSE)-VLOOKUP($A3,Table3[#All],9,FALSE),0)</f>
        <v>12</v>
      </c>
      <c r="Q3" s="34">
        <f>VLOOKUP($A3,Table3[#All],12,FALSE)</f>
        <v>-0.43485369944322838</v>
      </c>
      <c r="R3" s="32">
        <f>VLOOKUP($A3,Table3[#All],13,FALSE)</f>
        <v>2.3429240783345495</v>
      </c>
    </row>
    <row r="4" spans="1:18" x14ac:dyDescent="0.25">
      <c r="A4" s="58" t="s">
        <v>135</v>
      </c>
      <c r="B4" s="14" t="str">
        <f>TEXT(VLOOKUP($A4,Table3[#All],3,FALSE),"0") &amp; "-" &amp; TEXT(VLOOKUP($A4,Table3[#All],4,FALSE),"0")</f>
        <v>50-18</v>
      </c>
      <c r="C4" s="15">
        <f>VLOOKUP($A4,Table3[#All],5,FALSE)</f>
        <v>0.73499999999999999</v>
      </c>
      <c r="D4" s="18" t="str">
        <f>TEXT(VLOOKUP($A4,Table3[#All],6,FALSE),"0") &amp; "-" &amp; TEXT(VLOOKUP($A4,Table3[#All],7,FALSE),"0")</f>
        <v>48-20</v>
      </c>
      <c r="E4" s="22" t="str">
        <f>TEXT(VLOOKUP($A4,Table3[#All],9,FALSE),"0") &amp; "-" &amp; TEXT(VLOOKUP($A4,Table3[#All],10,FALSE),"0")</f>
        <v>46-22</v>
      </c>
      <c r="F4" s="53" t="str">
        <f>TEXT(VLOOKUP(VLOOKUP($A4,Table3[[Name]:[ABBR]],2,FALSE),[1]Raw!$L$2:$AC$23,11,FALSE),"0") &amp; "-" &amp;TEXT(VLOOKUP(VLOOKUP($A4,Table3[[Name]:[ABBR]],2,FALSE),[1]Raw!$L$2:$AC$23,12,FALSE),"0")</f>
        <v>28-8</v>
      </c>
      <c r="G4" s="55" t="str">
        <f>TEXT(VLOOKUP(VLOOKUP($A4,Table3[[Name]:[ABBR]],2,FALSE),[1]Raw!$L$2:$AC$23,13,FALSE),"0") &amp; "-" &amp;TEXT(VLOOKUP(VLOOKUP($A4,Table3[[Name]:[ABBR]],2,FALSE),[1]Raw!$L$2:$AC$23,14,FALSE),"0")</f>
        <v>22-10</v>
      </c>
      <c r="H4" s="53" t="str">
        <f>TEXT(VLOOKUP(VLOOKUP($A4,Table3[[Name]:[ABBR]],2,FALSE),[1]Raw!$L$2:$AC$23,15,FALSE),"0") &amp; "-" &amp;TEXT(VLOOKUP(VLOOKUP($A4,Table3[[Name]:[ABBR]],2,FALSE),[1]Raw!$L$2:$AC$23,16,FALSE),"0")</f>
        <v>15-9</v>
      </c>
      <c r="I4" s="53" t="str">
        <f>TEXT(VLOOKUP(VLOOKUP($A4,Table3[[Name]:[ABBR]],2,FALSE),[1]Raw!$L$2:$AC$23,17,FALSE),"0") &amp; "-" &amp;TEXT(VLOOKUP(VLOOKUP($A4,Table3[[Name]:[ABBR]],2,FALSE),[1]Raw!$L$2:$AC$23,18,FALSE),"0")</f>
        <v>35-9</v>
      </c>
      <c r="J4" s="18">
        <f>VLOOKUP($A4,Table3[#All],16,FALSE)</f>
        <v>454</v>
      </c>
      <c r="K4" s="6">
        <v>0</v>
      </c>
      <c r="L4" s="25">
        <f>VLOOKUP($A4,Table3[#All],18,FALSE)</f>
        <v>175</v>
      </c>
      <c r="M4" s="26">
        <f>VLOOKUP($A4,Table3[#All],20,FALSE)</f>
        <v>447.39830848000003</v>
      </c>
      <c r="N4" s="27">
        <f>VLOOKUP($A4,Table3[#All],21,FALSE)</f>
        <v>292.91362800000002</v>
      </c>
      <c r="O4" s="30">
        <f>ROUND(VLOOKUP($A4,Table3[#All],3,FALSE)-VLOOKUP($A4,Table3[#All],6,FALSE),0)</f>
        <v>2</v>
      </c>
      <c r="P4" s="25">
        <f>ROUND(VLOOKUP($A4,Table3[#All],3,FALSE)-VLOOKUP($A4,Table3[#All],9,FALSE),0)</f>
        <v>4</v>
      </c>
      <c r="Q4" s="34">
        <f>VLOOKUP($A4,Table3[#All],12,FALSE)</f>
        <v>-0.29760267691078141</v>
      </c>
      <c r="R4" s="32">
        <f>VLOOKUP($A4,Table3[#All],13,FALSE)</f>
        <v>2.2759267348539245</v>
      </c>
    </row>
    <row r="5" spans="1:18" x14ac:dyDescent="0.25">
      <c r="A5" s="58" t="s">
        <v>104</v>
      </c>
      <c r="B5" s="14" t="str">
        <f>TEXT(VLOOKUP($A5,Table3[#All],3,FALSE),"0") &amp; "-" &amp; TEXT(VLOOKUP($A5,Table3[#All],4,FALSE),"0")</f>
        <v>42-26</v>
      </c>
      <c r="C5" s="15">
        <f>VLOOKUP($A5,Table3[#All],5,FALSE)</f>
        <v>0.61799999999999999</v>
      </c>
      <c r="D5" s="14" t="str">
        <f>TEXT(VLOOKUP($A5,Table3[#All],6,FALSE),"0") &amp; "-" &amp; TEXT(VLOOKUP($A5,Table3[#All],7,FALSE),"0")</f>
        <v>40-28</v>
      </c>
      <c r="E5" s="22" t="str">
        <f>TEXT(VLOOKUP($A5,Table3[#All],9,FALSE),"0") &amp; "-" &amp; TEXT(VLOOKUP($A5,Table3[#All],10,FALSE),"0")</f>
        <v>36-32</v>
      </c>
      <c r="F5" s="53" t="str">
        <f>TEXT(VLOOKUP(VLOOKUP($A5,Table3[[Name]:[ABBR]],2,FALSE),[1]Raw!$L$2:$AC$23,11,FALSE),"0") &amp; "-" &amp;TEXT(VLOOKUP(VLOOKUP($A5,Table3[[Name]:[ABBR]],2,FALSE),[1]Raw!$L$2:$AC$23,12,FALSE),"0")</f>
        <v>28-8</v>
      </c>
      <c r="G5" s="55" t="str">
        <f>TEXT(VLOOKUP(VLOOKUP($A5,Table3[[Name]:[ABBR]],2,FALSE),[1]Raw!$L$2:$AC$23,13,FALSE),"0") &amp; "-" &amp;TEXT(VLOOKUP(VLOOKUP($A5,Table3[[Name]:[ABBR]],2,FALSE),[1]Raw!$L$2:$AC$23,14,FALSE),"0")</f>
        <v>14-18</v>
      </c>
      <c r="H5" s="53" t="str">
        <f>TEXT(VLOOKUP(VLOOKUP($A5,Table3[[Name]:[ABBR]],2,FALSE),[1]Raw!$L$2:$AC$23,15,FALSE),"0") &amp; "-" &amp;TEXT(VLOOKUP(VLOOKUP($A5,Table3[[Name]:[ABBR]],2,FALSE),[1]Raw!$L$2:$AC$23,16,FALSE),"0")</f>
        <v>11-13</v>
      </c>
      <c r="I5" s="53" t="str">
        <f>TEXT(VLOOKUP(VLOOKUP($A5,Table3[[Name]:[ABBR]],2,FALSE),[1]Raw!$L$2:$AC$23,17,FALSE),"0") &amp; "-" &amp;TEXT(VLOOKUP(VLOOKUP($A5,Table3[[Name]:[ABBR]],2,FALSE),[1]Raw!$L$2:$AC$23,18,FALSE),"0")</f>
        <v>31-13</v>
      </c>
      <c r="J5" s="18">
        <f>VLOOKUP($A5,Table3[#All],16,FALSE)</f>
        <v>403</v>
      </c>
      <c r="K5" s="6">
        <f>VLOOKUP($A5,Table3[#All],17,FALSE)</f>
        <v>327</v>
      </c>
      <c r="L5" s="25">
        <f>VLOOKUP($A5,Table3[#All],18,FALSE)</f>
        <v>76</v>
      </c>
      <c r="M5" s="26">
        <f>VLOOKUP($A5,Table3[#All],20,FALSE)</f>
        <v>407.82508255999994</v>
      </c>
      <c r="N5" s="27">
        <f>VLOOKUP($A5,Table3[#All],21,FALSE)</f>
        <v>380.18232799999998</v>
      </c>
      <c r="O5" s="30">
        <f>ROUND(VLOOKUP($A5,Table3[#All],3,FALSE)-VLOOKUP($A5,Table3[#All],6,FALSE),0)</f>
        <v>2</v>
      </c>
      <c r="P5" s="25">
        <f>ROUND(VLOOKUP($A5,Table3[#All],3,FALSE)-VLOOKUP($A5,Table3[#All],9,FALSE),0)</f>
        <v>6</v>
      </c>
      <c r="Q5" s="34">
        <f>VLOOKUP($A5,Table3[#All],12,FALSE)</f>
        <v>-0.12632240009417242</v>
      </c>
      <c r="R5" s="32">
        <f>VLOOKUP($A5,Table3[#All],13,FALSE)</f>
        <v>0.99132465872935704</v>
      </c>
    </row>
    <row r="6" spans="1:18" x14ac:dyDescent="0.25">
      <c r="A6" s="58" t="s">
        <v>136</v>
      </c>
      <c r="B6" s="16" t="str">
        <f>TEXT(VLOOKUP($A6,Table3[#All],3,FALSE),"0") &amp; "-" &amp; TEXT(VLOOKUP($A6,Table3[#All],4,FALSE),"0")</f>
        <v>45-27</v>
      </c>
      <c r="C6" s="17">
        <f>VLOOKUP($A6,Table3[#All],5,FALSE)</f>
        <v>0.625</v>
      </c>
      <c r="D6" s="16" t="str">
        <f>TEXT(VLOOKUP($A6,Table3[#All],6,FALSE),"0") &amp; "-" &amp; TEXT(VLOOKUP($A6,Table3[#All],7,FALSE),"0")</f>
        <v>44-28</v>
      </c>
      <c r="E6" s="22" t="str">
        <f>TEXT(VLOOKUP($A6,Table3[#All],9,FALSE),"0") &amp; "-" &amp; TEXT(VLOOKUP($A6,Table3[#All],10,FALSE),"0")</f>
        <v>46-26</v>
      </c>
      <c r="F6" s="53" t="str">
        <f>TEXT(VLOOKUP(VLOOKUP($A6,Table3[[Name]:[ABBR]],2,FALSE),[1]Raw!$L$2:$AC$23,11,FALSE),"0") &amp; "-" &amp;TEXT(VLOOKUP(VLOOKUP($A6,Table3[[Name]:[ABBR]],2,FALSE),[1]Raw!$L$2:$AC$23,12,FALSE),"0")</f>
        <v>25-11</v>
      </c>
      <c r="G6" s="55" t="str">
        <f>TEXT(VLOOKUP(VLOOKUP($A6,Table3[[Name]:[ABBR]],2,FALSE),[1]Raw!$L$2:$AC$23,13,FALSE),"0") &amp; "-" &amp;TEXT(VLOOKUP(VLOOKUP($A6,Table3[[Name]:[ABBR]],2,FALSE),[1]Raw!$L$2:$AC$23,14,FALSE),"0")</f>
        <v>20-16</v>
      </c>
      <c r="H6" s="53" t="str">
        <f>TEXT(VLOOKUP(VLOOKUP($A6,Table3[[Name]:[ABBR]],2,FALSE),[1]Raw!$L$2:$AC$23,15,FALSE),"0") &amp; "-" &amp;TEXT(VLOOKUP(VLOOKUP($A6,Table3[[Name]:[ABBR]],2,FALSE),[1]Raw!$L$2:$AC$23,16,FALSE),"0")</f>
        <v>20-12</v>
      </c>
      <c r="I6" s="53" t="str">
        <f>TEXT(VLOOKUP(VLOOKUP($A6,Table3[[Name]:[ABBR]],2,FALSE),[1]Raw!$L$2:$AC$23,17,FALSE),"0") &amp; "-" &amp;TEXT(VLOOKUP(VLOOKUP($A6,Table3[[Name]:[ABBR]],2,FALSE),[1]Raw!$L$2:$AC$23,18,FALSE),"0")</f>
        <v>25-15</v>
      </c>
      <c r="J6" s="18">
        <f>VLOOKUP($A6,Table3[#All],16,FALSE)</f>
        <v>448</v>
      </c>
      <c r="K6" s="6">
        <f>VLOOKUP($A6,Table3[#All],17,FALSE)</f>
        <v>344</v>
      </c>
      <c r="L6" s="25">
        <f>VLOOKUP($A6,Table3[#All],18,FALSE)</f>
        <v>104</v>
      </c>
      <c r="M6" s="26">
        <f>VLOOKUP($A6,Table3[#All],20,FALSE)</f>
        <v>428.10945183999996</v>
      </c>
      <c r="N6" s="27">
        <f>VLOOKUP($A6,Table3[#All],21,FALSE)</f>
        <v>315.26151199999998</v>
      </c>
      <c r="O6" s="30">
        <f>ROUND(VLOOKUP($A6,Table3[#All],3,FALSE)-VLOOKUP($A6,Table3[#All],6,FALSE),0)</f>
        <v>1</v>
      </c>
      <c r="P6" s="25">
        <f>ROUND(VLOOKUP($A6,Table3[#All],3,FALSE)-VLOOKUP($A6,Table3[#All],9,FALSE),0)</f>
        <v>-1</v>
      </c>
      <c r="Q6" s="34">
        <f>VLOOKUP($A6,Table3[#All],12,FALSE)</f>
        <v>-0.45355696843992466</v>
      </c>
      <c r="R6" s="32">
        <f>VLOOKUP($A6,Table3[#All],13,FALSE)</f>
        <v>0.99088747600451976</v>
      </c>
    </row>
    <row r="7" spans="1:18" x14ac:dyDescent="0.25">
      <c r="A7" s="58" t="s">
        <v>127</v>
      </c>
      <c r="B7" s="18" t="str">
        <f>TEXT(VLOOKUP($A7,Table3[#All],3,FALSE),"0") &amp; "-" &amp; TEXT(VLOOKUP($A7,Table3[#All],4,FALSE),"0")</f>
        <v>40-28</v>
      </c>
      <c r="C7" s="19">
        <f>VLOOKUP($A7,Table3[#All],5,FALSE)</f>
        <v>0.58799999999999997</v>
      </c>
      <c r="D7" s="18" t="str">
        <f>TEXT(VLOOKUP($A7,Table3[#All],6,FALSE),"0") &amp; "-" &amp; TEXT(VLOOKUP($A7,Table3[#All],7,FALSE),"0")</f>
        <v>38-30</v>
      </c>
      <c r="E7" s="23" t="str">
        <f>TEXT(VLOOKUP($A7,Table3[#All],9,FALSE),"0") &amp; "-" &amp; TEXT(VLOOKUP($A7,Table3[#All],10,FALSE),"0")</f>
        <v>41-27</v>
      </c>
      <c r="F7" s="53" t="str">
        <f>TEXT(VLOOKUP(VLOOKUP($A7,Table3[[Name]:[ABBR]],2,FALSE),[1]Raw!$L$2:$AC$23,11,FALSE),"0") &amp; "-" &amp;TEXT(VLOOKUP(VLOOKUP($A7,Table3[[Name]:[ABBR]],2,FALSE),[1]Raw!$L$2:$AC$23,12,FALSE),"0")</f>
        <v>25-11</v>
      </c>
      <c r="G7" s="55" t="str">
        <f>TEXT(VLOOKUP(VLOOKUP($A7,Table3[[Name]:[ABBR]],2,FALSE),[1]Raw!$L$2:$AC$23,13,FALSE),"0") &amp; "-" &amp;TEXT(VLOOKUP(VLOOKUP($A7,Table3[[Name]:[ABBR]],2,FALSE),[1]Raw!$L$2:$AC$23,14,FALSE),"0")</f>
        <v>15-17</v>
      </c>
      <c r="H7" s="53" t="str">
        <f>TEXT(VLOOKUP(VLOOKUP($A7,Table3[[Name]:[ABBR]],2,FALSE),[1]Raw!$L$2:$AC$23,15,FALSE),"0") &amp; "-" &amp;TEXT(VLOOKUP(VLOOKUP($A7,Table3[[Name]:[ABBR]],2,FALSE),[1]Raw!$L$2:$AC$23,16,FALSE),"0")</f>
        <v>8-16</v>
      </c>
      <c r="I7" s="53" t="str">
        <f>TEXT(VLOOKUP(VLOOKUP($A7,Table3[[Name]:[ABBR]],2,FALSE),[1]Raw!$L$2:$AC$23,17,FALSE),"0") &amp; "-" &amp;TEXT(VLOOKUP(VLOOKUP($A7,Table3[[Name]:[ABBR]],2,FALSE),[1]Raw!$L$2:$AC$23,18,FALSE),"0")</f>
        <v>32-12</v>
      </c>
      <c r="J7" s="18">
        <f>VLOOKUP($A7,Table3[#All],16,FALSE)</f>
        <v>426</v>
      </c>
      <c r="K7" s="6">
        <f>VLOOKUP($A7,Table3[#All],17,FALSE)</f>
        <v>376</v>
      </c>
      <c r="L7" s="25">
        <f>VLOOKUP($A7,Table3[#All],18,FALSE)</f>
        <v>50</v>
      </c>
      <c r="M7" s="26">
        <f>VLOOKUP($A7,Table3[#All],20,FALSE)</f>
        <v>450.44039135999998</v>
      </c>
      <c r="N7" s="27">
        <f>VLOOKUP($A7,Table3[#All],21,FALSE)</f>
        <v>358.42571600000002</v>
      </c>
      <c r="O7" s="30">
        <f>ROUND(VLOOKUP($A7,Table3[#All],3,FALSE)-VLOOKUP($A7,Table3[#All],6,FALSE),0)</f>
        <v>2</v>
      </c>
      <c r="P7" s="25">
        <f>ROUND(VLOOKUP($A7,Table3[#All],3,FALSE)-VLOOKUP($A7,Table3[#All],9,FALSE),0)</f>
        <v>-1</v>
      </c>
      <c r="Q7" s="34">
        <f>VLOOKUP($A7,Table3[#All],12,FALSE)</f>
        <v>-8.1339701132234737E-2</v>
      </c>
      <c r="R7" s="32">
        <f>VLOOKUP($A7,Table3[#All],13,FALSE)</f>
        <v>0.65395441651482411</v>
      </c>
    </row>
    <row r="8" spans="1:18" x14ac:dyDescent="0.25">
      <c r="A8" s="58" t="s">
        <v>108</v>
      </c>
      <c r="B8" s="18" t="str">
        <f>TEXT(VLOOKUP($A8,Table3[#All],3,FALSE),"0") &amp; "-" &amp; TEXT(VLOOKUP($A8,Table3[#All],4,FALSE),"0")</f>
        <v>36-35</v>
      </c>
      <c r="C8" s="19">
        <f>VLOOKUP($A8,Table3[#All],5,FALSE)</f>
        <v>0.50700000000000001</v>
      </c>
      <c r="D8" s="18" t="str">
        <f>TEXT(VLOOKUP($A8,Table3[#All],6,FALSE),"0") &amp; "-" &amp; TEXT(VLOOKUP($A8,Table3[#All],7,FALSE),"0")</f>
        <v>39-32</v>
      </c>
      <c r="E8" s="23" t="str">
        <f>TEXT(VLOOKUP($A8,Table3[#All],9,FALSE),"0") &amp; "-" &amp; TEXT(VLOOKUP($A8,Table3[#All],10,FALSE),"0")</f>
        <v>36-35</v>
      </c>
      <c r="F8" s="53" t="str">
        <f>TEXT(VLOOKUP(VLOOKUP($A8,Table3[[Name]:[ABBR]],2,FALSE),[1]Raw!$L$2:$AC$23,11,FALSE),"0") &amp; "-" &amp;TEXT(VLOOKUP(VLOOKUP($A8,Table3[[Name]:[ABBR]],2,FALSE),[1]Raw!$L$2:$AC$23,12,FALSE),"0")</f>
        <v>18-18</v>
      </c>
      <c r="G8" s="55" t="str">
        <f>TEXT(VLOOKUP(VLOOKUP($A8,Table3[[Name]:[ABBR]],2,FALSE),[1]Raw!$L$2:$AC$23,13,FALSE),"0") &amp; "-" &amp;TEXT(VLOOKUP(VLOOKUP($A8,Table3[[Name]:[ABBR]],2,FALSE),[1]Raw!$L$2:$AC$23,14,FALSE),"0")</f>
        <v>18-18</v>
      </c>
      <c r="H8" s="53" t="str">
        <f>TEXT(VLOOKUP(VLOOKUP($A8,Table3[[Name]:[ABBR]],2,FALSE),[1]Raw!$L$2:$AC$23,15,FALSE),"0") &amp; "-" &amp;TEXT(VLOOKUP(VLOOKUP($A8,Table3[[Name]:[ABBR]],2,FALSE),[1]Raw!$L$2:$AC$23,16,FALSE),"0")</f>
        <v>14-26</v>
      </c>
      <c r="I8" s="53" t="str">
        <f>TEXT(VLOOKUP(VLOOKUP($A8,Table3[[Name]:[ABBR]],2,FALSE),[1]Raw!$L$2:$AC$23,17,FALSE),"0") &amp; "-" &amp;TEXT(VLOOKUP(VLOOKUP($A8,Table3[[Name]:[ABBR]],2,FALSE),[1]Raw!$L$2:$AC$23,18,FALSE),"0")</f>
        <v>22-10</v>
      </c>
      <c r="J8" s="18">
        <f>VLOOKUP($A8,Table3[#All],16,FALSE)</f>
        <v>519</v>
      </c>
      <c r="K8" s="6">
        <f>VLOOKUP($A8,Table3[#All],17,FALSE)</f>
        <v>465</v>
      </c>
      <c r="L8" s="25">
        <f>VLOOKUP($A8,Table3[#All],18,FALSE)</f>
        <v>54</v>
      </c>
      <c r="M8" s="26">
        <f>VLOOKUP($A8,Table3[#All],20,FALSE)</f>
        <v>480.93397319999997</v>
      </c>
      <c r="N8" s="27">
        <f>VLOOKUP($A8,Table3[#All],21,FALSE)</f>
        <v>476.16431799999998</v>
      </c>
      <c r="O8" s="30">
        <f>ROUND(VLOOKUP($A8,Table3[#All],3,FALSE)-VLOOKUP($A8,Table3[#All],6,FALSE),0)</f>
        <v>-3</v>
      </c>
      <c r="P8" s="25">
        <f>ROUND(VLOOKUP($A8,Table3[#All],3,FALSE)-VLOOKUP($A8,Table3[#All],9,FALSE),0)</f>
        <v>0</v>
      </c>
      <c r="Q8" s="34">
        <f>VLOOKUP($A8,Table3[#All],12,FALSE)</f>
        <v>-0.1512651591171075</v>
      </c>
      <c r="R8" s="32">
        <f>VLOOKUP($A8,Table3[#All],13,FALSE)</f>
        <v>0.60929822116458265</v>
      </c>
    </row>
    <row r="9" spans="1:18" x14ac:dyDescent="0.25">
      <c r="A9" s="58" t="s">
        <v>133</v>
      </c>
      <c r="B9" s="18" t="str">
        <f>TEXT(VLOOKUP($A9,Table3[#All],3,FALSE),"0") &amp; "-" &amp; TEXT(VLOOKUP($A9,Table3[#All],4,FALSE),"0")</f>
        <v>37-35</v>
      </c>
      <c r="C9" s="19">
        <f>VLOOKUP($A9,Table3[#All],5,FALSE)</f>
        <v>0.51400000000000001</v>
      </c>
      <c r="D9" s="18" t="str">
        <f>TEXT(VLOOKUP($A9,Table3[#All],6,FALSE),"0") &amp; "-" &amp; TEXT(VLOOKUP($A9,Table3[#All],7,FALSE),"0")</f>
        <v>41-31</v>
      </c>
      <c r="E9" s="23" t="str">
        <f>TEXT(VLOOKUP($A9,Table3[#All],9,FALSE),"0") &amp; "-" &amp; TEXT(VLOOKUP($A9,Table3[#All],10,FALSE),"0")</f>
        <v>40-32</v>
      </c>
      <c r="F9" s="53" t="str">
        <f>TEXT(VLOOKUP(VLOOKUP($A9,Table3[[Name]:[ABBR]],2,FALSE),[1]Raw!$L$2:$AC$23,11,FALSE),"0") &amp; "-" &amp;TEXT(VLOOKUP(VLOOKUP($A9,Table3[[Name]:[ABBR]],2,FALSE),[1]Raw!$L$2:$AC$23,12,FALSE),"0")</f>
        <v>20-16</v>
      </c>
      <c r="G9" s="55" t="str">
        <f>TEXT(VLOOKUP(VLOOKUP($A9,Table3[[Name]:[ABBR]],2,FALSE),[1]Raw!$L$2:$AC$23,13,FALSE),"0") &amp; "-" &amp;TEXT(VLOOKUP(VLOOKUP($A9,Table3[[Name]:[ABBR]],2,FALSE),[1]Raw!$L$2:$AC$23,14,FALSE),"0")</f>
        <v>17-19</v>
      </c>
      <c r="H9" s="53" t="str">
        <f>TEXT(VLOOKUP(VLOOKUP($A9,Table3[[Name]:[ABBR]],2,FALSE),[1]Raw!$L$2:$AC$23,15,FALSE),"0") &amp; "-" &amp;TEXT(VLOOKUP(VLOOKUP($A9,Table3[[Name]:[ABBR]],2,FALSE),[1]Raw!$L$2:$AC$23,16,FALSE),"0")</f>
        <v>14-14</v>
      </c>
      <c r="I9" s="53" t="str">
        <f>TEXT(VLOOKUP(VLOOKUP($A9,Table3[[Name]:[ABBR]],2,FALSE),[1]Raw!$L$2:$AC$23,17,FALSE),"0") &amp; "-" &amp;TEXT(VLOOKUP(VLOOKUP($A9,Table3[[Name]:[ABBR]],2,FALSE),[1]Raw!$L$2:$AC$23,18,FALSE),"0")</f>
        <v>23-21</v>
      </c>
      <c r="J9" s="18">
        <f>VLOOKUP($A9,Table3[#All],16,FALSE)</f>
        <v>446</v>
      </c>
      <c r="K9" s="6">
        <f>VLOOKUP($A9,Table3[#All],17,FALSE)</f>
        <v>386</v>
      </c>
      <c r="L9" s="25">
        <f>VLOOKUP($A9,Table3[#All],18,FALSE)</f>
        <v>60</v>
      </c>
      <c r="M9" s="26">
        <f>VLOOKUP($A9,Table3[#All],20,FALSE)</f>
        <v>429.60271823999994</v>
      </c>
      <c r="N9" s="27">
        <f>VLOOKUP($A9,Table3[#All],21,FALSE)</f>
        <v>377.89813600000002</v>
      </c>
      <c r="O9" s="30">
        <f>ROUND(VLOOKUP($A9,Table3[#All],3,FALSE)-VLOOKUP($A9,Table3[#All],6,FALSE),0)</f>
        <v>-4</v>
      </c>
      <c r="P9" s="25">
        <f>ROUND(VLOOKUP($A9,Table3[#All],3,FALSE)-VLOOKUP($A9,Table3[#All],9,FALSE),0)</f>
        <v>-3</v>
      </c>
      <c r="Q9" s="34">
        <f>VLOOKUP($A9,Table3[#All],12,FALSE)</f>
        <v>-0.29937726056303382</v>
      </c>
      <c r="R9" s="32">
        <f>VLOOKUP($A9,Table3[#All],13,FALSE)</f>
        <v>0.53395607277029955</v>
      </c>
    </row>
    <row r="10" spans="1:18" x14ac:dyDescent="0.25">
      <c r="A10" s="58" t="s">
        <v>150</v>
      </c>
      <c r="B10" s="18" t="str">
        <f>TEXT(VLOOKUP($A10,Table3[#All],3,FALSE),"0") &amp; "-" &amp; TEXT(VLOOKUP($A10,Table3[#All],4,FALSE),"0")</f>
        <v>38-33</v>
      </c>
      <c r="C10" s="19">
        <f>VLOOKUP($A10,Table3[#All],5,FALSE)</f>
        <v>0.53500000000000003</v>
      </c>
      <c r="D10" s="18" t="str">
        <f>TEXT(VLOOKUP($A10,Table3[#All],6,FALSE),"0") &amp; "-" &amp; TEXT(VLOOKUP($A10,Table3[#All],7,FALSE),"0")</f>
        <v>37-34</v>
      </c>
      <c r="E10" s="23" t="str">
        <f>TEXT(VLOOKUP($A10,Table3[#All],9,FALSE),"0") &amp; "-" &amp; TEXT(VLOOKUP($A10,Table3[#All],10,FALSE),"0")</f>
        <v>37-34</v>
      </c>
      <c r="F10" s="53" t="str">
        <f>TEXT(VLOOKUP(VLOOKUP($A10,Table3[[Name]:[ABBR]],2,FALSE),[1]Raw!$L$2:$AC$23,11,FALSE),"0") &amp; "-" &amp;TEXT(VLOOKUP(VLOOKUP($A10,Table3[[Name]:[ABBR]],2,FALSE),[1]Raw!$L$2:$AC$23,12,FALSE),"0")</f>
        <v>23-13</v>
      </c>
      <c r="G10" s="55" t="str">
        <f>TEXT(VLOOKUP(VLOOKUP($A10,Table3[[Name]:[ABBR]],2,FALSE),[1]Raw!$L$2:$AC$23,13,FALSE),"0") &amp; "-" &amp;TEXT(VLOOKUP(VLOOKUP($A10,Table3[[Name]:[ABBR]],2,FALSE),[1]Raw!$L$2:$AC$23,14,FALSE),"0")</f>
        <v>15-21</v>
      </c>
      <c r="H10" s="53" t="str">
        <f>TEXT(VLOOKUP(VLOOKUP($A10,Table3[[Name]:[ABBR]],2,FALSE),[1]Raw!$L$2:$AC$23,15,FALSE),"0") &amp; "-" &amp;TEXT(VLOOKUP(VLOOKUP($A10,Table3[[Name]:[ABBR]],2,FALSE),[1]Raw!$L$2:$AC$23,16,FALSE),"0")</f>
        <v>19-25</v>
      </c>
      <c r="I10" s="53" t="str">
        <f>TEXT(VLOOKUP(VLOOKUP($A10,Table3[[Name]:[ABBR]],2,FALSE),[1]Raw!$L$2:$AC$23,17,FALSE),"0") &amp; "-" &amp;TEXT(VLOOKUP(VLOOKUP($A10,Table3[[Name]:[ABBR]],2,FALSE),[1]Raw!$L$2:$AC$23,18,FALSE),"0")</f>
        <v>19-9</v>
      </c>
      <c r="J10" s="18">
        <f>VLOOKUP($A10,Table3[#All],16,FALSE)</f>
        <v>422</v>
      </c>
      <c r="K10" s="6">
        <f>VLOOKUP($A10,Table3[#All],17,FALSE)</f>
        <v>409</v>
      </c>
      <c r="L10" s="25">
        <f>VLOOKUP($A10,Table3[#All],18,FALSE)</f>
        <v>13</v>
      </c>
      <c r="M10" s="26">
        <f>VLOOKUP($A10,Table3[#All],20,FALSE)</f>
        <v>400.35864039999996</v>
      </c>
      <c r="N10" s="27">
        <f>VLOOKUP($A10,Table3[#All],21,FALSE)</f>
        <v>383.62012599999997</v>
      </c>
      <c r="O10" s="30">
        <f>ROUND(VLOOKUP($A10,Table3[#All],3,FALSE)-VLOOKUP($A10,Table3[#All],6,FALSE),0)</f>
        <v>1</v>
      </c>
      <c r="P10" s="25">
        <f>ROUND(VLOOKUP($A10,Table3[#All],3,FALSE)-VLOOKUP($A10,Table3[#All],9,FALSE),0)</f>
        <v>1</v>
      </c>
      <c r="Q10" s="34">
        <f>VLOOKUP($A10,Table3[#All],12,FALSE)</f>
        <v>0.23670900826590735</v>
      </c>
      <c r="R10" s="32">
        <f>VLOOKUP($A10,Table3[#All],13,FALSE)</f>
        <v>0.4198075998152031</v>
      </c>
    </row>
    <row r="11" spans="1:18" x14ac:dyDescent="0.25">
      <c r="A11" s="58" t="s">
        <v>123</v>
      </c>
      <c r="B11" s="18" t="str">
        <f>TEXT(VLOOKUP($A11,Table3[#All],3,FALSE),"0") &amp; "-" &amp; TEXT(VLOOKUP($A11,Table3[#All],4,FALSE),"0")</f>
        <v>36-36</v>
      </c>
      <c r="C11" s="19">
        <f>VLOOKUP($A11,Table3[#All],5,FALSE)</f>
        <v>0.5</v>
      </c>
      <c r="D11" s="18" t="str">
        <f>TEXT(VLOOKUP($A11,Table3[#All],6,FALSE),"0") &amp; "-" &amp; TEXT(VLOOKUP($A11,Table3[#All],7,FALSE),"0")</f>
        <v>37-35</v>
      </c>
      <c r="E11" s="23" t="str">
        <f>TEXT(VLOOKUP($A11,Table3[#All],9,FALSE),"0") &amp; "-" &amp; TEXT(VLOOKUP($A11,Table3[#All],10,FALSE),"0")</f>
        <v>36-36</v>
      </c>
      <c r="F11" s="53" t="str">
        <f>TEXT(VLOOKUP(VLOOKUP($A11,Table3[[Name]:[ABBR]],2,FALSE),[1]Raw!$L$2:$AC$23,11,FALSE),"0") &amp; "-" &amp;TEXT(VLOOKUP(VLOOKUP($A11,Table3[[Name]:[ABBR]],2,FALSE),[1]Raw!$L$2:$AC$23,12,FALSE),"0")</f>
        <v>21-15</v>
      </c>
      <c r="G11" s="55" t="str">
        <f>TEXT(VLOOKUP(VLOOKUP($A11,Table3[[Name]:[ABBR]],2,FALSE),[1]Raw!$L$2:$AC$23,13,FALSE),"0") &amp; "-" &amp;TEXT(VLOOKUP(VLOOKUP($A11,Table3[[Name]:[ABBR]],2,FALSE),[1]Raw!$L$2:$AC$23,14,FALSE),"0")</f>
        <v>15-21</v>
      </c>
      <c r="H11" s="53" t="str">
        <f>TEXT(VLOOKUP(VLOOKUP($A11,Table3[[Name]:[ABBR]],2,FALSE),[1]Raw!$L$2:$AC$23,15,FALSE),"0") &amp; "-" &amp;TEXT(VLOOKUP(VLOOKUP($A11,Table3[[Name]:[ABBR]],2,FALSE),[1]Raw!$L$2:$AC$23,16,FALSE),"0")</f>
        <v>18-22</v>
      </c>
      <c r="I11" s="53" t="str">
        <f>TEXT(VLOOKUP(VLOOKUP($A11,Table3[[Name]:[ABBR]],2,FALSE),[1]Raw!$L$2:$AC$23,17,FALSE),"0") &amp; "-" &amp;TEXT(VLOOKUP(VLOOKUP($A11,Table3[[Name]:[ABBR]],2,FALSE),[1]Raw!$L$2:$AC$23,18,FALSE),"0")</f>
        <v>18-14</v>
      </c>
      <c r="J11" s="18">
        <f>VLOOKUP($A11,Table3[#All],16,FALSE)</f>
        <v>398</v>
      </c>
      <c r="K11" s="6">
        <f>VLOOKUP($A11,Table3[#All],17,FALSE)</f>
        <v>388</v>
      </c>
      <c r="L11" s="25">
        <f>VLOOKUP($A11,Table3[#All],18,FALSE)</f>
        <v>10</v>
      </c>
      <c r="M11" s="26">
        <f>VLOOKUP($A11,Table3[#All],20,FALSE)</f>
        <v>407.27809279999997</v>
      </c>
      <c r="N11" s="27">
        <f>VLOOKUP($A11,Table3[#All],21,FALSE)</f>
        <v>408.85124000000013</v>
      </c>
      <c r="O11" s="30">
        <f>ROUND(VLOOKUP($A11,Table3[#All],3,FALSE)-VLOOKUP($A11,Table3[#All],6,FALSE),0)</f>
        <v>-1</v>
      </c>
      <c r="P11" s="25">
        <f>ROUND(VLOOKUP($A11,Table3[#All],3,FALSE)-VLOOKUP($A11,Table3[#All],9,FALSE),0)</f>
        <v>0</v>
      </c>
      <c r="Q11" s="34">
        <f>VLOOKUP($A11,Table3[#All],12,FALSE)</f>
        <v>0.17710509033246266</v>
      </c>
      <c r="R11" s="32">
        <f>VLOOKUP($A11,Table3[#All],13,FALSE)</f>
        <v>0.31599397922135153</v>
      </c>
    </row>
    <row r="12" spans="1:18" x14ac:dyDescent="0.25">
      <c r="A12" s="58" t="s">
        <v>114</v>
      </c>
      <c r="B12" s="18" t="str">
        <f>TEXT(VLOOKUP($A12,Table3[#All],3,FALSE),"0") &amp; "-" &amp; TEXT(VLOOKUP($A12,Table3[#All],4,FALSE),"0")</f>
        <v>36-35</v>
      </c>
      <c r="C12" s="19">
        <f>VLOOKUP($A12,Table3[#All],5,FALSE)</f>
        <v>0.50700000000000001</v>
      </c>
      <c r="D12" s="18" t="str">
        <f>TEXT(VLOOKUP($A12,Table3[#All],6,FALSE),"0") &amp; "-" &amp; TEXT(VLOOKUP($A12,Table3[#All],7,FALSE),"0")</f>
        <v>38-33</v>
      </c>
      <c r="E12" s="23" t="str">
        <f>TEXT(VLOOKUP($A12,Table3[#All],9,FALSE),"0") &amp; "-" &amp; TEXT(VLOOKUP($A12,Table3[#All],10,FALSE),"0")</f>
        <v>37-34</v>
      </c>
      <c r="F12" s="53" t="str">
        <f>TEXT(VLOOKUP(VLOOKUP($A12,Table3[[Name]:[ABBR]],2,FALSE),[1]Raw!$L$2:$AC$23,11,FALSE),"0") &amp; "-" &amp;TEXT(VLOOKUP(VLOOKUP($A12,Table3[[Name]:[ABBR]],2,FALSE),[1]Raw!$L$2:$AC$23,12,FALSE),"0")</f>
        <v>18-17</v>
      </c>
      <c r="G12" s="55" t="str">
        <f>TEXT(VLOOKUP(VLOOKUP($A12,Table3[[Name]:[ABBR]],2,FALSE),[1]Raw!$L$2:$AC$23,13,FALSE),"0") &amp; "-" &amp;TEXT(VLOOKUP(VLOOKUP($A12,Table3[[Name]:[ABBR]],2,FALSE),[1]Raw!$L$2:$AC$23,14,FALSE),"0")</f>
        <v>18-18</v>
      </c>
      <c r="H12" s="53" t="str">
        <f>TEXT(VLOOKUP(VLOOKUP($A12,Table3[[Name]:[ABBR]],2,FALSE),[1]Raw!$L$2:$AC$23,15,FALSE),"0") &amp; "-" &amp;TEXT(VLOOKUP(VLOOKUP($A12,Table3[[Name]:[ABBR]],2,FALSE),[1]Raw!$L$2:$AC$23,16,FALSE),"0")</f>
        <v>11-21</v>
      </c>
      <c r="I12" s="53" t="str">
        <f>TEXT(VLOOKUP(VLOOKUP($A12,Table3[[Name]:[ABBR]],2,FALSE),[1]Raw!$L$2:$AC$23,17,FALSE),"0") &amp; "-" &amp;TEXT(VLOOKUP(VLOOKUP($A12,Table3[[Name]:[ABBR]],2,FALSE),[1]Raw!$L$2:$AC$23,18,FALSE),"0")</f>
        <v>25-14</v>
      </c>
      <c r="J12" s="18">
        <f>VLOOKUP($A12,Table3[#All],16,FALSE)</f>
        <v>516</v>
      </c>
      <c r="K12" s="6">
        <f>VLOOKUP($A12,Table3[#All],17,FALSE)</f>
        <v>478</v>
      </c>
      <c r="L12" s="25">
        <f>VLOOKUP($A12,Table3[#All],18,FALSE)</f>
        <v>38</v>
      </c>
      <c r="M12" s="26">
        <f>VLOOKUP($A12,Table3[#All],20,FALSE)</f>
        <v>477.58737687999997</v>
      </c>
      <c r="N12" s="27">
        <f>VLOOKUP($A12,Table3[#All],21,FALSE)</f>
        <v>452.99409200000002</v>
      </c>
      <c r="O12" s="30">
        <f>ROUND(VLOOKUP($A12,Table3[#All],3,FALSE)-VLOOKUP($A12,Table3[#All],6,FALSE),0)</f>
        <v>-2</v>
      </c>
      <c r="P12" s="25">
        <f>ROUND(VLOOKUP($A12,Table3[#All],3,FALSE)-VLOOKUP($A12,Table3[#All],9,FALSE),0)</f>
        <v>-1</v>
      </c>
      <c r="Q12" s="34">
        <f>VLOOKUP($A12,Table3[#All],12,FALSE)</f>
        <v>-0.27120120544953241</v>
      </c>
      <c r="R12" s="32">
        <f>VLOOKUP($A12,Table3[#All],13,FALSE)</f>
        <v>0.26401006215610134</v>
      </c>
    </row>
    <row r="13" spans="1:18" x14ac:dyDescent="0.25">
      <c r="A13" s="58" t="s">
        <v>116</v>
      </c>
      <c r="B13" s="18" t="str">
        <f>TEXT(VLOOKUP($A13,Table3[#All],3,FALSE),"0") &amp; "-" &amp; TEXT(VLOOKUP($A13,Table3[#All],4,FALSE),"0")</f>
        <v>33-38</v>
      </c>
      <c r="C13" s="19">
        <f>VLOOKUP($A13,Table3[#All],5,FALSE)</f>
        <v>0.46500000000000002</v>
      </c>
      <c r="D13" s="18" t="str">
        <f>TEXT(VLOOKUP($A13,Table3[#All],6,FALSE),"0") &amp; "-" &amp; TEXT(VLOOKUP($A13,Table3[#All],7,FALSE),"0")</f>
        <v>36-36</v>
      </c>
      <c r="E13" s="23" t="str">
        <f>TEXT(VLOOKUP($A13,Table3[#All],9,FALSE),"0") &amp; "-" &amp; TEXT(VLOOKUP($A13,Table3[#All],10,FALSE),"0")</f>
        <v>34-37</v>
      </c>
      <c r="F13" s="53" t="str">
        <f>TEXT(VLOOKUP(VLOOKUP($A13,Table3[[Name]:[ABBR]],2,FALSE),[1]Raw!$L$2:$AC$23,11,FALSE),"0") &amp; "-" &amp;TEXT(VLOOKUP(VLOOKUP($A13,Table3[[Name]:[ABBR]],2,FALSE),[1]Raw!$L$2:$AC$23,12,FALSE),"0")</f>
        <v>19-17</v>
      </c>
      <c r="G13" s="55" t="str">
        <f>TEXT(VLOOKUP(VLOOKUP($A13,Table3[[Name]:[ABBR]],2,FALSE),[1]Raw!$L$2:$AC$23,13,FALSE),"0") &amp; "-" &amp;TEXT(VLOOKUP(VLOOKUP($A13,Table3[[Name]:[ABBR]],2,FALSE),[1]Raw!$L$2:$AC$23,14,FALSE),"0")</f>
        <v>14-21</v>
      </c>
      <c r="H13" s="53" t="str">
        <f>TEXT(VLOOKUP(VLOOKUP($A13,Table3[[Name]:[ABBR]],2,FALSE),[1]Raw!$L$2:$AC$23,15,FALSE),"0") &amp; "-" &amp;TEXT(VLOOKUP(VLOOKUP($A13,Table3[[Name]:[ABBR]],2,FALSE),[1]Raw!$L$2:$AC$23,16,FALSE),"0")</f>
        <v>21-26</v>
      </c>
      <c r="I13" s="53" t="str">
        <f>TEXT(VLOOKUP(VLOOKUP($A13,Table3[[Name]:[ABBR]],2,FALSE),[1]Raw!$L$2:$AC$23,17,FALSE),"0") &amp; "-" &amp;TEXT(VLOOKUP(VLOOKUP($A13,Table3[[Name]:[ABBR]],2,FALSE),[1]Raw!$L$2:$AC$23,18,FALSE),"0")</f>
        <v>12-12</v>
      </c>
      <c r="J13" s="18">
        <f>VLOOKUP($A13,Table3[#All],16,FALSE)</f>
        <v>401</v>
      </c>
      <c r="K13" s="6">
        <f>VLOOKUP($A13,Table3[#All],17,FALSE)</f>
        <v>401</v>
      </c>
      <c r="L13" s="25">
        <f>VLOOKUP($A13,Table3[#All],18,FALSE)</f>
        <v>0</v>
      </c>
      <c r="M13" s="26">
        <f>VLOOKUP($A13,Table3[#All],20,FALSE)</f>
        <v>402.82496231999988</v>
      </c>
      <c r="N13" s="27">
        <f>VLOOKUP($A13,Table3[#All],21,FALSE)</f>
        <v>425.43043700000004</v>
      </c>
      <c r="O13" s="30">
        <f>ROUND(VLOOKUP($A13,Table3[#All],3,FALSE)-VLOOKUP($A13,Table3[#All],6,FALSE),0)</f>
        <v>-3</v>
      </c>
      <c r="P13" s="25">
        <f>ROUND(VLOOKUP($A13,Table3[#All],3,FALSE)-VLOOKUP($A13,Table3[#All],9,FALSE),0)</f>
        <v>-1</v>
      </c>
      <c r="Q13" s="34">
        <f>VLOOKUP($A13,Table3[#All],12,FALSE)</f>
        <v>1.2219191737974344E-2</v>
      </c>
      <c r="R13" s="32">
        <f>VLOOKUP($A13,Table3[#All],13,FALSE)</f>
        <v>1.2219191737974344E-2</v>
      </c>
    </row>
    <row r="14" spans="1:18" x14ac:dyDescent="0.25">
      <c r="A14" s="58" t="s">
        <v>132</v>
      </c>
      <c r="B14" s="18" t="str">
        <f>TEXT(VLOOKUP($A14,Table3[#All],3,FALSE),"0") &amp; "-" &amp; TEXT(VLOOKUP($A14,Table3[#All],4,FALSE),"0")</f>
        <v>32-36</v>
      </c>
      <c r="C14" s="19">
        <f>VLOOKUP($A14,Table3[#All],5,FALSE)</f>
        <v>0.47099999999999997</v>
      </c>
      <c r="D14" s="18" t="str">
        <f>TEXT(VLOOKUP($A14,Table3[#All],6,FALSE),"0") &amp; "-" &amp; TEXT(VLOOKUP($A14,Table3[#All],7,FALSE),"0")</f>
        <v>33-35</v>
      </c>
      <c r="E14" s="23" t="str">
        <f>TEXT(VLOOKUP($A14,Table3[#All],9,FALSE),"0") &amp; "-" &amp; TEXT(VLOOKUP($A14,Table3[#All],10,FALSE),"0")</f>
        <v>33-35</v>
      </c>
      <c r="F14" s="53" t="str">
        <f>TEXT(VLOOKUP(VLOOKUP($A14,Table3[[Name]:[ABBR]],2,FALSE),[1]Raw!$L$2:$AC$23,11,FALSE),"0") &amp; "-" &amp;TEXT(VLOOKUP(VLOOKUP($A14,Table3[[Name]:[ABBR]],2,FALSE),[1]Raw!$L$2:$AC$23,12,FALSE),"0")</f>
        <v>23-13</v>
      </c>
      <c r="G14" s="55" t="str">
        <f>TEXT(VLOOKUP(VLOOKUP($A14,Table3[[Name]:[ABBR]],2,FALSE),[1]Raw!$L$2:$AC$23,13,FALSE),"0") &amp; "-" &amp;TEXT(VLOOKUP(VLOOKUP($A14,Table3[[Name]:[ABBR]],2,FALSE),[1]Raw!$L$2:$AC$23,14,FALSE),"0")</f>
        <v>9-23</v>
      </c>
      <c r="H14" s="53" t="str">
        <f>TEXT(VLOOKUP(VLOOKUP($A14,Table3[[Name]:[ABBR]],2,FALSE),[1]Raw!$L$2:$AC$23,15,FALSE),"0") &amp; "-" &amp;TEXT(VLOOKUP(VLOOKUP($A14,Table3[[Name]:[ABBR]],2,FALSE),[1]Raw!$L$2:$AC$23,16,FALSE),"0")</f>
        <v>10-22</v>
      </c>
      <c r="I14" s="53" t="str">
        <f>TEXT(VLOOKUP(VLOOKUP($A14,Table3[[Name]:[ABBR]],2,FALSE),[1]Raw!$L$2:$AC$23,17,FALSE),"0") &amp; "-" &amp;TEXT(VLOOKUP(VLOOKUP($A14,Table3[[Name]:[ABBR]],2,FALSE),[1]Raw!$L$2:$AC$23,18,FALSE),"0")</f>
        <v>22-14</v>
      </c>
      <c r="J14" s="18">
        <f>VLOOKUP($A14,Table3[#All],16,FALSE)</f>
        <v>455</v>
      </c>
      <c r="K14" s="6">
        <f>VLOOKUP($A14,Table3[#All],17,FALSE)</f>
        <v>469</v>
      </c>
      <c r="L14" s="25">
        <f>VLOOKUP($A14,Table3[#All],18,FALSE)</f>
        <v>-14</v>
      </c>
      <c r="M14" s="26">
        <f>VLOOKUP($A14,Table3[#All],20,FALSE)</f>
        <v>450.46975184000001</v>
      </c>
      <c r="N14" s="27">
        <f>VLOOKUP($A14,Table3[#All],21,FALSE)</f>
        <v>472.19380399999994</v>
      </c>
      <c r="O14" s="30">
        <f>ROUND(VLOOKUP($A14,Table3[#All],3,FALSE)-VLOOKUP($A14,Table3[#All],6,FALSE),0)</f>
        <v>-1</v>
      </c>
      <c r="P14" s="25">
        <f>ROUND(VLOOKUP($A14,Table3[#All],3,FALSE)-VLOOKUP($A14,Table3[#All],9,FALSE),0)</f>
        <v>-1</v>
      </c>
      <c r="Q14" s="34">
        <f>VLOOKUP($A14,Table3[#All],12,FALSE)</f>
        <v>2.9386942466381176E-2</v>
      </c>
      <c r="R14" s="32">
        <f>VLOOKUP($A14,Table3[#All],13,FALSE)</f>
        <v>-0.17649541047479528</v>
      </c>
    </row>
    <row r="15" spans="1:18" x14ac:dyDescent="0.25">
      <c r="A15" s="58" t="s">
        <v>120</v>
      </c>
      <c r="B15" s="18" t="str">
        <f>TEXT(VLOOKUP($A15,Table3[#All],3,FALSE),"0") &amp; "-" &amp; TEXT(VLOOKUP($A15,Table3[#All],4,FALSE),"0")</f>
        <v>31-37</v>
      </c>
      <c r="C15" s="19">
        <f>VLOOKUP($A15,Table3[#All],5,FALSE)</f>
        <v>0.45600000000000002</v>
      </c>
      <c r="D15" s="18" t="str">
        <f>TEXT(VLOOKUP($A15,Table3[#All],6,FALSE),"0") &amp; "-" &amp; TEXT(VLOOKUP($A15,Table3[#All],7,FALSE),"0")</f>
        <v>33-35</v>
      </c>
      <c r="E15" s="23" t="str">
        <f>TEXT(VLOOKUP($A15,Table3[#All],9,FALSE),"0") &amp; "-" &amp; TEXT(VLOOKUP($A15,Table3[#All],10,FALSE),"0")</f>
        <v>28-40</v>
      </c>
      <c r="F15" s="53" t="str">
        <f>TEXT(VLOOKUP(VLOOKUP($A15,Table3[[Name]:[ABBR]],2,FALSE),[1]Raw!$L$2:$AC$23,11,FALSE),"0") &amp; "-" &amp;TEXT(VLOOKUP(VLOOKUP($A15,Table3[[Name]:[ABBR]],2,FALSE),[1]Raw!$L$2:$AC$23,12,FALSE),"0")</f>
        <v>20-16</v>
      </c>
      <c r="G15" s="55" t="str">
        <f>TEXT(VLOOKUP(VLOOKUP($A15,Table3[[Name]:[ABBR]],2,FALSE),[1]Raw!$L$2:$AC$23,13,FALSE),"0") &amp; "-" &amp;TEXT(VLOOKUP(VLOOKUP($A15,Table3[[Name]:[ABBR]],2,FALSE),[1]Raw!$L$2:$AC$23,14,FALSE),"0")</f>
        <v>11-21</v>
      </c>
      <c r="H15" s="53" t="str">
        <f>TEXT(VLOOKUP(VLOOKUP($A15,Table3[[Name]:[ABBR]],2,FALSE),[1]Raw!$L$2:$AC$23,15,FALSE),"0") &amp; "-" &amp;TEXT(VLOOKUP(VLOOKUP($A15,Table3[[Name]:[ABBR]],2,FALSE),[1]Raw!$L$2:$AC$23,16,FALSE),"0")</f>
        <v>12-20</v>
      </c>
      <c r="I15" s="53" t="str">
        <f>TEXT(VLOOKUP(VLOOKUP($A15,Table3[[Name]:[ABBR]],2,FALSE),[1]Raw!$L$2:$AC$23,17,FALSE),"0") &amp; "-" &amp;TEXT(VLOOKUP(VLOOKUP($A15,Table3[[Name]:[ABBR]],2,FALSE),[1]Raw!$L$2:$AC$23,18,FALSE),"0")</f>
        <v>19-17</v>
      </c>
      <c r="J15" s="18">
        <f>VLOOKUP($A15,Table3[#All],16,FALSE)</f>
        <v>431</v>
      </c>
      <c r="K15" s="6">
        <f>VLOOKUP($A15,Table3[#All],17,FALSE)</f>
        <v>448</v>
      </c>
      <c r="L15" s="25">
        <f>VLOOKUP($A15,Table3[#All],18,FALSE)</f>
        <v>-17</v>
      </c>
      <c r="M15" s="26">
        <f>VLOOKUP($A15,Table3[#All],20,FALSE)</f>
        <v>405.61675983999999</v>
      </c>
      <c r="N15" s="27">
        <f>VLOOKUP($A15,Table3[#All],21,FALSE)</f>
        <v>491.93150000000009</v>
      </c>
      <c r="O15" s="30">
        <f>ROUND(VLOOKUP($A15,Table3[#All],3,FALSE)-VLOOKUP($A15,Table3[#All],6,FALSE),0)</f>
        <v>-2</v>
      </c>
      <c r="P15" s="25">
        <f>ROUND(VLOOKUP($A15,Table3[#All],3,FALSE)-VLOOKUP($A15,Table3[#All],9,FALSE),0)</f>
        <v>3</v>
      </c>
      <c r="Q15" s="34">
        <f>VLOOKUP($A15,Table3[#All],12,FALSE)</f>
        <v>3.4577253885066342E-2</v>
      </c>
      <c r="R15" s="32">
        <f>VLOOKUP($A15,Table3[#All],13,FALSE)</f>
        <v>-0.21542274611493367</v>
      </c>
    </row>
    <row r="16" spans="1:18" x14ac:dyDescent="0.25">
      <c r="A16" s="58" t="s">
        <v>101</v>
      </c>
      <c r="B16" s="18" t="str">
        <f>TEXT(VLOOKUP($A16,Table3[#All],3,FALSE),"0") &amp; "-" &amp; TEXT(VLOOKUP($A16,Table3[#All],4,FALSE),"0")</f>
        <v>34-33</v>
      </c>
      <c r="C16" s="19">
        <f>VLOOKUP($A16,Table3[#All],5,FALSE)</f>
        <v>0.50700000000000001</v>
      </c>
      <c r="D16" s="18" t="str">
        <f>TEXT(VLOOKUP($A16,Table3[#All],6,FALSE),"0") &amp; "-" &amp; TEXT(VLOOKUP($A16,Table3[#All],7,FALSE),"0")</f>
        <v>31-36</v>
      </c>
      <c r="E16" s="23" t="str">
        <f>TEXT(VLOOKUP($A16,Table3[#All],9,FALSE),"0") &amp; "-" &amp; TEXT(VLOOKUP($A16,Table3[#All],10,FALSE),"0")</f>
        <v>30-37</v>
      </c>
      <c r="F16" s="53" t="str">
        <f>TEXT(VLOOKUP(VLOOKUP($A16,Table3[[Name]:[ABBR]],2,FALSE),[1]Raw!$L$2:$AC$23,11,FALSE),"0") &amp; "-" &amp;TEXT(VLOOKUP(VLOOKUP($A16,Table3[[Name]:[ABBR]],2,FALSE),[1]Raw!$L$2:$AC$23,12,FALSE),"0")</f>
        <v>21-15</v>
      </c>
      <c r="G16" s="55" t="str">
        <f>TEXT(VLOOKUP(VLOOKUP($A16,Table3[[Name]:[ABBR]],2,FALSE),[1]Raw!$L$2:$AC$23,13,FALSE),"0") &amp; "-" &amp;TEXT(VLOOKUP(VLOOKUP($A16,Table3[[Name]:[ABBR]],2,FALSE),[1]Raw!$L$2:$AC$23,14,FALSE),"0")</f>
        <v>13-19</v>
      </c>
      <c r="H16" s="53" t="str">
        <f>TEXT(VLOOKUP(VLOOKUP($A16,Table3[[Name]:[ABBR]],2,FALSE),[1]Raw!$L$2:$AC$23,15,FALSE),"0") &amp; "-" &amp;TEXT(VLOOKUP(VLOOKUP($A16,Table3[[Name]:[ABBR]],2,FALSE),[1]Raw!$L$2:$AC$23,16,FALSE),"0")</f>
        <v>9-23</v>
      </c>
      <c r="I16" s="53" t="str">
        <f>TEXT(VLOOKUP(VLOOKUP($A16,Table3[[Name]:[ABBR]],2,FALSE),[1]Raw!$L$2:$AC$23,17,FALSE),"0") &amp; "-" &amp;TEXT(VLOOKUP(VLOOKUP($A16,Table3[[Name]:[ABBR]],2,FALSE),[1]Raw!$L$2:$AC$23,18,FALSE),"0")</f>
        <v>25-11</v>
      </c>
      <c r="J16" s="18">
        <f>VLOOKUP($A16,Table3[#All],16,FALSE)</f>
        <v>357</v>
      </c>
      <c r="K16" s="6">
        <f>VLOOKUP($A16,Table3[#All],17,FALSE)</f>
        <v>382</v>
      </c>
      <c r="L16" s="25">
        <f>VLOOKUP($A16,Table3[#All],18,FALSE)</f>
        <v>-25</v>
      </c>
      <c r="M16" s="26">
        <f>VLOOKUP($A16,Table3[#All],20,FALSE)</f>
        <v>380.37439063999994</v>
      </c>
      <c r="N16" s="27">
        <f>VLOOKUP($A16,Table3[#All],21,FALSE)</f>
        <v>422.90968599999997</v>
      </c>
      <c r="O16" s="30">
        <f>ROUND(VLOOKUP($A16,Table3[#All],3,FALSE)-VLOOKUP($A16,Table3[#All],6,FALSE),0)</f>
        <v>3</v>
      </c>
      <c r="P16" s="25">
        <f>ROUND(VLOOKUP($A16,Table3[#All],3,FALSE)-VLOOKUP($A16,Table3[#All],9,FALSE),0)</f>
        <v>4</v>
      </c>
      <c r="Q16" s="34">
        <f>VLOOKUP($A16,Table3[#All],12,FALSE)</f>
        <v>4.9795938672390828E-2</v>
      </c>
      <c r="R16" s="32">
        <f>VLOOKUP($A16,Table3[#All],13,FALSE)</f>
        <v>-0.32333838968581813</v>
      </c>
    </row>
    <row r="17" spans="1:18" x14ac:dyDescent="0.25">
      <c r="A17" s="58" t="s">
        <v>149</v>
      </c>
      <c r="B17" s="18" t="str">
        <f>TEXT(VLOOKUP($A17,Table3[#All],3,FALSE),"0") &amp; "-" &amp; TEXT(VLOOKUP($A17,Table3[#All],4,FALSE),"0")</f>
        <v>35-37</v>
      </c>
      <c r="C17" s="19">
        <f>VLOOKUP($A17,Table3[#All],5,FALSE)</f>
        <v>0.48599999999999999</v>
      </c>
      <c r="D17" s="18" t="str">
        <f>TEXT(VLOOKUP($A17,Table3[#All],6,FALSE),"0") &amp; "-" &amp; TEXT(VLOOKUP($A17,Table3[#All],7,FALSE),"0")</f>
        <v>33-39</v>
      </c>
      <c r="E17" s="23" t="str">
        <f>TEXT(VLOOKUP($A17,Table3[#All],9,FALSE),"0") &amp; "-" &amp; TEXT(VLOOKUP($A17,Table3[#All],10,FALSE),"0")</f>
        <v>34-38</v>
      </c>
      <c r="F17" s="53" t="str">
        <f>TEXT(VLOOKUP(VLOOKUP($A17,Table3[[Name]:[ABBR]],2,FALSE),[1]Raw!$L$2:$AC$23,11,FALSE),"0") &amp; "-" &amp;TEXT(VLOOKUP(VLOOKUP($A17,Table3[[Name]:[ABBR]],2,FALSE),[1]Raw!$L$2:$AC$23,12,FALSE),"0")</f>
        <v>14-22</v>
      </c>
      <c r="G17" s="55" t="str">
        <f>TEXT(VLOOKUP(VLOOKUP($A17,Table3[[Name]:[ABBR]],2,FALSE),[1]Raw!$L$2:$AC$23,13,FALSE),"0") &amp; "-" &amp;TEXT(VLOOKUP(VLOOKUP($A17,Table3[[Name]:[ABBR]],2,FALSE),[1]Raw!$L$2:$AC$23,14,FALSE),"0")</f>
        <v>21-15</v>
      </c>
      <c r="H17" s="53" t="str">
        <f>TEXT(VLOOKUP(VLOOKUP($A17,Table3[[Name]:[ABBR]],2,FALSE),[1]Raw!$L$2:$AC$23,15,FALSE),"0") &amp; "-" &amp;TEXT(VLOOKUP(VLOOKUP($A17,Table3[[Name]:[ABBR]],2,FALSE),[1]Raw!$L$2:$AC$23,16,FALSE),"0")</f>
        <v>18-26</v>
      </c>
      <c r="I17" s="53" t="str">
        <f>TEXT(VLOOKUP(VLOOKUP($A17,Table3[[Name]:[ABBR]],2,FALSE),[1]Raw!$L$2:$AC$23,17,FALSE),"0") &amp; "-" &amp;TEXT(VLOOKUP(VLOOKUP($A17,Table3[[Name]:[ABBR]],2,FALSE),[1]Raw!$L$2:$AC$23,18,FALSE),"0")</f>
        <v>17-11</v>
      </c>
      <c r="J17" s="18">
        <f>VLOOKUP($A17,Table3[#All],16,FALSE)</f>
        <v>430</v>
      </c>
      <c r="K17" s="6">
        <f>VLOOKUP($A17,Table3[#All],17,FALSE)</f>
        <v>474</v>
      </c>
      <c r="L17" s="25">
        <f>VLOOKUP($A17,Table3[#All],18,FALSE)</f>
        <v>-44</v>
      </c>
      <c r="M17" s="26">
        <f>VLOOKUP($A17,Table3[#All],20,FALSE)</f>
        <v>407.60178880000001</v>
      </c>
      <c r="N17" s="27">
        <f>VLOOKUP($A17,Table3[#All],21,FALSE)</f>
        <v>431.68162399999994</v>
      </c>
      <c r="O17" s="30">
        <f>ROUND(VLOOKUP($A17,Table3[#All],3,FALSE)-VLOOKUP($A17,Table3[#All],6,FALSE),0)</f>
        <v>2</v>
      </c>
      <c r="P17" s="25">
        <f>ROUND(VLOOKUP($A17,Table3[#All],3,FALSE)-VLOOKUP($A17,Table3[#All],9,FALSE),0)</f>
        <v>1</v>
      </c>
      <c r="Q17" s="34">
        <f>VLOOKUP($A17,Table3[#All],12,FALSE)</f>
        <v>-8.5055838201705453E-2</v>
      </c>
      <c r="R17" s="32">
        <f>VLOOKUP($A17,Table3[#All],13,FALSE)</f>
        <v>-0.69616694931281664</v>
      </c>
    </row>
    <row r="18" spans="1:18" x14ac:dyDescent="0.25">
      <c r="A18" s="58" t="s">
        <v>111</v>
      </c>
      <c r="B18" s="18" t="str">
        <f>TEXT(VLOOKUP($A18,Table3[#All],3,FALSE),"0") &amp; "-" &amp; TEXT(VLOOKUP($A18,Table3[#All],4,FALSE),"0")</f>
        <v>30-42</v>
      </c>
      <c r="C18" s="19">
        <f>VLOOKUP($A18,Table3[#All],5,FALSE)</f>
        <v>0.41699999999999998</v>
      </c>
      <c r="D18" s="18" t="str">
        <f>TEXT(VLOOKUP($A18,Table3[#All],6,FALSE),"0") &amp; "-" &amp; TEXT(VLOOKUP($A18,Table3[#All],7,FALSE),"0")</f>
        <v>28-44</v>
      </c>
      <c r="E18" s="23" t="str">
        <f>TEXT(VLOOKUP($A18,Table3[#All],9,FALSE),"0") &amp; "-" &amp; TEXT(VLOOKUP($A18,Table3[#All],10,FALSE),"0")</f>
        <v>30-42</v>
      </c>
      <c r="F18" s="53" t="str">
        <f>TEXT(VLOOKUP(VLOOKUP($A18,Table3[[Name]:[ABBR]],2,FALSE),[1]Raw!$L$2:$AC$23,11,FALSE),"0") &amp; "-" &amp;TEXT(VLOOKUP(VLOOKUP($A18,Table3[[Name]:[ABBR]],2,FALSE),[1]Raw!$L$2:$AC$23,12,FALSE),"0")</f>
        <v>14-22</v>
      </c>
      <c r="G18" s="55" t="str">
        <f>TEXT(VLOOKUP(VLOOKUP($A18,Table3[[Name]:[ABBR]],2,FALSE),[1]Raw!$L$2:$AC$23,13,FALSE),"0") &amp; "-" &amp;TEXT(VLOOKUP(VLOOKUP($A18,Table3[[Name]:[ABBR]],2,FALSE),[1]Raw!$L$2:$AC$23,14,FALSE),"0")</f>
        <v>16-20</v>
      </c>
      <c r="H18" s="53" t="str">
        <f>TEXT(VLOOKUP(VLOOKUP($A18,Table3[[Name]:[ABBR]],2,FALSE),[1]Raw!$L$2:$AC$23,15,FALSE),"0") &amp; "-" &amp;TEXT(VLOOKUP(VLOOKUP($A18,Table3[[Name]:[ABBR]],2,FALSE),[1]Raw!$L$2:$AC$23,16,FALSE),"0")</f>
        <v>23-37</v>
      </c>
      <c r="I18" s="53" t="str">
        <f>TEXT(VLOOKUP(VLOOKUP($A18,Table3[[Name]:[ABBR]],2,FALSE),[1]Raw!$L$2:$AC$23,17,FALSE),"0") &amp; "-" &amp;TEXT(VLOOKUP(VLOOKUP($A18,Table3[[Name]:[ABBR]],2,FALSE),[1]Raw!$L$2:$AC$23,18,FALSE),"0")</f>
        <v>7-5</v>
      </c>
      <c r="J18" s="18">
        <f>VLOOKUP($A18,Table3[#All],16,FALSE)</f>
        <v>348</v>
      </c>
      <c r="K18" s="6">
        <f>VLOOKUP($A18,Table3[#All],17,FALSE)</f>
        <v>449</v>
      </c>
      <c r="L18" s="25">
        <f>VLOOKUP($A18,Table3[#All],18,FALSE)</f>
        <v>-101</v>
      </c>
      <c r="M18" s="26">
        <f>VLOOKUP($A18,Table3[#All],20,FALSE)</f>
        <v>382.47367903999992</v>
      </c>
      <c r="N18" s="27">
        <f>VLOOKUP($A18,Table3[#All],21,FALSE)</f>
        <v>462.27984800000002</v>
      </c>
      <c r="O18" s="30">
        <f>ROUND(VLOOKUP($A18,Table3[#All],3,FALSE)-VLOOKUP($A18,Table3[#All],6,FALSE),0)</f>
        <v>2</v>
      </c>
      <c r="P18" s="25">
        <f>ROUND(VLOOKUP($A18,Table3[#All],3,FALSE)-VLOOKUP($A18,Table3[#All],9,FALSE),0)</f>
        <v>0</v>
      </c>
      <c r="Q18" s="34">
        <f>VLOOKUP($A18,Table3[#All],12,FALSE)</f>
        <v>0.54403040766857835</v>
      </c>
      <c r="R18" s="32">
        <f>VLOOKUP($A18,Table3[#All],13,FALSE)</f>
        <v>-0.85874737010919933</v>
      </c>
    </row>
    <row r="19" spans="1:18" x14ac:dyDescent="0.25">
      <c r="A19" s="58" t="s">
        <v>125</v>
      </c>
      <c r="B19" s="18" t="str">
        <f>TEXT(VLOOKUP($A19,Table3[#All],3,FALSE),"0") &amp; "-" &amp; TEXT(VLOOKUP($A19,Table3[#All],4,FALSE),"0")</f>
        <v>26-46</v>
      </c>
      <c r="C19" s="19">
        <f>VLOOKUP($A19,Table3[#All],5,FALSE)</f>
        <v>0.36099999999999999</v>
      </c>
      <c r="D19" s="18" t="str">
        <f>TEXT(VLOOKUP($A19,Table3[#All],6,FALSE),"0") &amp; "-" &amp; TEXT(VLOOKUP($A19,Table3[#All],7,FALSE),"0")</f>
        <v>28-44</v>
      </c>
      <c r="E19" s="23" t="str">
        <f>TEXT(VLOOKUP($A19,Table3[#All],9,FALSE),"0") &amp; "-" &amp; TEXT(VLOOKUP($A19,Table3[#All],10,FALSE),"0")</f>
        <v>24-48</v>
      </c>
      <c r="F19" s="53" t="str">
        <f>TEXT(VLOOKUP(VLOOKUP($A19,Table3[[Name]:[ABBR]],2,FALSE),[1]Raw!$L$2:$AC$23,11,FALSE),"0") &amp; "-" &amp;TEXT(VLOOKUP(VLOOKUP($A19,Table3[[Name]:[ABBR]],2,FALSE),[1]Raw!$L$2:$AC$23,12,FALSE),"0")</f>
        <v>14-22</v>
      </c>
      <c r="G19" s="55" t="str">
        <f>TEXT(VLOOKUP(VLOOKUP($A19,Table3[[Name]:[ABBR]],2,FALSE),[1]Raw!$L$2:$AC$23,13,FALSE),"0") &amp; "-" &amp;TEXT(VLOOKUP(VLOOKUP($A19,Table3[[Name]:[ABBR]],2,FALSE),[1]Raw!$L$2:$AC$23,14,FALSE),"0")</f>
        <v>12-24</v>
      </c>
      <c r="H19" s="53" t="str">
        <f>TEXT(VLOOKUP(VLOOKUP($A19,Table3[[Name]:[ABBR]],2,FALSE),[1]Raw!$L$2:$AC$23,15,FALSE),"0") &amp; "-" &amp;TEXT(VLOOKUP(VLOOKUP($A19,Table3[[Name]:[ABBR]],2,FALSE),[1]Raw!$L$2:$AC$23,16,FALSE),"0")</f>
        <v>17-35</v>
      </c>
      <c r="I19" s="53" t="str">
        <f>TEXT(VLOOKUP(VLOOKUP($A19,Table3[[Name]:[ABBR]],2,FALSE),[1]Raw!$L$2:$AC$23,17,FALSE),"0") &amp; "-" &amp;TEXT(VLOOKUP(VLOOKUP($A19,Table3[[Name]:[ABBR]],2,FALSE),[1]Raw!$L$2:$AC$23,18,FALSE),"0")</f>
        <v>9-11</v>
      </c>
      <c r="J19" s="18">
        <f>VLOOKUP($A19,Table3[#All],16,FALSE)</f>
        <v>394</v>
      </c>
      <c r="K19" s="6">
        <f>VLOOKUP($A19,Table3[#All],17,FALSE)</f>
        <v>503</v>
      </c>
      <c r="L19" s="25">
        <f>VLOOKUP($A19,Table3[#All],18,FALSE)</f>
        <v>-109</v>
      </c>
      <c r="M19" s="26">
        <f>VLOOKUP($A19,Table3[#All],20,FALSE)</f>
        <v>362.79788191999995</v>
      </c>
      <c r="N19" s="27">
        <f>VLOOKUP($A19,Table3[#All],21,FALSE)</f>
        <v>538.43684000000007</v>
      </c>
      <c r="O19" s="30">
        <f>ROUND(VLOOKUP($A19,Table3[#All],3,FALSE)-VLOOKUP($A19,Table3[#All],6,FALSE),0)</f>
        <v>-2</v>
      </c>
      <c r="P19" s="25">
        <f>ROUND(VLOOKUP($A19,Table3[#All],3,FALSE)-VLOOKUP($A19,Table3[#All],9,FALSE),0)</f>
        <v>2</v>
      </c>
      <c r="Q19" s="34">
        <f>VLOOKUP($A19,Table3[#All],12,FALSE)</f>
        <v>0.24647346105059859</v>
      </c>
      <c r="R19" s="32">
        <f>VLOOKUP($A19,Table3[#All],13,FALSE)</f>
        <v>-1.2674154278382903</v>
      </c>
    </row>
    <row r="20" spans="1:18" x14ac:dyDescent="0.25">
      <c r="A20" s="58" t="s">
        <v>97</v>
      </c>
      <c r="B20" s="18" t="str">
        <f>TEXT(VLOOKUP($A20,Table3[#All],3,FALSE),"0") &amp; "-" &amp; TEXT(VLOOKUP($A20,Table3[#All],4,FALSE),"0")</f>
        <v>23-45</v>
      </c>
      <c r="C20" s="19">
        <f>VLOOKUP($A20,Table3[#All],5,FALSE)</f>
        <v>0.33800000000000002</v>
      </c>
      <c r="D20" s="18" t="str">
        <f>TEXT(VLOOKUP($A20,Table3[#All],6,FALSE),"0") &amp; "-" &amp; TEXT(VLOOKUP($A20,Table3[#All],7,FALSE),"0")</f>
        <v>25-43</v>
      </c>
      <c r="E20" s="23" t="str">
        <f>TEXT(VLOOKUP($A20,Table3[#All],9,FALSE),"0") &amp; "-" &amp; TEXT(VLOOKUP($A20,Table3[#All],10,FALSE),"0")</f>
        <v>24-44</v>
      </c>
      <c r="F20" s="53" t="str">
        <f>TEXT(VLOOKUP(VLOOKUP($A20,Table3[[Name]:[ABBR]],2,FALSE),[1]Raw!$L$2:$AC$23,11,FALSE),"0") &amp; "-" &amp;TEXT(VLOOKUP(VLOOKUP($A20,Table3[[Name]:[ABBR]],2,FALSE),[1]Raw!$L$2:$AC$23,12,FALSE),"0")</f>
        <v>12-24</v>
      </c>
      <c r="G20" s="55" t="str">
        <f>TEXT(VLOOKUP(VLOOKUP($A20,Table3[[Name]:[ABBR]],2,FALSE),[1]Raw!$L$2:$AC$23,13,FALSE),"0") &amp; "-" &amp;TEXT(VLOOKUP(VLOOKUP($A20,Table3[[Name]:[ABBR]],2,FALSE),[1]Raw!$L$2:$AC$23,14,FALSE),"0")</f>
        <v>11-21</v>
      </c>
      <c r="H20" s="53" t="str">
        <f>TEXT(VLOOKUP(VLOOKUP($A20,Table3[[Name]:[ABBR]],2,FALSE),[1]Raw!$L$2:$AC$23,15,FALSE),"0") &amp; "-" &amp;TEXT(VLOOKUP(VLOOKUP($A20,Table3[[Name]:[ABBR]],2,FALSE),[1]Raw!$L$2:$AC$23,16,FALSE),"0")</f>
        <v>9-23</v>
      </c>
      <c r="I20" s="53" t="str">
        <f>TEXT(VLOOKUP(VLOOKUP($A20,Table3[[Name]:[ABBR]],2,FALSE),[1]Raw!$L$2:$AC$23,17,FALSE),"0") &amp; "-" &amp;TEXT(VLOOKUP(VLOOKUP($A20,Table3[[Name]:[ABBR]],2,FALSE),[1]Raw!$L$2:$AC$23,18,FALSE),"0")</f>
        <v>14-22</v>
      </c>
      <c r="J20" s="18">
        <f>VLOOKUP($A20,Table3[#All],16,FALSE)</f>
        <v>374</v>
      </c>
      <c r="K20" s="6">
        <f>VLOOKUP($A20,Table3[#All],17,FALSE)</f>
        <v>504</v>
      </c>
      <c r="L20" s="25">
        <f>VLOOKUP($A20,Table3[#All],18,FALSE)</f>
        <v>-130</v>
      </c>
      <c r="M20" s="26">
        <f>VLOOKUP($A20,Table3[#All],20,FALSE)</f>
        <v>381.22294511999996</v>
      </c>
      <c r="N20" s="27">
        <f>VLOOKUP($A20,Table3[#All],21,FALSE)</f>
        <v>527.87806</v>
      </c>
      <c r="O20" s="30">
        <f>ROUND(VLOOKUP($A20,Table3[#All],3,FALSE)-VLOOKUP($A20,Table3[#All],6,FALSE),0)</f>
        <v>-2</v>
      </c>
      <c r="P20" s="25">
        <f>ROUND(VLOOKUP($A20,Table3[#All],3,FALSE)-VLOOKUP($A20,Table3[#All],9,FALSE),0)</f>
        <v>-1</v>
      </c>
      <c r="Q20" s="34">
        <f>VLOOKUP($A20,Table3[#All],12,FALSE)</f>
        <v>0.23007898398887261</v>
      </c>
      <c r="R20" s="32">
        <f>VLOOKUP($A20,Table3[#All],13,FALSE)</f>
        <v>-1.6816857218934804</v>
      </c>
    </row>
    <row r="21" spans="1:18" x14ac:dyDescent="0.25">
      <c r="A21" s="58" t="s">
        <v>129</v>
      </c>
      <c r="B21" s="18" t="str">
        <f>TEXT(VLOOKUP($A21,Table3[#All],3,FALSE),"0") &amp; "-" &amp; TEXT(VLOOKUP($A21,Table3[#All],4,FALSE),"0")</f>
        <v>7-29</v>
      </c>
      <c r="C21" s="19">
        <f>VLOOKUP($A21,Table3[#All],5,FALSE)</f>
        <v>0.19400000000000001</v>
      </c>
      <c r="D21" s="18" t="str">
        <f>TEXT(VLOOKUP($A21,Table3[#All],6,FALSE),"0") &amp; "-" &amp; TEXT(VLOOKUP($A21,Table3[#All],7,FALSE),"0")</f>
        <v>11-25</v>
      </c>
      <c r="E21" s="23" t="str">
        <f>TEXT(VLOOKUP($A21,Table3[#All],9,FALSE),"0") &amp; "-" &amp; TEXT(VLOOKUP($A21,Table3[#All],10,FALSE),"0")</f>
        <v>10-26</v>
      </c>
      <c r="F21" s="53" t="str">
        <f>TEXT(VLOOKUP(VLOOKUP($A21,Table3[[Name]:[ABBR]],2,FALSE),[1]Raw!$L$2:$AC$23,11,FALSE),"0") &amp; "-" &amp;TEXT(VLOOKUP(VLOOKUP($A21,Table3[[Name]:[ABBR]],2,FALSE),[1]Raw!$L$2:$AC$23,12,FALSE),"0")</f>
        <v>0-0</v>
      </c>
      <c r="G21" s="55" t="str">
        <f>TEXT(VLOOKUP(VLOOKUP($A21,Table3[[Name]:[ABBR]],2,FALSE),[1]Raw!$L$2:$AC$23,13,FALSE),"0") &amp; "-" &amp;TEXT(VLOOKUP(VLOOKUP($A21,Table3[[Name]:[ABBR]],2,FALSE),[1]Raw!$L$2:$AC$23,14,FALSE),"0")</f>
        <v>7-29</v>
      </c>
      <c r="H21" s="53" t="str">
        <f>TEXT(VLOOKUP(VLOOKUP($A21,Table3[[Name]:[ABBR]],2,FALSE),[1]Raw!$L$2:$AC$23,15,FALSE),"0") &amp; "-" &amp;TEXT(VLOOKUP(VLOOKUP($A21,Table3[[Name]:[ABBR]],2,FALSE),[1]Raw!$L$2:$AC$23,16,FALSE),"0")</f>
        <v>1-15</v>
      </c>
      <c r="I21" s="53" t="str">
        <f>TEXT(VLOOKUP(VLOOKUP($A21,Table3[[Name]:[ABBR]],2,FALSE),[1]Raw!$L$2:$AC$23,17,FALSE),"0") &amp; "-" &amp;TEXT(VLOOKUP(VLOOKUP($A21,Table3[[Name]:[ABBR]],2,FALSE),[1]Raw!$L$2:$AC$23,18,FALSE),"0")</f>
        <v>6-14</v>
      </c>
      <c r="J21" s="18">
        <f>VLOOKUP($A21,Table3[#All],16,FALSE)</f>
        <v>175</v>
      </c>
      <c r="K21" s="6">
        <f>VLOOKUP($A21,Table3[#All],17,FALSE)</f>
        <v>270</v>
      </c>
      <c r="L21" s="25">
        <f>VLOOKUP($A21,Table3[#All],18,FALSE)</f>
        <v>-95</v>
      </c>
      <c r="M21" s="26">
        <f>VLOOKUP($A21,Table3[#All],20,FALSE)</f>
        <v>175.49550592</v>
      </c>
      <c r="N21" s="27">
        <f>VLOOKUP($A21,Table3[#All],21,FALSE)</f>
        <v>299.81815599999999</v>
      </c>
      <c r="O21" s="30">
        <f>ROUND(VLOOKUP($A21,Table3[#All],3,FALSE)-VLOOKUP($A21,Table3[#All],6,FALSE),0)</f>
        <v>-4</v>
      </c>
      <c r="P21" s="25">
        <f>ROUND(VLOOKUP($A21,Table3[#All],3,FALSE)-VLOOKUP($A21,Table3[#All],9,FALSE),0)</f>
        <v>-3</v>
      </c>
      <c r="Q21" s="34">
        <f>VLOOKUP($A21,Table3[#All],12,FALSE)</f>
        <v>0.15129900843412036</v>
      </c>
      <c r="R21" s="32">
        <f>VLOOKUP($A21,Table3[#All],13,FALSE)</f>
        <v>-2.4875898804547685</v>
      </c>
    </row>
    <row r="22" spans="1:18" x14ac:dyDescent="0.25">
      <c r="A22" s="58" t="s">
        <v>118</v>
      </c>
      <c r="B22" s="18" t="str">
        <f>TEXT(VLOOKUP($A22,Table3[#All],3,FALSE),"0") &amp; "-" &amp; TEXT(VLOOKUP($A22,Table3[#All],4,FALSE),"0")</f>
        <v>19-52</v>
      </c>
      <c r="C22" s="19">
        <f>VLOOKUP($A22,Table3[#All],5,FALSE)</f>
        <v>0.26800000000000002</v>
      </c>
      <c r="D22" s="18" t="str">
        <f>TEXT(VLOOKUP($A22,Table3[#All],6,FALSE),"0") &amp; "-" &amp; TEXT(VLOOKUP($A22,Table3[#All],7,FALSE),"0")</f>
        <v>20-51</v>
      </c>
      <c r="E22" s="23" t="str">
        <f>TEXT(VLOOKUP($A22,Table3[#All],9,FALSE),"0") &amp; "-" &amp; TEXT(VLOOKUP($A22,Table3[#All],10,FALSE),"0")</f>
        <v>22-49</v>
      </c>
      <c r="F22" s="53" t="str">
        <f>TEXT(VLOOKUP(VLOOKUP($A22,Table3[[Name]:[ABBR]],2,FALSE),[1]Raw!$L$2:$AC$23,11,FALSE),"0") &amp; "-" &amp;TEXT(VLOOKUP(VLOOKUP($A22,Table3[[Name]:[ABBR]],2,FALSE),[1]Raw!$L$2:$AC$23,12,FALSE),"0")</f>
        <v>10-26</v>
      </c>
      <c r="G22" s="55" t="str">
        <f>TEXT(VLOOKUP(VLOOKUP($A22,Table3[[Name]:[ABBR]],2,FALSE),[1]Raw!$L$2:$AC$23,13,FALSE),"0") &amp; "-" &amp;TEXT(VLOOKUP(VLOOKUP($A22,Table3[[Name]:[ABBR]],2,FALSE),[1]Raw!$L$2:$AC$23,14,FALSE),"0")</f>
        <v>9-27</v>
      </c>
      <c r="H22" s="53" t="str">
        <f>TEXT(VLOOKUP(VLOOKUP($A22,Table3[[Name]:[ABBR]],2,FALSE),[1]Raw!$L$2:$AC$23,15,FALSE),"0") &amp; "-" &amp;TEXT(VLOOKUP(VLOOKUP($A22,Table3[[Name]:[ABBR]],2,FALSE),[1]Raw!$L$2:$AC$23,16,FALSE),"0")</f>
        <v>9-35</v>
      </c>
      <c r="I22" s="53" t="str">
        <f>TEXT(VLOOKUP(VLOOKUP($A22,Table3[[Name]:[ABBR]],2,FALSE),[1]Raw!$L$2:$AC$23,17,FALSE),"0") &amp; "-" &amp;TEXT(VLOOKUP(VLOOKUP($A22,Table3[[Name]:[ABBR]],2,FALSE),[1]Raw!$L$2:$AC$23,18,FALSE),"0")</f>
        <v>10-18</v>
      </c>
      <c r="J22" s="18">
        <f>VLOOKUP($A22,Table3[#All],16,FALSE)</f>
        <v>325</v>
      </c>
      <c r="K22" s="6">
        <f>VLOOKUP($A22,Table3[#All],17,FALSE)</f>
        <v>545</v>
      </c>
      <c r="L22" s="25">
        <f>VLOOKUP($A22,Table3[#All],18,FALSE)</f>
        <v>-220</v>
      </c>
      <c r="M22" s="26">
        <f>VLOOKUP($A22,Table3[#All],20,FALSE)</f>
        <v>319.63520679999999</v>
      </c>
      <c r="N22" s="27">
        <f>VLOOKUP($A22,Table3[#All],21,FALSE)</f>
        <v>499.49929700000001</v>
      </c>
      <c r="O22" s="30">
        <f>ROUND(VLOOKUP($A22,Table3[#All],3,FALSE)-VLOOKUP($A22,Table3[#All],6,FALSE),0)</f>
        <v>-1</v>
      </c>
      <c r="P22" s="25">
        <f>ROUND(VLOOKUP($A22,Table3[#All],3,FALSE)-VLOOKUP($A22,Table3[#All],9,FALSE),0)</f>
        <v>-3</v>
      </c>
      <c r="Q22" s="34">
        <f>VLOOKUP($A22,Table3[#All],12,FALSE)</f>
        <v>0.48283521779223576</v>
      </c>
      <c r="R22" s="32">
        <f>VLOOKUP($A22,Table3[#All],13,FALSE)</f>
        <v>-2.6157563315035386</v>
      </c>
    </row>
    <row r="23" spans="1:18" x14ac:dyDescent="0.25">
      <c r="A23" s="59" t="s">
        <v>138</v>
      </c>
      <c r="B23" s="6" t="str">
        <f>TEXT(VLOOKUP($A23,Table3[#All],3,FALSE),"0") &amp; "-" &amp; TEXT(VLOOKUP($A23,Table3[#All],4,FALSE),"0")</f>
        <v>16-52</v>
      </c>
      <c r="C23" s="19">
        <f>VLOOKUP($A23,Table3[#All],5,FALSE)</f>
        <v>0.23499999999999999</v>
      </c>
      <c r="D23" s="18" t="str">
        <f>TEXT(VLOOKUP($A23,Table3[#All],6,FALSE),"0") &amp; "-" &amp; TEXT(VLOOKUP($A23,Table3[#All],7,FALSE),"0")</f>
        <v>20-48</v>
      </c>
      <c r="E23" s="23" t="str">
        <f>TEXT(VLOOKUP($A23,Table3[#All],9,FALSE),"0") &amp; "-" &amp; TEXT(VLOOKUP($A23,Table3[#All],10,FALSE),"0")</f>
        <v>22-46</v>
      </c>
      <c r="F23" s="53" t="str">
        <f>TEXT(VLOOKUP(VLOOKUP($A23,Table3[[Name]:[ABBR]],2,FALSE),[1]Raw!$L$2:$AC$23,11,FALSE),"0") &amp; "-" &amp;TEXT(VLOOKUP(VLOOKUP($A23,Table3[[Name]:[ABBR]],2,FALSE),[1]Raw!$L$2:$AC$23,12,FALSE),"0")</f>
        <v>9-27</v>
      </c>
      <c r="G23" s="56" t="str">
        <f>TEXT(VLOOKUP(VLOOKUP($A23,Table3[[Name]:[ABBR]],2,FALSE),[1]Raw!$L$2:$AC$23,13,FALSE),"0") &amp; "-" &amp;TEXT(VLOOKUP(VLOOKUP($A23,Table3[[Name]:[ABBR]],2,FALSE),[1]Raw!$L$2:$AC$23,14,FALSE),"0")</f>
        <v>7-25</v>
      </c>
      <c r="H23" s="53" t="str">
        <f>TEXT(VLOOKUP(VLOOKUP($A23,Table3[[Name]:[ABBR]],2,FALSE),[1]Raw!$L$2:$AC$23,15,FALSE),"0") &amp; "-" &amp;TEXT(VLOOKUP(VLOOKUP($A23,Table3[[Name]:[ABBR]],2,FALSE),[1]Raw!$L$2:$AC$23,16,FALSE),"0")</f>
        <v>3-29</v>
      </c>
      <c r="I23" s="53" t="str">
        <f>TEXT(VLOOKUP(VLOOKUP($A23,Table3[[Name]:[ABBR]],2,FALSE),[1]Raw!$L$2:$AC$23,17,FALSE),"0") &amp; "-" &amp;TEXT(VLOOKUP(VLOOKUP($A23,Table3[[Name]:[ABBR]],2,FALSE),[1]Raw!$L$2:$AC$23,18,FALSE),"0")</f>
        <v>13-23</v>
      </c>
      <c r="J23" s="18">
        <f>VLOOKUP($A23,Table3[#All],16,FALSE)</f>
        <v>368</v>
      </c>
      <c r="K23" s="6">
        <f>VLOOKUP($A23,Table3[#All],17,FALSE)</f>
        <v>595</v>
      </c>
      <c r="L23" s="25">
        <f>VLOOKUP($A23,Table3[#All],18,FALSE)</f>
        <v>-227</v>
      </c>
      <c r="M23" s="28">
        <f>VLOOKUP($A23,Table3[#All],20,FALSE)</f>
        <v>397.96088719999995</v>
      </c>
      <c r="N23" s="29">
        <f>VLOOKUP($A23,Table3[#All],21,FALSE)</f>
        <v>608.48138400000016</v>
      </c>
      <c r="O23" s="37">
        <f>ROUND(VLOOKUP($A23,Table3[#All],3,FALSE)-VLOOKUP($A23,Table3[#All],6,FALSE),0)</f>
        <v>-4</v>
      </c>
      <c r="P23" s="36">
        <f>ROUND(VLOOKUP($A23,Table3[#All],3,FALSE)-VLOOKUP($A23,Table3[#All],9,FALSE),0)</f>
        <v>-6</v>
      </c>
      <c r="Q23" s="35">
        <f>VLOOKUP($A23,Table3[#All],12,FALSE)</f>
        <v>0.39789905319302504</v>
      </c>
      <c r="R23" s="33">
        <f>VLOOKUP($A23,Table3[#All],13,FALSE)</f>
        <v>-2.9403362409246223</v>
      </c>
    </row>
    <row r="24" spans="1:18" x14ac:dyDescent="0.25">
      <c r="A24" s="66" t="s">
        <v>159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5"/>
    </row>
  </sheetData>
  <mergeCells count="1">
    <mergeCell ref="A24:R24"/>
  </mergeCells>
  <conditionalFormatting sqref="O2:P23">
    <cfRule type="cellIs" dxfId="9" priority="14" operator="equal">
      <formula>0</formula>
    </cfRule>
    <cfRule type="cellIs" dxfId="8" priority="15" operator="lessThan">
      <formula>0</formula>
    </cfRule>
    <cfRule type="cellIs" dxfId="7" priority="16" operator="greaterThan">
      <formula>0</formula>
    </cfRule>
  </conditionalFormatting>
  <conditionalFormatting sqref="L2:L23">
    <cfRule type="cellIs" dxfId="6" priority="11" operator="equal">
      <formula>0</formula>
    </cfRule>
    <cfRule type="cellIs" dxfId="5" priority="12" operator="lessThan">
      <formula>0</formula>
    </cfRule>
    <cfRule type="cellIs" dxfId="4" priority="13" operator="greaterThan">
      <formula>0</formula>
    </cfRule>
  </conditionalFormatting>
  <conditionalFormatting sqref="R2:R23">
    <cfRule type="top10" dxfId="3" priority="7" percent="1" bottom="1" rank="10"/>
    <cfRule type="top10" dxfId="2" priority="8" percent="1" rank="10"/>
    <cfRule type="cellIs" dxfId="1" priority="9" operator="lessThan">
      <formula>0</formula>
    </cfRule>
    <cfRule type="cellIs" dxfId="0" priority="10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a 7 T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V a 7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u 0 1 Q o i k e 4 D g A A A B E A A A A T A B w A R m 9 y b X V s Y X M v U 2 V j d G l v b j E u b S C i G A A o o B Q A A A A A A A A A A A A A A A A A A A A A A A A A A A A r T k 0 u y c z P U w i G 0 I b W A F B L A Q I t A B Q A A g A I A F W u 0 1 Q K V H B p p A A A A P c A A A A S A A A A A A A A A A A A A A A A A A A A A A B D b 2 5 m a W c v U G F j a 2 F n Z S 5 4 b W x Q S w E C L Q A U A A I A C A B V r t N U D 8 r p q 6 Q A A A D p A A A A E w A A A A A A A A A A A A A A A A D w A A A A W 0 N v b n R l b n R f V H l w Z X N d L n h t b F B L A Q I t A B Q A A g A I A F W u 0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z s 1 6 + o C 4 V R 6 8 E s D D p K A o V A A A A A A I A A A A A A B B m A A A A A Q A A I A A A A C m V Z w j p C g C z n M d i O D q h s m E r y Y z C S x I N z Z B l V q N c q / n K A A A A A A 6 A A A A A A g A A I A A A A I 5 w N 4 b g 0 1 w W H g 1 y Q w H x v m 9 C K K + x / 7 V Q E w z d a h 2 A P / v / U A A A A J W 7 g t K J a a P g A W g Y V M / 1 a 1 I J v c k 3 g r G W o / m L D x P Z g U f H j V Y A A A Y o 4 9 P L b K 6 I b L x C r d 3 N U a x X B 4 M p m C s h o / L x k R j Y U + A D u E m R M D i I 9 F g s 3 j Z D Q A A A A D a w p D m w o + J 4 Q q L 7 N V N y n x 5 4 p b K x 6 A + F 0 0 O q a p L R + N + V v p o q l 1 o C 8 z Z k Y T R B c 9 l x 8 M O a y z x F M X K A 6 d I H s m F l 6 v U = < / D a t a M a s h u p > 
</file>

<file path=customXml/itemProps1.xml><?xml version="1.0" encoding="utf-8"?>
<ds:datastoreItem xmlns:ds="http://schemas.openxmlformats.org/officeDocument/2006/customXml" ds:itemID="{7F3520F6-23B6-462A-B498-E58974C9B3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Clean</vt:lpstr>
      <vt:lpstr>Master</vt:lpstr>
      <vt:lpstr>Hitting</vt:lpstr>
      <vt:lpstr>Pitching</vt:lpstr>
      <vt:lpstr>StandingsRAW</vt:lpstr>
      <vt:lpstr>For Pub</vt:lpstr>
      <vt:lpstr>Clean!Print_Area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Banks</dc:creator>
  <cp:lastModifiedBy>Jack Banks</cp:lastModifiedBy>
  <cp:lastPrinted>2022-06-22T21:14:09Z</cp:lastPrinted>
  <dcterms:created xsi:type="dcterms:W3CDTF">2022-06-20T01:49:51Z</dcterms:created>
  <dcterms:modified xsi:type="dcterms:W3CDTF">2022-10-03T03:55:31Z</dcterms:modified>
</cp:coreProperties>
</file>