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updateLinks="always"/>
  <mc:AlternateContent xmlns:mc="http://schemas.openxmlformats.org/markup-compatibility/2006">
    <mc:Choice Requires="x15">
      <x15ac:absPath xmlns:x15ac="http://schemas.microsoft.com/office/spreadsheetml/2010/11/ac" url="/Users/jackwilliams/Dropbox/Cardiff/Katsu_PSHA/Codes_JW/MSSM_sourcecalcs/"/>
    </mc:Choice>
  </mc:AlternateContent>
  <xr:revisionPtr revIDLastSave="0" documentId="13_ncr:1_{548D2045-F18E-5345-86B8-8C5A2826E14A}" xr6:coauthVersionLast="47" xr6:coauthVersionMax="47" xr10:uidLastSave="{00000000-0000-0000-0000-000000000000}"/>
  <bookViews>
    <workbookView xWindow="34860" yWindow="500" windowWidth="28800" windowHeight="15760" tabRatio="500" activeTab="6" xr2:uid="{00000000-000D-0000-FFFF-FFFF00000000}"/>
  </bookViews>
  <sheets>
    <sheet name="Leonard2010" sheetId="1" r:id="rId1"/>
    <sheet name="SectionGeometry" sheetId="11" r:id="rId2"/>
    <sheet name="FaultGeometry" sheetId="10" r:id="rId3"/>
    <sheet name="MultiFaultGeometry" sheetId="13" r:id="rId4"/>
    <sheet name="MSSM_AdaptedSources" sheetId="15" r:id="rId5"/>
    <sheet name="BasinSpecificValues" sheetId="16" r:id="rId6"/>
    <sheet name="FaultObliquity" sheetId="12" r:id="rId7"/>
    <sheet name="HangingWall-Flexure" sheetId="4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4" l="1"/>
  <c r="C36" i="4"/>
  <c r="B36" i="4"/>
  <c r="D35" i="4"/>
  <c r="C35" i="4"/>
  <c r="B35" i="4"/>
  <c r="C29" i="4"/>
  <c r="C30" i="4" s="1"/>
  <c r="B29" i="4"/>
  <c r="B30" i="4" s="1"/>
  <c r="M11" i="4"/>
  <c r="Q11" i="4" s="1"/>
  <c r="F11" i="4"/>
  <c r="D11" i="4"/>
  <c r="Q10" i="4"/>
  <c r="N10" i="4"/>
  <c r="M10" i="4"/>
  <c r="L10" i="4" s="1"/>
  <c r="F10" i="4"/>
  <c r="D10" i="4"/>
  <c r="M9" i="4"/>
  <c r="L9" i="4" s="1"/>
  <c r="F9" i="4"/>
  <c r="D9" i="4"/>
  <c r="Q8" i="4"/>
  <c r="M8" i="4"/>
  <c r="F8" i="4"/>
  <c r="D8" i="4"/>
  <c r="M5" i="4"/>
  <c r="F5" i="4"/>
  <c r="D5" i="4"/>
  <c r="M4" i="4"/>
  <c r="Q4" i="4" s="1"/>
  <c r="D4" i="4"/>
  <c r="Q3" i="4"/>
  <c r="M3" i="4"/>
  <c r="D3" i="4"/>
  <c r="O272" i="12"/>
  <c r="N272" i="12"/>
  <c r="F272" i="12"/>
  <c r="E272" i="12"/>
  <c r="C272" i="12"/>
  <c r="Z272" i="12" s="1"/>
  <c r="B272" i="12"/>
  <c r="Q272" i="12" s="1"/>
  <c r="R272" i="12" s="1"/>
  <c r="S272" i="12" s="1"/>
  <c r="A272" i="12"/>
  <c r="H272" i="12" s="1"/>
  <c r="L271" i="12"/>
  <c r="J271" i="12"/>
  <c r="C271" i="12"/>
  <c r="B271" i="12"/>
  <c r="A271" i="12"/>
  <c r="N271" i="12" s="1"/>
  <c r="N270" i="12"/>
  <c r="M270" i="12"/>
  <c r="L270" i="12"/>
  <c r="O270" i="12" s="1"/>
  <c r="H270" i="12"/>
  <c r="G270" i="12"/>
  <c r="E270" i="12"/>
  <c r="D270" i="12"/>
  <c r="P270" i="12" s="1"/>
  <c r="C270" i="12"/>
  <c r="B270" i="12"/>
  <c r="A270" i="12"/>
  <c r="J270" i="12" s="1"/>
  <c r="N269" i="12"/>
  <c r="J269" i="12"/>
  <c r="I269" i="12"/>
  <c r="H269" i="12"/>
  <c r="E269" i="12"/>
  <c r="U269" i="12" s="1"/>
  <c r="C269" i="12"/>
  <c r="B269" i="12"/>
  <c r="A269" i="12"/>
  <c r="J268" i="12"/>
  <c r="I268" i="12"/>
  <c r="F268" i="12"/>
  <c r="C268" i="12"/>
  <c r="B268" i="12"/>
  <c r="A268" i="12"/>
  <c r="N267" i="12"/>
  <c r="M267" i="12"/>
  <c r="L267" i="12"/>
  <c r="J267" i="12"/>
  <c r="U267" i="12" s="1"/>
  <c r="H267" i="12"/>
  <c r="E267" i="12"/>
  <c r="C267" i="12"/>
  <c r="B267" i="12"/>
  <c r="A267" i="12"/>
  <c r="C266" i="12"/>
  <c r="B266" i="12"/>
  <c r="A266" i="12"/>
  <c r="N266" i="12" s="1"/>
  <c r="AA265" i="12"/>
  <c r="Q265" i="12"/>
  <c r="R265" i="12" s="1"/>
  <c r="S265" i="12" s="1"/>
  <c r="P265" i="12"/>
  <c r="O265" i="12"/>
  <c r="N265" i="12"/>
  <c r="M265" i="12"/>
  <c r="Y265" i="12" s="1"/>
  <c r="I265" i="12"/>
  <c r="G265" i="12"/>
  <c r="F265" i="12"/>
  <c r="E265" i="12"/>
  <c r="D265" i="12"/>
  <c r="C265" i="12"/>
  <c r="B265" i="12"/>
  <c r="A265" i="12"/>
  <c r="L265" i="12" s="1"/>
  <c r="AA264" i="12"/>
  <c r="P264" i="12"/>
  <c r="O264" i="12"/>
  <c r="M264" i="12"/>
  <c r="I264" i="12"/>
  <c r="G264" i="12"/>
  <c r="F264" i="12"/>
  <c r="E264" i="12"/>
  <c r="C264" i="12"/>
  <c r="B264" i="12"/>
  <c r="Q264" i="12" s="1"/>
  <c r="R264" i="12" s="1"/>
  <c r="S264" i="12" s="1"/>
  <c r="A264" i="12"/>
  <c r="H264" i="12" s="1"/>
  <c r="AA263" i="12"/>
  <c r="Q263" i="12"/>
  <c r="I263" i="12"/>
  <c r="G263" i="12"/>
  <c r="D263" i="12"/>
  <c r="C263" i="12"/>
  <c r="B263" i="12"/>
  <c r="A263" i="12"/>
  <c r="M262" i="12"/>
  <c r="L262" i="12"/>
  <c r="I262" i="12"/>
  <c r="G262" i="12"/>
  <c r="D262" i="12"/>
  <c r="C262" i="12"/>
  <c r="B262" i="12"/>
  <c r="A262" i="12"/>
  <c r="N261" i="12"/>
  <c r="M261" i="12"/>
  <c r="L261" i="12"/>
  <c r="H261" i="12"/>
  <c r="E261" i="12"/>
  <c r="C261" i="12"/>
  <c r="B261" i="12"/>
  <c r="A261" i="12"/>
  <c r="AA260" i="12"/>
  <c r="Q260" i="12"/>
  <c r="N260" i="12"/>
  <c r="G260" i="12"/>
  <c r="F260" i="12"/>
  <c r="E260" i="12"/>
  <c r="C260" i="12"/>
  <c r="I260" i="12" s="1"/>
  <c r="B260" i="12"/>
  <c r="D260" i="12" s="1"/>
  <c r="A260" i="12"/>
  <c r="H260" i="12" s="1"/>
  <c r="Q259" i="12"/>
  <c r="P259" i="12"/>
  <c r="O259" i="12"/>
  <c r="N259" i="12"/>
  <c r="M259" i="12"/>
  <c r="L259" i="12"/>
  <c r="J259" i="12"/>
  <c r="H259" i="12"/>
  <c r="G259" i="12"/>
  <c r="F259" i="12"/>
  <c r="E259" i="12"/>
  <c r="U259" i="12" s="1"/>
  <c r="D259" i="12"/>
  <c r="C259" i="12"/>
  <c r="B259" i="12"/>
  <c r="A259" i="12"/>
  <c r="L258" i="12"/>
  <c r="I258" i="12"/>
  <c r="H258" i="12"/>
  <c r="C258" i="12"/>
  <c r="F258" i="12" s="1"/>
  <c r="B258" i="12"/>
  <c r="A258" i="12"/>
  <c r="I257" i="12"/>
  <c r="F257" i="12"/>
  <c r="C257" i="12"/>
  <c r="B257" i="12"/>
  <c r="A257" i="12"/>
  <c r="M257" i="12" s="1"/>
  <c r="U256" i="12"/>
  <c r="O256" i="12"/>
  <c r="N256" i="12"/>
  <c r="L256" i="12"/>
  <c r="J256" i="12"/>
  <c r="E256" i="12"/>
  <c r="D256" i="12"/>
  <c r="C256" i="12"/>
  <c r="B256" i="12"/>
  <c r="A256" i="12"/>
  <c r="O255" i="12"/>
  <c r="M255" i="12"/>
  <c r="L255" i="12"/>
  <c r="H255" i="12"/>
  <c r="F255" i="12"/>
  <c r="C255" i="12"/>
  <c r="I255" i="12" s="1"/>
  <c r="B255" i="12"/>
  <c r="A255" i="12"/>
  <c r="AA254" i="12"/>
  <c r="Q254" i="12"/>
  <c r="R254" i="12" s="1"/>
  <c r="S254" i="12" s="1"/>
  <c r="P254" i="12"/>
  <c r="O254" i="12"/>
  <c r="N254" i="12"/>
  <c r="I254" i="12"/>
  <c r="H254" i="12"/>
  <c r="G254" i="12"/>
  <c r="F254" i="12"/>
  <c r="E254" i="12"/>
  <c r="D254" i="12"/>
  <c r="C254" i="12"/>
  <c r="B254" i="12"/>
  <c r="A254" i="12"/>
  <c r="AA253" i="12"/>
  <c r="AB253" i="12" s="1"/>
  <c r="AC253" i="12" s="1"/>
  <c r="L253" i="12"/>
  <c r="J253" i="12"/>
  <c r="D253" i="12"/>
  <c r="C253" i="12"/>
  <c r="B253" i="12"/>
  <c r="A253" i="12"/>
  <c r="L252" i="12"/>
  <c r="J252" i="12"/>
  <c r="G252" i="12"/>
  <c r="E252" i="12"/>
  <c r="U252" i="12" s="1"/>
  <c r="D252" i="12"/>
  <c r="P252" i="12" s="1"/>
  <c r="C252" i="12"/>
  <c r="B252" i="12"/>
  <c r="A252" i="12"/>
  <c r="Z251" i="12"/>
  <c r="Y251" i="12"/>
  <c r="N251" i="12"/>
  <c r="I251" i="12"/>
  <c r="H251" i="12"/>
  <c r="G251" i="12"/>
  <c r="E251" i="12"/>
  <c r="C251" i="12"/>
  <c r="F251" i="12" s="1"/>
  <c r="B251" i="12"/>
  <c r="D251" i="12" s="1"/>
  <c r="A251" i="12"/>
  <c r="M251" i="12" s="1"/>
  <c r="Z250" i="12"/>
  <c r="Y250" i="12"/>
  <c r="L250" i="12"/>
  <c r="I250" i="12"/>
  <c r="G250" i="12"/>
  <c r="D250" i="12"/>
  <c r="C250" i="12"/>
  <c r="B250" i="12"/>
  <c r="A250" i="12"/>
  <c r="M250" i="12" s="1"/>
  <c r="D249" i="12"/>
  <c r="C249" i="12"/>
  <c r="B249" i="12"/>
  <c r="A249" i="12"/>
  <c r="J248" i="12"/>
  <c r="H248" i="12"/>
  <c r="E248" i="12"/>
  <c r="U248" i="12" s="1"/>
  <c r="C248" i="12"/>
  <c r="B248" i="12"/>
  <c r="A248" i="12"/>
  <c r="M248" i="12" s="1"/>
  <c r="U247" i="12"/>
  <c r="N247" i="12"/>
  <c r="O247" i="12" s="1"/>
  <c r="M247" i="12"/>
  <c r="L247" i="12"/>
  <c r="H247" i="12"/>
  <c r="G247" i="12"/>
  <c r="E247" i="12"/>
  <c r="D247" i="12"/>
  <c r="P247" i="12" s="1"/>
  <c r="C247" i="12"/>
  <c r="B247" i="12"/>
  <c r="A247" i="12"/>
  <c r="J247" i="12" s="1"/>
  <c r="E246" i="12"/>
  <c r="C246" i="12"/>
  <c r="B246" i="12"/>
  <c r="A246" i="12"/>
  <c r="C245" i="12"/>
  <c r="B245" i="12"/>
  <c r="A245" i="12"/>
  <c r="N244" i="12"/>
  <c r="L244" i="12"/>
  <c r="J244" i="12"/>
  <c r="H244" i="12"/>
  <c r="C244" i="12"/>
  <c r="B244" i="12"/>
  <c r="A244" i="12"/>
  <c r="Q243" i="12"/>
  <c r="I243" i="12"/>
  <c r="G243" i="12"/>
  <c r="F243" i="12"/>
  <c r="D243" i="12"/>
  <c r="C243" i="12"/>
  <c r="AA243" i="12" s="1"/>
  <c r="B243" i="12"/>
  <c r="A243" i="12"/>
  <c r="N243" i="12" s="1"/>
  <c r="N242" i="12"/>
  <c r="M242" i="12"/>
  <c r="L242" i="12"/>
  <c r="I242" i="12"/>
  <c r="C242" i="12"/>
  <c r="B242" i="12"/>
  <c r="A242" i="12"/>
  <c r="U241" i="12"/>
  <c r="N241" i="12"/>
  <c r="M241" i="12"/>
  <c r="L241" i="12"/>
  <c r="T241" i="12" s="1"/>
  <c r="J241" i="12"/>
  <c r="H241" i="12"/>
  <c r="E241" i="12"/>
  <c r="C241" i="12"/>
  <c r="B241" i="12"/>
  <c r="A241" i="12"/>
  <c r="U240" i="12"/>
  <c r="N240" i="12"/>
  <c r="O240" i="12" s="1"/>
  <c r="M240" i="12"/>
  <c r="L240" i="12"/>
  <c r="E240" i="12"/>
  <c r="D240" i="12"/>
  <c r="P240" i="12" s="1"/>
  <c r="C240" i="12"/>
  <c r="B240" i="12"/>
  <c r="G240" i="12" s="1"/>
  <c r="A240" i="12"/>
  <c r="AA239" i="12"/>
  <c r="U239" i="12"/>
  <c r="Q239" i="12"/>
  <c r="M239" i="12"/>
  <c r="L239" i="12"/>
  <c r="I239" i="12"/>
  <c r="H239" i="12"/>
  <c r="G239" i="12"/>
  <c r="F239" i="12"/>
  <c r="D239" i="12"/>
  <c r="C239" i="12"/>
  <c r="B239" i="12"/>
  <c r="A239" i="12"/>
  <c r="AA238" i="12"/>
  <c r="U238" i="12"/>
  <c r="I238" i="12"/>
  <c r="H238" i="12"/>
  <c r="G238" i="12"/>
  <c r="F238" i="12"/>
  <c r="C238" i="12"/>
  <c r="B238" i="12"/>
  <c r="A238" i="12"/>
  <c r="J238" i="12" s="1"/>
  <c r="Y237" i="12"/>
  <c r="N237" i="12"/>
  <c r="M237" i="12"/>
  <c r="L237" i="12"/>
  <c r="T237" i="12" s="1"/>
  <c r="J237" i="12"/>
  <c r="H237" i="12"/>
  <c r="E237" i="12"/>
  <c r="U237" i="12" s="1"/>
  <c r="D237" i="12"/>
  <c r="P237" i="12" s="1"/>
  <c r="C237" i="12"/>
  <c r="B237" i="12"/>
  <c r="A237" i="12"/>
  <c r="AA236" i="12"/>
  <c r="AB236" i="12" s="1"/>
  <c r="AC236" i="12" s="1"/>
  <c r="Z236" i="12"/>
  <c r="Y236" i="12"/>
  <c r="Q236" i="12"/>
  <c r="N236" i="12"/>
  <c r="J236" i="12"/>
  <c r="I236" i="12"/>
  <c r="F236" i="12"/>
  <c r="D236" i="12"/>
  <c r="C236" i="12"/>
  <c r="B236" i="12"/>
  <c r="A236" i="12"/>
  <c r="AA235" i="12"/>
  <c r="AB235" i="12" s="1"/>
  <c r="AC235" i="12" s="1"/>
  <c r="M235" i="12"/>
  <c r="I235" i="12"/>
  <c r="H235" i="12"/>
  <c r="G235" i="12"/>
  <c r="C235" i="12"/>
  <c r="B235" i="12"/>
  <c r="A235" i="12"/>
  <c r="AA234" i="12"/>
  <c r="AB234" i="12" s="1"/>
  <c r="AC234" i="12" s="1"/>
  <c r="Z234" i="12"/>
  <c r="Y234" i="12"/>
  <c r="N234" i="12"/>
  <c r="J234" i="12"/>
  <c r="I234" i="12"/>
  <c r="F234" i="12"/>
  <c r="E234" i="12"/>
  <c r="C234" i="12"/>
  <c r="B234" i="12"/>
  <c r="A234" i="12"/>
  <c r="N233" i="12"/>
  <c r="T233" i="12" s="1"/>
  <c r="M233" i="12"/>
  <c r="L233" i="12"/>
  <c r="J233" i="12"/>
  <c r="H233" i="12"/>
  <c r="G233" i="12"/>
  <c r="E233" i="12"/>
  <c r="D233" i="12"/>
  <c r="C233" i="12"/>
  <c r="B233" i="12"/>
  <c r="A233" i="12"/>
  <c r="Q232" i="12"/>
  <c r="N232" i="12"/>
  <c r="J232" i="12"/>
  <c r="I232" i="12"/>
  <c r="E232" i="12"/>
  <c r="U232" i="12" s="1"/>
  <c r="D232" i="12"/>
  <c r="C232" i="12"/>
  <c r="B232" i="12"/>
  <c r="A232" i="12"/>
  <c r="L232" i="12" s="1"/>
  <c r="N231" i="12"/>
  <c r="L231" i="12"/>
  <c r="Y231" i="12" s="1"/>
  <c r="H231" i="12"/>
  <c r="G231" i="12"/>
  <c r="E231" i="12"/>
  <c r="C231" i="12"/>
  <c r="I231" i="12" s="1"/>
  <c r="B231" i="12"/>
  <c r="A231" i="12"/>
  <c r="M231" i="12" s="1"/>
  <c r="Q230" i="12"/>
  <c r="R230" i="12" s="1"/>
  <c r="S230" i="12" s="1"/>
  <c r="P230" i="12"/>
  <c r="O230" i="12"/>
  <c r="I230" i="12"/>
  <c r="H230" i="12"/>
  <c r="G230" i="12"/>
  <c r="F230" i="12"/>
  <c r="E230" i="12"/>
  <c r="D230" i="12"/>
  <c r="C230" i="12"/>
  <c r="AA230" i="12" s="1"/>
  <c r="B230" i="12"/>
  <c r="A230" i="12"/>
  <c r="O229" i="12"/>
  <c r="N229" i="12"/>
  <c r="M229" i="12"/>
  <c r="I229" i="12"/>
  <c r="C229" i="12"/>
  <c r="B229" i="12"/>
  <c r="D229" i="12" s="1"/>
  <c r="A229" i="12"/>
  <c r="E229" i="12" s="1"/>
  <c r="N228" i="12"/>
  <c r="M228" i="12"/>
  <c r="L228" i="12"/>
  <c r="H228" i="12"/>
  <c r="G228" i="12"/>
  <c r="E228" i="12"/>
  <c r="C228" i="12"/>
  <c r="B228" i="12"/>
  <c r="A228" i="12"/>
  <c r="AA227" i="12"/>
  <c r="Q227" i="12"/>
  <c r="I227" i="12"/>
  <c r="H227" i="12"/>
  <c r="G227" i="12"/>
  <c r="F227" i="12"/>
  <c r="E227" i="12"/>
  <c r="C227" i="12"/>
  <c r="B227" i="12"/>
  <c r="D227" i="12" s="1"/>
  <c r="A227" i="12"/>
  <c r="Q226" i="12"/>
  <c r="M226" i="12"/>
  <c r="G226" i="12"/>
  <c r="D226" i="12"/>
  <c r="C226" i="12"/>
  <c r="B226" i="12"/>
  <c r="A226" i="12"/>
  <c r="N225" i="12"/>
  <c r="M225" i="12"/>
  <c r="L225" i="12"/>
  <c r="G225" i="12"/>
  <c r="F225" i="12"/>
  <c r="E225" i="12"/>
  <c r="D225" i="12"/>
  <c r="C225" i="12"/>
  <c r="B225" i="12"/>
  <c r="Q225" i="12" s="1"/>
  <c r="A225" i="12"/>
  <c r="H225" i="12" s="1"/>
  <c r="AA224" i="12"/>
  <c r="Q224" i="12"/>
  <c r="J224" i="12"/>
  <c r="I224" i="12"/>
  <c r="G224" i="12"/>
  <c r="E224" i="12"/>
  <c r="U224" i="12" s="1"/>
  <c r="D224" i="12"/>
  <c r="P224" i="12" s="1"/>
  <c r="C224" i="12"/>
  <c r="F224" i="12" s="1"/>
  <c r="B224" i="12"/>
  <c r="A224" i="12"/>
  <c r="L223" i="12"/>
  <c r="J223" i="12"/>
  <c r="I223" i="12"/>
  <c r="H223" i="12"/>
  <c r="C223" i="12"/>
  <c r="B223" i="12"/>
  <c r="A223" i="12"/>
  <c r="U222" i="12"/>
  <c r="N222" i="12"/>
  <c r="I222" i="12"/>
  <c r="G222" i="12"/>
  <c r="F222" i="12"/>
  <c r="E222" i="12"/>
  <c r="D222" i="12"/>
  <c r="P222" i="12" s="1"/>
  <c r="C222" i="12"/>
  <c r="B222" i="12"/>
  <c r="A222" i="12"/>
  <c r="AA221" i="12"/>
  <c r="N221" i="12"/>
  <c r="I221" i="12"/>
  <c r="G221" i="12"/>
  <c r="F221" i="12"/>
  <c r="D221" i="12"/>
  <c r="C221" i="12"/>
  <c r="B221" i="12"/>
  <c r="A221" i="12"/>
  <c r="AA220" i="12"/>
  <c r="U220" i="12"/>
  <c r="L220" i="12"/>
  <c r="J220" i="12"/>
  <c r="I220" i="12"/>
  <c r="G220" i="12"/>
  <c r="C220" i="12"/>
  <c r="B220" i="12"/>
  <c r="A220" i="12"/>
  <c r="M220" i="12" s="1"/>
  <c r="C219" i="12"/>
  <c r="B219" i="12"/>
  <c r="A219" i="12"/>
  <c r="Q218" i="12"/>
  <c r="R218" i="12" s="1"/>
  <c r="S218" i="12" s="1"/>
  <c r="P218" i="12"/>
  <c r="O218" i="12"/>
  <c r="N218" i="12"/>
  <c r="M218" i="12"/>
  <c r="L218" i="12"/>
  <c r="H218" i="12"/>
  <c r="G218" i="12"/>
  <c r="E218" i="12"/>
  <c r="D218" i="12"/>
  <c r="C218" i="12"/>
  <c r="B218" i="12"/>
  <c r="A218" i="12"/>
  <c r="J218" i="12" s="1"/>
  <c r="U217" i="12"/>
  <c r="L217" i="12"/>
  <c r="J217" i="12"/>
  <c r="I217" i="12"/>
  <c r="G217" i="12"/>
  <c r="F217" i="12"/>
  <c r="C217" i="12"/>
  <c r="B217" i="12"/>
  <c r="A217" i="12"/>
  <c r="P216" i="12"/>
  <c r="N216" i="12"/>
  <c r="L216" i="12"/>
  <c r="D216" i="12"/>
  <c r="C216" i="12"/>
  <c r="B216" i="12"/>
  <c r="A216" i="12"/>
  <c r="AA215" i="12"/>
  <c r="AB215" i="12" s="1"/>
  <c r="AC215" i="12" s="1"/>
  <c r="Z215" i="12"/>
  <c r="N215" i="12"/>
  <c r="L215" i="12"/>
  <c r="I215" i="12"/>
  <c r="H215" i="12"/>
  <c r="F215" i="12"/>
  <c r="E215" i="12"/>
  <c r="C215" i="12"/>
  <c r="Y215" i="12" s="1"/>
  <c r="B215" i="12"/>
  <c r="A215" i="12"/>
  <c r="M215" i="12" s="1"/>
  <c r="Q214" i="12"/>
  <c r="R214" i="12" s="1"/>
  <c r="S214" i="12" s="1"/>
  <c r="P214" i="12"/>
  <c r="O214" i="12"/>
  <c r="H214" i="12"/>
  <c r="G214" i="12"/>
  <c r="D214" i="12"/>
  <c r="C214" i="12"/>
  <c r="I214" i="12" s="1"/>
  <c r="B214" i="12"/>
  <c r="A214" i="12"/>
  <c r="L214" i="12" s="1"/>
  <c r="U213" i="12"/>
  <c r="P213" i="12"/>
  <c r="O213" i="12"/>
  <c r="N213" i="12"/>
  <c r="M213" i="12"/>
  <c r="L213" i="12"/>
  <c r="I213" i="12"/>
  <c r="G213" i="12"/>
  <c r="E213" i="12"/>
  <c r="D213" i="12"/>
  <c r="C213" i="12"/>
  <c r="B213" i="12"/>
  <c r="Q213" i="12" s="1"/>
  <c r="R213" i="12" s="1"/>
  <c r="S213" i="12" s="1"/>
  <c r="A213" i="12"/>
  <c r="H213" i="12" s="1"/>
  <c r="U212" i="12"/>
  <c r="Q212" i="12"/>
  <c r="R212" i="12" s="1"/>
  <c r="S212" i="12" s="1"/>
  <c r="J212" i="12"/>
  <c r="I212" i="12"/>
  <c r="H212" i="12"/>
  <c r="G212" i="12"/>
  <c r="E212" i="12"/>
  <c r="C212" i="12"/>
  <c r="F212" i="12" s="1"/>
  <c r="B212" i="12"/>
  <c r="A212" i="12"/>
  <c r="J211" i="12"/>
  <c r="E211" i="12"/>
  <c r="C211" i="12"/>
  <c r="B211" i="12"/>
  <c r="A211" i="12"/>
  <c r="U210" i="12"/>
  <c r="Q210" i="12"/>
  <c r="N210" i="12"/>
  <c r="M210" i="12"/>
  <c r="L210" i="12"/>
  <c r="G210" i="12"/>
  <c r="F210" i="12"/>
  <c r="E210" i="12"/>
  <c r="P210" i="12" s="1"/>
  <c r="D210" i="12"/>
  <c r="C210" i="12"/>
  <c r="B210" i="12"/>
  <c r="A210" i="12"/>
  <c r="J210" i="12" s="1"/>
  <c r="AA209" i="12"/>
  <c r="I209" i="12"/>
  <c r="G209" i="12"/>
  <c r="F209" i="12"/>
  <c r="C209" i="12"/>
  <c r="B209" i="12"/>
  <c r="A209" i="12"/>
  <c r="AA208" i="12"/>
  <c r="U208" i="12"/>
  <c r="M208" i="12"/>
  <c r="L208" i="12"/>
  <c r="J208" i="12"/>
  <c r="I208" i="12"/>
  <c r="H208" i="12"/>
  <c r="C208" i="12"/>
  <c r="B208" i="12"/>
  <c r="A208" i="12"/>
  <c r="E208" i="12" s="1"/>
  <c r="N207" i="12"/>
  <c r="G207" i="12"/>
  <c r="F207" i="12"/>
  <c r="E207" i="12"/>
  <c r="C207" i="12"/>
  <c r="B207" i="12"/>
  <c r="D207" i="12" s="1"/>
  <c r="P207" i="12" s="1"/>
  <c r="A207" i="12"/>
  <c r="Q206" i="12"/>
  <c r="I206" i="12"/>
  <c r="H206" i="12"/>
  <c r="G206" i="12"/>
  <c r="F206" i="12"/>
  <c r="D206" i="12"/>
  <c r="C206" i="12"/>
  <c r="AA206" i="12" s="1"/>
  <c r="B206" i="12"/>
  <c r="A206" i="12"/>
  <c r="U205" i="12"/>
  <c r="N205" i="12"/>
  <c r="L205" i="12"/>
  <c r="J205" i="12"/>
  <c r="G205" i="12"/>
  <c r="D205" i="12"/>
  <c r="C205" i="12"/>
  <c r="B205" i="12"/>
  <c r="A205" i="12"/>
  <c r="N204" i="12"/>
  <c r="J204" i="12"/>
  <c r="C204" i="12"/>
  <c r="B204" i="12"/>
  <c r="A204" i="12"/>
  <c r="AA203" i="12"/>
  <c r="Q203" i="12"/>
  <c r="P203" i="12"/>
  <c r="O203" i="12"/>
  <c r="N203" i="12"/>
  <c r="L203" i="12"/>
  <c r="I203" i="12"/>
  <c r="H203" i="12"/>
  <c r="G203" i="12"/>
  <c r="F203" i="12"/>
  <c r="E203" i="12"/>
  <c r="C203" i="12"/>
  <c r="Y203" i="12" s="1"/>
  <c r="B203" i="12"/>
  <c r="D203" i="12" s="1"/>
  <c r="A203" i="12"/>
  <c r="M203" i="12" s="1"/>
  <c r="Q202" i="12"/>
  <c r="R202" i="12" s="1"/>
  <c r="S202" i="12" s="1"/>
  <c r="G202" i="12"/>
  <c r="C202" i="12"/>
  <c r="B202" i="12"/>
  <c r="P202" i="12" s="1"/>
  <c r="A202" i="12"/>
  <c r="Z201" i="12"/>
  <c r="Y201" i="12"/>
  <c r="Q201" i="12"/>
  <c r="R201" i="12" s="1"/>
  <c r="S201" i="12" s="1"/>
  <c r="P201" i="12"/>
  <c r="O201" i="12"/>
  <c r="M201" i="12"/>
  <c r="I201" i="12"/>
  <c r="G201" i="12"/>
  <c r="F201" i="12"/>
  <c r="D201" i="12"/>
  <c r="C201" i="12"/>
  <c r="AA201" i="12" s="1"/>
  <c r="AB201" i="12" s="1"/>
  <c r="AC201" i="12" s="1"/>
  <c r="B201" i="12"/>
  <c r="A201" i="12"/>
  <c r="AA200" i="12"/>
  <c r="P200" i="12"/>
  <c r="O200" i="12"/>
  <c r="N200" i="12"/>
  <c r="M200" i="12"/>
  <c r="L200" i="12"/>
  <c r="G200" i="12"/>
  <c r="F200" i="12"/>
  <c r="E200" i="12"/>
  <c r="D200" i="12"/>
  <c r="C200" i="12"/>
  <c r="B200" i="12"/>
  <c r="Q200" i="12" s="1"/>
  <c r="R200" i="12" s="1"/>
  <c r="S200" i="12" s="1"/>
  <c r="A200" i="12"/>
  <c r="H200" i="12" s="1"/>
  <c r="AA199" i="12"/>
  <c r="P199" i="12"/>
  <c r="I199" i="12"/>
  <c r="C199" i="12"/>
  <c r="F199" i="12" s="1"/>
  <c r="B199" i="12"/>
  <c r="A199" i="12"/>
  <c r="O198" i="12"/>
  <c r="L198" i="12"/>
  <c r="J198" i="12"/>
  <c r="I198" i="12"/>
  <c r="H198" i="12"/>
  <c r="E198" i="12"/>
  <c r="C198" i="12"/>
  <c r="AA198" i="12" s="1"/>
  <c r="AB198" i="12" s="1"/>
  <c r="AC198" i="12" s="1"/>
  <c r="B198" i="12"/>
  <c r="A198" i="12"/>
  <c r="Q197" i="12"/>
  <c r="R197" i="12" s="1"/>
  <c r="S197" i="12" s="1"/>
  <c r="P197" i="12"/>
  <c r="O197" i="12"/>
  <c r="N197" i="12"/>
  <c r="M197" i="12"/>
  <c r="L197" i="12"/>
  <c r="G197" i="12"/>
  <c r="E197" i="12"/>
  <c r="U197" i="12" s="1"/>
  <c r="D197" i="12"/>
  <c r="C197" i="12"/>
  <c r="B197" i="12"/>
  <c r="A197" i="12"/>
  <c r="J197" i="12" s="1"/>
  <c r="L196" i="12"/>
  <c r="J196" i="12"/>
  <c r="I196" i="12"/>
  <c r="F196" i="12"/>
  <c r="E196" i="12"/>
  <c r="C196" i="12"/>
  <c r="B196" i="12"/>
  <c r="A196" i="12"/>
  <c r="U195" i="12"/>
  <c r="N195" i="12"/>
  <c r="L195" i="12"/>
  <c r="I195" i="12"/>
  <c r="H195" i="12"/>
  <c r="D195" i="12"/>
  <c r="C195" i="12"/>
  <c r="B195" i="12"/>
  <c r="A195" i="12"/>
  <c r="E195" i="12" s="1"/>
  <c r="Q194" i="12"/>
  <c r="R194" i="12" s="1"/>
  <c r="S194" i="12" s="1"/>
  <c r="N194" i="12"/>
  <c r="F194" i="12"/>
  <c r="C194" i="12"/>
  <c r="B194" i="12"/>
  <c r="A194" i="12"/>
  <c r="Q193" i="12"/>
  <c r="R193" i="12" s="1"/>
  <c r="S193" i="12" s="1"/>
  <c r="P193" i="12"/>
  <c r="O193" i="12"/>
  <c r="I193" i="12"/>
  <c r="G193" i="12"/>
  <c r="F193" i="12"/>
  <c r="D193" i="12"/>
  <c r="C193" i="12"/>
  <c r="AA193" i="12" s="1"/>
  <c r="B193" i="12"/>
  <c r="A193" i="12"/>
  <c r="N192" i="12"/>
  <c r="M192" i="12"/>
  <c r="L192" i="12"/>
  <c r="D192" i="12"/>
  <c r="C192" i="12"/>
  <c r="B192" i="12"/>
  <c r="A192" i="12"/>
  <c r="U191" i="12"/>
  <c r="Q191" i="12"/>
  <c r="N191" i="12"/>
  <c r="L191" i="12"/>
  <c r="J191" i="12"/>
  <c r="E191" i="12"/>
  <c r="C191" i="12"/>
  <c r="B191" i="12"/>
  <c r="A191" i="12"/>
  <c r="N190" i="12"/>
  <c r="L190" i="12"/>
  <c r="I190" i="12"/>
  <c r="H190" i="12"/>
  <c r="G190" i="12"/>
  <c r="E190" i="12"/>
  <c r="C190" i="12"/>
  <c r="B190" i="12"/>
  <c r="A190" i="12"/>
  <c r="M190" i="12" s="1"/>
  <c r="Q189" i="12"/>
  <c r="M189" i="12"/>
  <c r="I189" i="12"/>
  <c r="H189" i="12"/>
  <c r="G189" i="12"/>
  <c r="F189" i="12"/>
  <c r="E189" i="12"/>
  <c r="D189" i="12"/>
  <c r="C189" i="12"/>
  <c r="AA189" i="12" s="1"/>
  <c r="B189" i="12"/>
  <c r="A189" i="12"/>
  <c r="N188" i="12"/>
  <c r="C188" i="12"/>
  <c r="B188" i="12"/>
  <c r="A188" i="12"/>
  <c r="Y187" i="12"/>
  <c r="N187" i="12"/>
  <c r="M187" i="12"/>
  <c r="L187" i="12"/>
  <c r="I187" i="12"/>
  <c r="G187" i="12"/>
  <c r="E187" i="12"/>
  <c r="C187" i="12"/>
  <c r="B187" i="12"/>
  <c r="A187" i="12"/>
  <c r="AA186" i="12"/>
  <c r="AB186" i="12" s="1"/>
  <c r="AC186" i="12" s="1"/>
  <c r="Z186" i="12"/>
  <c r="Y186" i="12"/>
  <c r="Q186" i="12"/>
  <c r="N186" i="12"/>
  <c r="L186" i="12"/>
  <c r="I186" i="12"/>
  <c r="H186" i="12"/>
  <c r="F186" i="12"/>
  <c r="E186" i="12"/>
  <c r="C186" i="12"/>
  <c r="B186" i="12"/>
  <c r="D186" i="12" s="1"/>
  <c r="A186" i="12"/>
  <c r="M186" i="12" s="1"/>
  <c r="Z185" i="12"/>
  <c r="G185" i="12"/>
  <c r="D185" i="12"/>
  <c r="C185" i="12"/>
  <c r="B185" i="12"/>
  <c r="A185" i="12"/>
  <c r="Z184" i="12"/>
  <c r="N184" i="12"/>
  <c r="M184" i="12"/>
  <c r="L184" i="12"/>
  <c r="I184" i="12"/>
  <c r="F184" i="12"/>
  <c r="E184" i="12"/>
  <c r="C184" i="12"/>
  <c r="B184" i="12"/>
  <c r="A184" i="12"/>
  <c r="H184" i="12" s="1"/>
  <c r="Q183" i="12"/>
  <c r="R183" i="12" s="1"/>
  <c r="S183" i="12" s="1"/>
  <c r="N183" i="12"/>
  <c r="M183" i="12"/>
  <c r="L183" i="12"/>
  <c r="H183" i="12"/>
  <c r="G183" i="12"/>
  <c r="E183" i="12"/>
  <c r="C183" i="12"/>
  <c r="B183" i="12"/>
  <c r="O183" i="12" s="1"/>
  <c r="A183" i="12"/>
  <c r="T183" i="12" s="1"/>
  <c r="AA182" i="12"/>
  <c r="AB182" i="12" s="1"/>
  <c r="AC182" i="12" s="1"/>
  <c r="Z182" i="12"/>
  <c r="Y182" i="12"/>
  <c r="Q182" i="12"/>
  <c r="I182" i="12"/>
  <c r="G182" i="12"/>
  <c r="F182" i="12"/>
  <c r="C182" i="12"/>
  <c r="B182" i="12"/>
  <c r="D182" i="12" s="1"/>
  <c r="A182" i="12"/>
  <c r="J182" i="12" s="1"/>
  <c r="Q181" i="12"/>
  <c r="L181" i="12"/>
  <c r="G181" i="12"/>
  <c r="E181" i="12"/>
  <c r="D181" i="12"/>
  <c r="C181" i="12"/>
  <c r="B181" i="12"/>
  <c r="A181" i="12"/>
  <c r="AA180" i="12"/>
  <c r="AB180" i="12" s="1"/>
  <c r="AC180" i="12" s="1"/>
  <c r="Z180" i="12"/>
  <c r="Q180" i="12"/>
  <c r="R180" i="12" s="1"/>
  <c r="S180" i="12" s="1"/>
  <c r="P180" i="12"/>
  <c r="O180" i="12"/>
  <c r="I180" i="12"/>
  <c r="G180" i="12"/>
  <c r="F180" i="12"/>
  <c r="E180" i="12"/>
  <c r="D180" i="12"/>
  <c r="C180" i="12"/>
  <c r="Y180" i="12" s="1"/>
  <c r="B180" i="12"/>
  <c r="A180" i="12"/>
  <c r="AA179" i="12"/>
  <c r="AB179" i="12" s="1"/>
  <c r="AC179" i="12" s="1"/>
  <c r="U179" i="12"/>
  <c r="N179" i="12"/>
  <c r="M179" i="12"/>
  <c r="L179" i="12"/>
  <c r="J179" i="12"/>
  <c r="H179" i="12"/>
  <c r="F179" i="12"/>
  <c r="E179" i="12"/>
  <c r="D179" i="12"/>
  <c r="C179" i="12"/>
  <c r="B179" i="12"/>
  <c r="A179" i="12"/>
  <c r="Z178" i="12"/>
  <c r="F178" i="12"/>
  <c r="C178" i="12"/>
  <c r="I178" i="12" s="1"/>
  <c r="B178" i="12"/>
  <c r="A178" i="12"/>
  <c r="M177" i="12"/>
  <c r="H177" i="12"/>
  <c r="G177" i="12"/>
  <c r="D177" i="12"/>
  <c r="C177" i="12"/>
  <c r="B177" i="12"/>
  <c r="A177" i="12"/>
  <c r="AA176" i="12"/>
  <c r="AB176" i="12" s="1"/>
  <c r="AC176" i="12" s="1"/>
  <c r="Z176" i="12"/>
  <c r="Y176" i="12"/>
  <c r="N176" i="12"/>
  <c r="M176" i="12"/>
  <c r="J176" i="12"/>
  <c r="I176" i="12"/>
  <c r="H176" i="12"/>
  <c r="F176" i="12"/>
  <c r="C176" i="12"/>
  <c r="B176" i="12"/>
  <c r="A176" i="12"/>
  <c r="U175" i="12"/>
  <c r="Q175" i="12"/>
  <c r="R175" i="12" s="1"/>
  <c r="S175" i="12" s="1"/>
  <c r="P175" i="12"/>
  <c r="O175" i="12"/>
  <c r="N175" i="12"/>
  <c r="M175" i="12"/>
  <c r="L175" i="12"/>
  <c r="T175" i="12" s="1"/>
  <c r="J175" i="12"/>
  <c r="H175" i="12"/>
  <c r="G175" i="12"/>
  <c r="E175" i="12"/>
  <c r="C175" i="12"/>
  <c r="B175" i="12"/>
  <c r="D175" i="12" s="1"/>
  <c r="A175" i="12"/>
  <c r="AA174" i="12"/>
  <c r="AB174" i="12" s="1"/>
  <c r="AC174" i="12" s="1"/>
  <c r="Z174" i="12"/>
  <c r="Y174" i="12"/>
  <c r="L174" i="12"/>
  <c r="I174" i="12"/>
  <c r="F174" i="12"/>
  <c r="E174" i="12"/>
  <c r="C174" i="12"/>
  <c r="B174" i="12"/>
  <c r="A174" i="12"/>
  <c r="AA173" i="12"/>
  <c r="AB173" i="12" s="1"/>
  <c r="AC173" i="12" s="1"/>
  <c r="Q173" i="12"/>
  <c r="M173" i="12"/>
  <c r="L173" i="12"/>
  <c r="H173" i="12"/>
  <c r="G173" i="12"/>
  <c r="C173" i="12"/>
  <c r="B173" i="12"/>
  <c r="A173" i="12"/>
  <c r="U172" i="12"/>
  <c r="J172" i="12"/>
  <c r="I172" i="12"/>
  <c r="F172" i="12"/>
  <c r="E172" i="12"/>
  <c r="C172" i="12"/>
  <c r="B172" i="12"/>
  <c r="A172" i="12"/>
  <c r="U171" i="12"/>
  <c r="N171" i="12"/>
  <c r="M171" i="12"/>
  <c r="L171" i="12"/>
  <c r="T171" i="12" s="1"/>
  <c r="J171" i="12"/>
  <c r="H171" i="12"/>
  <c r="F171" i="12"/>
  <c r="E171" i="12"/>
  <c r="D171" i="12"/>
  <c r="P171" i="12" s="1"/>
  <c r="C171" i="12"/>
  <c r="B171" i="12"/>
  <c r="A171" i="12"/>
  <c r="O170" i="12"/>
  <c r="N170" i="12"/>
  <c r="M170" i="12"/>
  <c r="I170" i="12"/>
  <c r="E170" i="12"/>
  <c r="D170" i="12"/>
  <c r="C170" i="12"/>
  <c r="B170" i="12"/>
  <c r="A170" i="12"/>
  <c r="G169" i="12"/>
  <c r="C169" i="12"/>
  <c r="B169" i="12"/>
  <c r="A169" i="12"/>
  <c r="N168" i="12"/>
  <c r="I168" i="12"/>
  <c r="H168" i="12"/>
  <c r="F168" i="12"/>
  <c r="C168" i="12"/>
  <c r="B168" i="12"/>
  <c r="A168" i="12"/>
  <c r="U167" i="12"/>
  <c r="N167" i="12"/>
  <c r="M167" i="12"/>
  <c r="T167" i="12" s="1"/>
  <c r="L167" i="12"/>
  <c r="J167" i="12"/>
  <c r="H167" i="12"/>
  <c r="E167" i="12"/>
  <c r="C167" i="12"/>
  <c r="B167" i="12"/>
  <c r="A167" i="12"/>
  <c r="U166" i="12"/>
  <c r="N166" i="12"/>
  <c r="M166" i="12"/>
  <c r="L166" i="12"/>
  <c r="H166" i="12"/>
  <c r="E166" i="12"/>
  <c r="C166" i="12"/>
  <c r="B166" i="12"/>
  <c r="A166" i="12"/>
  <c r="Z165" i="12"/>
  <c r="I165" i="12"/>
  <c r="F165" i="12"/>
  <c r="C165" i="12"/>
  <c r="B165" i="12"/>
  <c r="A165" i="12"/>
  <c r="U165" i="12" s="1"/>
  <c r="Z164" i="12"/>
  <c r="Q164" i="12"/>
  <c r="N164" i="12"/>
  <c r="M164" i="12"/>
  <c r="J164" i="12"/>
  <c r="I164" i="12"/>
  <c r="H164" i="12"/>
  <c r="F164" i="12"/>
  <c r="D164" i="12"/>
  <c r="C164" i="12"/>
  <c r="B164" i="12"/>
  <c r="A164" i="12"/>
  <c r="U163" i="12"/>
  <c r="N163" i="12"/>
  <c r="M163" i="12"/>
  <c r="L163" i="12"/>
  <c r="J163" i="12"/>
  <c r="H163" i="12"/>
  <c r="G163" i="12"/>
  <c r="O163" i="12" s="1"/>
  <c r="E163" i="12"/>
  <c r="D163" i="12"/>
  <c r="C163" i="12"/>
  <c r="B163" i="12"/>
  <c r="P163" i="12" s="1"/>
  <c r="A163" i="12"/>
  <c r="C162" i="12"/>
  <c r="B162" i="12"/>
  <c r="A162" i="12"/>
  <c r="M161" i="12"/>
  <c r="J161" i="12"/>
  <c r="H161" i="12"/>
  <c r="C161" i="12"/>
  <c r="B161" i="12"/>
  <c r="A161" i="12"/>
  <c r="Z160" i="12"/>
  <c r="N160" i="12"/>
  <c r="M160" i="12"/>
  <c r="J160" i="12"/>
  <c r="I160" i="12"/>
  <c r="H160" i="12"/>
  <c r="G160" i="12"/>
  <c r="F160" i="12"/>
  <c r="E160" i="12"/>
  <c r="U160" i="12" s="1"/>
  <c r="D160" i="12"/>
  <c r="C160" i="12"/>
  <c r="B160" i="12"/>
  <c r="P160" i="12" s="1"/>
  <c r="A160" i="12"/>
  <c r="T159" i="12"/>
  <c r="N159" i="12"/>
  <c r="M159" i="12"/>
  <c r="L159" i="12"/>
  <c r="J159" i="12"/>
  <c r="H159" i="12"/>
  <c r="G159" i="12"/>
  <c r="F159" i="12"/>
  <c r="E159" i="12"/>
  <c r="U159" i="12" s="1"/>
  <c r="C159" i="12"/>
  <c r="B159" i="12"/>
  <c r="A159" i="12"/>
  <c r="Z158" i="12"/>
  <c r="F158" i="12"/>
  <c r="E158" i="12"/>
  <c r="D158" i="12"/>
  <c r="C158" i="12"/>
  <c r="B158" i="12"/>
  <c r="A158" i="12"/>
  <c r="Z157" i="12"/>
  <c r="M157" i="12"/>
  <c r="L157" i="12"/>
  <c r="I157" i="12"/>
  <c r="H157" i="12"/>
  <c r="F157" i="12"/>
  <c r="D157" i="12"/>
  <c r="C157" i="12"/>
  <c r="B157" i="12"/>
  <c r="G157" i="12" s="1"/>
  <c r="A157" i="12"/>
  <c r="P156" i="12"/>
  <c r="J156" i="12"/>
  <c r="I156" i="12"/>
  <c r="E156" i="12"/>
  <c r="U156" i="12" s="1"/>
  <c r="C156" i="12"/>
  <c r="B156" i="12"/>
  <c r="D156" i="12" s="1"/>
  <c r="A156" i="12"/>
  <c r="U155" i="12"/>
  <c r="N155" i="12"/>
  <c r="M155" i="12"/>
  <c r="L155" i="12"/>
  <c r="H155" i="12"/>
  <c r="G155" i="12"/>
  <c r="F155" i="12"/>
  <c r="E155" i="12"/>
  <c r="D155" i="12"/>
  <c r="P155" i="12" s="1"/>
  <c r="C155" i="12"/>
  <c r="B155" i="12"/>
  <c r="A155" i="12"/>
  <c r="J155" i="12" s="1"/>
  <c r="U154" i="12"/>
  <c r="P154" i="12"/>
  <c r="O154" i="12"/>
  <c r="L154" i="12"/>
  <c r="J154" i="12"/>
  <c r="E154" i="12"/>
  <c r="C154" i="12"/>
  <c r="B154" i="12"/>
  <c r="A154" i="12"/>
  <c r="AA153" i="12"/>
  <c r="I153" i="12"/>
  <c r="D153" i="12"/>
  <c r="C153" i="12"/>
  <c r="B153" i="12"/>
  <c r="A153" i="12"/>
  <c r="L152" i="12"/>
  <c r="J152" i="12"/>
  <c r="H152" i="12"/>
  <c r="G152" i="12"/>
  <c r="C152" i="12"/>
  <c r="AA152" i="12" s="1"/>
  <c r="B152" i="12"/>
  <c r="A152" i="12"/>
  <c r="Q151" i="12"/>
  <c r="I151" i="12"/>
  <c r="G151" i="12"/>
  <c r="F151" i="12"/>
  <c r="D151" i="12"/>
  <c r="C151" i="12"/>
  <c r="AA151" i="12" s="1"/>
  <c r="B151" i="12"/>
  <c r="A151" i="12"/>
  <c r="AA150" i="12"/>
  <c r="M150" i="12"/>
  <c r="I150" i="12"/>
  <c r="G150" i="12"/>
  <c r="D150" i="12"/>
  <c r="C150" i="12"/>
  <c r="B150" i="12"/>
  <c r="A150" i="12"/>
  <c r="N150" i="12" s="1"/>
  <c r="U149" i="12"/>
  <c r="P149" i="12"/>
  <c r="L149" i="12"/>
  <c r="J149" i="12"/>
  <c r="H149" i="12"/>
  <c r="G149" i="12"/>
  <c r="E149" i="12"/>
  <c r="C149" i="12"/>
  <c r="B149" i="12"/>
  <c r="A149" i="12"/>
  <c r="N149" i="12" s="1"/>
  <c r="Q148" i="12"/>
  <c r="R148" i="12" s="1"/>
  <c r="S148" i="12" s="1"/>
  <c r="P148" i="12"/>
  <c r="O148" i="12"/>
  <c r="I148" i="12"/>
  <c r="G148" i="12"/>
  <c r="F148" i="12"/>
  <c r="E148" i="12"/>
  <c r="C148" i="12"/>
  <c r="B148" i="12"/>
  <c r="D148" i="12" s="1"/>
  <c r="A148" i="12"/>
  <c r="J148" i="12" s="1"/>
  <c r="Z147" i="12"/>
  <c r="Y147" i="12"/>
  <c r="P147" i="12"/>
  <c r="N147" i="12"/>
  <c r="M147" i="12"/>
  <c r="L147" i="12"/>
  <c r="H147" i="12"/>
  <c r="G147" i="12"/>
  <c r="F147" i="12"/>
  <c r="D147" i="12"/>
  <c r="C147" i="12"/>
  <c r="B147" i="12"/>
  <c r="A147" i="12"/>
  <c r="J147" i="12" s="1"/>
  <c r="AA146" i="12"/>
  <c r="AB146" i="12" s="1"/>
  <c r="AC146" i="12" s="1"/>
  <c r="L146" i="12"/>
  <c r="J146" i="12"/>
  <c r="U146" i="12" s="1"/>
  <c r="G146" i="12"/>
  <c r="F146" i="12"/>
  <c r="E146" i="12"/>
  <c r="C146" i="12"/>
  <c r="B146" i="12"/>
  <c r="A146" i="12"/>
  <c r="AA145" i="12"/>
  <c r="AB145" i="12" s="1"/>
  <c r="AC145" i="12" s="1"/>
  <c r="Y145" i="12"/>
  <c r="N145" i="12"/>
  <c r="M145" i="12"/>
  <c r="I145" i="12"/>
  <c r="H145" i="12"/>
  <c r="T145" i="12" s="1"/>
  <c r="G145" i="12"/>
  <c r="D145" i="12"/>
  <c r="C145" i="12"/>
  <c r="B145" i="12"/>
  <c r="A145" i="12"/>
  <c r="L145" i="12" s="1"/>
  <c r="L144" i="12"/>
  <c r="J144" i="12"/>
  <c r="H144" i="12"/>
  <c r="G144" i="12"/>
  <c r="C144" i="12"/>
  <c r="B144" i="12"/>
  <c r="A144" i="12"/>
  <c r="Y143" i="12"/>
  <c r="I143" i="12"/>
  <c r="G143" i="12"/>
  <c r="F143" i="12"/>
  <c r="E143" i="12"/>
  <c r="P143" i="12" s="1"/>
  <c r="D143" i="12"/>
  <c r="C143" i="12"/>
  <c r="AA143" i="12" s="1"/>
  <c r="AB143" i="12" s="1"/>
  <c r="AC143" i="12" s="1"/>
  <c r="B143" i="12"/>
  <c r="A143" i="12"/>
  <c r="P142" i="12"/>
  <c r="O142" i="12"/>
  <c r="N142" i="12"/>
  <c r="J142" i="12"/>
  <c r="G142" i="12"/>
  <c r="D142" i="12"/>
  <c r="C142" i="12"/>
  <c r="B142" i="12"/>
  <c r="Q142" i="12" s="1"/>
  <c r="R142" i="12" s="1"/>
  <c r="S142" i="12" s="1"/>
  <c r="A142" i="12"/>
  <c r="Y141" i="12"/>
  <c r="Q141" i="12"/>
  <c r="R141" i="12" s="1"/>
  <c r="S141" i="12" s="1"/>
  <c r="L141" i="12"/>
  <c r="J141" i="12"/>
  <c r="H141" i="12"/>
  <c r="G141" i="12"/>
  <c r="E141" i="12"/>
  <c r="C141" i="12"/>
  <c r="B141" i="12"/>
  <c r="A141" i="12"/>
  <c r="N141" i="12" s="1"/>
  <c r="P140" i="12"/>
  <c r="O140" i="12"/>
  <c r="J140" i="12"/>
  <c r="E140" i="12"/>
  <c r="U140" i="12" s="1"/>
  <c r="C140" i="12"/>
  <c r="B140" i="12"/>
  <c r="D140" i="12" s="1"/>
  <c r="A140" i="12"/>
  <c r="U139" i="12"/>
  <c r="Q139" i="12"/>
  <c r="R139" i="12" s="1"/>
  <c r="S139" i="12" s="1"/>
  <c r="P139" i="12"/>
  <c r="O139" i="12"/>
  <c r="N139" i="12"/>
  <c r="M139" i="12"/>
  <c r="L139" i="12"/>
  <c r="H139" i="12"/>
  <c r="G139" i="12"/>
  <c r="E139" i="12"/>
  <c r="D139" i="12"/>
  <c r="C139" i="12"/>
  <c r="F139" i="12" s="1"/>
  <c r="B139" i="12"/>
  <c r="A139" i="12"/>
  <c r="J139" i="12" s="1"/>
  <c r="U138" i="12"/>
  <c r="L138" i="12"/>
  <c r="J138" i="12"/>
  <c r="G138" i="12"/>
  <c r="E138" i="12"/>
  <c r="C138" i="12"/>
  <c r="B138" i="12"/>
  <c r="A138" i="12"/>
  <c r="N137" i="12"/>
  <c r="J137" i="12"/>
  <c r="P137" i="12" s="1"/>
  <c r="I137" i="12"/>
  <c r="D137" i="12"/>
  <c r="C137" i="12"/>
  <c r="B137" i="12"/>
  <c r="A137" i="12"/>
  <c r="L137" i="12" s="1"/>
  <c r="L136" i="12"/>
  <c r="J136" i="12"/>
  <c r="H136" i="12"/>
  <c r="G136" i="12"/>
  <c r="F136" i="12"/>
  <c r="C136" i="12"/>
  <c r="B136" i="12"/>
  <c r="A136" i="12"/>
  <c r="Z135" i="12"/>
  <c r="Y135" i="12"/>
  <c r="Q135" i="12"/>
  <c r="R135" i="12" s="1"/>
  <c r="S135" i="12" s="1"/>
  <c r="P135" i="12"/>
  <c r="O135" i="12"/>
  <c r="N135" i="12"/>
  <c r="I135" i="12"/>
  <c r="H135" i="12"/>
  <c r="G135" i="12"/>
  <c r="F135" i="12"/>
  <c r="E135" i="12"/>
  <c r="D135" i="12"/>
  <c r="C135" i="12"/>
  <c r="AA135" i="12" s="1"/>
  <c r="AB135" i="12" s="1"/>
  <c r="AC135" i="12" s="1"/>
  <c r="B135" i="12"/>
  <c r="A135" i="12"/>
  <c r="J134" i="12"/>
  <c r="G134" i="12"/>
  <c r="D134" i="12"/>
  <c r="C134" i="12"/>
  <c r="B134" i="12"/>
  <c r="A134" i="12"/>
  <c r="M134" i="12" s="1"/>
  <c r="AA133" i="12"/>
  <c r="AB133" i="12" s="1"/>
  <c r="AC133" i="12" s="1"/>
  <c r="Z133" i="12"/>
  <c r="Y133" i="12"/>
  <c r="G133" i="12"/>
  <c r="C133" i="12"/>
  <c r="B133" i="12"/>
  <c r="A133" i="12"/>
  <c r="Y132" i="12"/>
  <c r="J132" i="12"/>
  <c r="P132" i="12" s="1"/>
  <c r="G132" i="12"/>
  <c r="F132" i="12"/>
  <c r="C132" i="12"/>
  <c r="B132" i="12"/>
  <c r="D132" i="12" s="1"/>
  <c r="A132" i="12"/>
  <c r="Z131" i="12"/>
  <c r="Y131" i="12"/>
  <c r="P131" i="12"/>
  <c r="N131" i="12"/>
  <c r="M131" i="12"/>
  <c r="L131" i="12"/>
  <c r="H131" i="12"/>
  <c r="G131" i="12"/>
  <c r="D131" i="12"/>
  <c r="C131" i="12"/>
  <c r="B131" i="12"/>
  <c r="A131" i="12"/>
  <c r="J131" i="12" s="1"/>
  <c r="U130" i="12"/>
  <c r="L130" i="12"/>
  <c r="J130" i="12"/>
  <c r="G130" i="12"/>
  <c r="E130" i="12"/>
  <c r="C130" i="12"/>
  <c r="B130" i="12"/>
  <c r="A130" i="12"/>
  <c r="AA129" i="12"/>
  <c r="AB129" i="12" s="1"/>
  <c r="AC129" i="12" s="1"/>
  <c r="J129" i="12"/>
  <c r="I129" i="12"/>
  <c r="G129" i="12"/>
  <c r="E129" i="12"/>
  <c r="D129" i="12"/>
  <c r="P129" i="12" s="1"/>
  <c r="C129" i="12"/>
  <c r="B129" i="12"/>
  <c r="A129" i="12"/>
  <c r="AA128" i="12"/>
  <c r="AB128" i="12" s="1"/>
  <c r="AC128" i="12" s="1"/>
  <c r="Z128" i="12"/>
  <c r="Y128" i="12"/>
  <c r="J128" i="12"/>
  <c r="G128" i="12"/>
  <c r="F128" i="12"/>
  <c r="C128" i="12"/>
  <c r="I128" i="12" s="1"/>
  <c r="B128" i="12"/>
  <c r="A128" i="12"/>
  <c r="Y127" i="12"/>
  <c r="N127" i="12"/>
  <c r="L127" i="12"/>
  <c r="I127" i="12"/>
  <c r="H127" i="12"/>
  <c r="G127" i="12"/>
  <c r="F127" i="12"/>
  <c r="E127" i="12"/>
  <c r="D127" i="12"/>
  <c r="C127" i="12"/>
  <c r="AA127" i="12" s="1"/>
  <c r="AB127" i="12" s="1"/>
  <c r="AC127" i="12" s="1"/>
  <c r="B127" i="12"/>
  <c r="A127" i="12"/>
  <c r="AA126" i="12"/>
  <c r="AB126" i="12" s="1"/>
  <c r="AC126" i="12" s="1"/>
  <c r="G126" i="12"/>
  <c r="D126" i="12"/>
  <c r="C126" i="12"/>
  <c r="B126" i="12"/>
  <c r="A126" i="12"/>
  <c r="Y125" i="12"/>
  <c r="L125" i="12"/>
  <c r="J125" i="12"/>
  <c r="H125" i="12"/>
  <c r="G125" i="12"/>
  <c r="E125" i="12"/>
  <c r="U125" i="12" s="1"/>
  <c r="C125" i="12"/>
  <c r="B125" i="12"/>
  <c r="A125" i="12"/>
  <c r="N125" i="12" s="1"/>
  <c r="Y124" i="12"/>
  <c r="E124" i="12"/>
  <c r="C124" i="12"/>
  <c r="B124" i="12"/>
  <c r="D124" i="12" s="1"/>
  <c r="A124" i="12"/>
  <c r="Y123" i="12"/>
  <c r="U123" i="12"/>
  <c r="Q123" i="12"/>
  <c r="N123" i="12"/>
  <c r="M123" i="12"/>
  <c r="L123" i="12"/>
  <c r="O123" i="12" s="1"/>
  <c r="H123" i="12"/>
  <c r="G123" i="12"/>
  <c r="F123" i="12"/>
  <c r="E123" i="12"/>
  <c r="D123" i="12"/>
  <c r="P123" i="12" s="1"/>
  <c r="C123" i="12"/>
  <c r="B123" i="12"/>
  <c r="A123" i="12"/>
  <c r="J123" i="12" s="1"/>
  <c r="U122" i="12"/>
  <c r="L122" i="12"/>
  <c r="J122" i="12"/>
  <c r="G122" i="12"/>
  <c r="F122" i="12"/>
  <c r="E122" i="12"/>
  <c r="C122" i="12"/>
  <c r="B122" i="12"/>
  <c r="A122" i="12"/>
  <c r="P121" i="12"/>
  <c r="N121" i="12"/>
  <c r="H121" i="12"/>
  <c r="D121" i="12"/>
  <c r="C121" i="12"/>
  <c r="B121" i="12"/>
  <c r="O121" i="12" s="1"/>
  <c r="A121" i="12"/>
  <c r="Q120" i="12"/>
  <c r="L120" i="12"/>
  <c r="J120" i="12"/>
  <c r="H120" i="12"/>
  <c r="C120" i="12"/>
  <c r="B120" i="12"/>
  <c r="A120" i="12"/>
  <c r="Z119" i="12"/>
  <c r="Y119" i="12"/>
  <c r="Q119" i="12"/>
  <c r="N119" i="12"/>
  <c r="L119" i="12"/>
  <c r="I119" i="12"/>
  <c r="H119" i="12"/>
  <c r="G119" i="12"/>
  <c r="F119" i="12"/>
  <c r="E119" i="12"/>
  <c r="D119" i="12"/>
  <c r="C119" i="12"/>
  <c r="AA119" i="12" s="1"/>
  <c r="AB119" i="12" s="1"/>
  <c r="AC119" i="12" s="1"/>
  <c r="B119" i="12"/>
  <c r="A119" i="12"/>
  <c r="M118" i="12"/>
  <c r="J118" i="12"/>
  <c r="E118" i="12"/>
  <c r="C118" i="12"/>
  <c r="B118" i="12"/>
  <c r="A118" i="12"/>
  <c r="M117" i="12"/>
  <c r="H117" i="12"/>
  <c r="C117" i="12"/>
  <c r="B117" i="12"/>
  <c r="A117" i="12"/>
  <c r="Q116" i="12"/>
  <c r="J116" i="12"/>
  <c r="P116" i="12" s="1"/>
  <c r="I116" i="12"/>
  <c r="H116" i="12"/>
  <c r="G116" i="12"/>
  <c r="F116" i="12"/>
  <c r="C116" i="12"/>
  <c r="B116" i="12"/>
  <c r="D116" i="12" s="1"/>
  <c r="A116" i="12"/>
  <c r="Y115" i="12"/>
  <c r="Q115" i="12"/>
  <c r="G115" i="12"/>
  <c r="D115" i="12"/>
  <c r="C115" i="12"/>
  <c r="B115" i="12"/>
  <c r="A115" i="12"/>
  <c r="M114" i="12"/>
  <c r="G114" i="12"/>
  <c r="F114" i="12"/>
  <c r="C114" i="12"/>
  <c r="B114" i="12"/>
  <c r="A114" i="12"/>
  <c r="AA113" i="12"/>
  <c r="AB113" i="12" s="1"/>
  <c r="AC113" i="12" s="1"/>
  <c r="Z113" i="12"/>
  <c r="Q113" i="12"/>
  <c r="M113" i="12"/>
  <c r="I113" i="12"/>
  <c r="H113" i="12"/>
  <c r="G113" i="12"/>
  <c r="E113" i="12"/>
  <c r="D113" i="12"/>
  <c r="C113" i="12"/>
  <c r="F113" i="12" s="1"/>
  <c r="B113" i="12"/>
  <c r="A113" i="12"/>
  <c r="AA112" i="12"/>
  <c r="AB112" i="12" s="1"/>
  <c r="AC112" i="12" s="1"/>
  <c r="Q112" i="12"/>
  <c r="L112" i="12"/>
  <c r="G112" i="12"/>
  <c r="C112" i="12"/>
  <c r="B112" i="12"/>
  <c r="A112" i="12"/>
  <c r="U111" i="12"/>
  <c r="T111" i="12"/>
  <c r="N111" i="12"/>
  <c r="M111" i="12"/>
  <c r="L111" i="12"/>
  <c r="J111" i="12"/>
  <c r="H111" i="12"/>
  <c r="G111" i="12"/>
  <c r="E111" i="12"/>
  <c r="C111" i="12"/>
  <c r="B111" i="12"/>
  <c r="A111" i="12"/>
  <c r="AA110" i="12"/>
  <c r="N110" i="12"/>
  <c r="L110" i="12"/>
  <c r="H110" i="12"/>
  <c r="G110" i="12"/>
  <c r="E110" i="12"/>
  <c r="D110" i="12"/>
  <c r="P110" i="12" s="1"/>
  <c r="C110" i="12"/>
  <c r="B110" i="12"/>
  <c r="A110" i="12"/>
  <c r="Z109" i="12"/>
  <c r="Q109" i="12"/>
  <c r="G109" i="12"/>
  <c r="C109" i="12"/>
  <c r="B109" i="12"/>
  <c r="D109" i="12" s="1"/>
  <c r="A109" i="12"/>
  <c r="U108" i="12"/>
  <c r="Q108" i="12"/>
  <c r="G108" i="12"/>
  <c r="D108" i="12"/>
  <c r="C108" i="12"/>
  <c r="B108" i="12"/>
  <c r="A108" i="12"/>
  <c r="AA107" i="12"/>
  <c r="Z107" i="12"/>
  <c r="N107" i="12"/>
  <c r="M107" i="12"/>
  <c r="F107" i="12"/>
  <c r="D107" i="12"/>
  <c r="C107" i="12"/>
  <c r="B107" i="12"/>
  <c r="A107" i="12"/>
  <c r="Z106" i="12"/>
  <c r="Q106" i="12"/>
  <c r="N106" i="12"/>
  <c r="M106" i="12"/>
  <c r="G106" i="12"/>
  <c r="E106" i="12"/>
  <c r="D106" i="12"/>
  <c r="P106" i="12" s="1"/>
  <c r="C106" i="12"/>
  <c r="B106" i="12"/>
  <c r="A106" i="12"/>
  <c r="AA105" i="12"/>
  <c r="AB105" i="12" s="1"/>
  <c r="AC105" i="12" s="1"/>
  <c r="Z105" i="12"/>
  <c r="Y105" i="12"/>
  <c r="J105" i="12"/>
  <c r="I105" i="12"/>
  <c r="F105" i="12"/>
  <c r="C105" i="12"/>
  <c r="B105" i="12"/>
  <c r="A105" i="12"/>
  <c r="Y104" i="12"/>
  <c r="Q104" i="12"/>
  <c r="R104" i="12" s="1"/>
  <c r="S104" i="12" s="1"/>
  <c r="P104" i="12"/>
  <c r="O104" i="12"/>
  <c r="I104" i="12"/>
  <c r="H104" i="12"/>
  <c r="G104" i="12"/>
  <c r="F104" i="12"/>
  <c r="D104" i="12"/>
  <c r="C104" i="12"/>
  <c r="B104" i="12"/>
  <c r="A104" i="12"/>
  <c r="N103" i="12"/>
  <c r="I103" i="12"/>
  <c r="G103" i="12"/>
  <c r="F103" i="12"/>
  <c r="E103" i="12"/>
  <c r="P103" i="12" s="1"/>
  <c r="D103" i="12"/>
  <c r="C103" i="12"/>
  <c r="Y103" i="12" s="1"/>
  <c r="B103" i="12"/>
  <c r="A103" i="12"/>
  <c r="AA102" i="12"/>
  <c r="AB102" i="12" s="1"/>
  <c r="AC102" i="12" s="1"/>
  <c r="Q102" i="12"/>
  <c r="M102" i="12"/>
  <c r="E102" i="12"/>
  <c r="C102" i="12"/>
  <c r="B102" i="12"/>
  <c r="A102" i="12"/>
  <c r="L101" i="12"/>
  <c r="J101" i="12"/>
  <c r="I101" i="12"/>
  <c r="H101" i="12"/>
  <c r="E101" i="12"/>
  <c r="C101" i="12"/>
  <c r="B101" i="12"/>
  <c r="A101" i="12"/>
  <c r="U100" i="12"/>
  <c r="N100" i="12"/>
  <c r="O100" i="12" s="1"/>
  <c r="M100" i="12"/>
  <c r="L100" i="12"/>
  <c r="H100" i="12"/>
  <c r="G100" i="12"/>
  <c r="F100" i="12"/>
  <c r="E100" i="12"/>
  <c r="D100" i="12"/>
  <c r="P100" i="12" s="1"/>
  <c r="C100" i="12"/>
  <c r="B100" i="12"/>
  <c r="A100" i="12"/>
  <c r="J100" i="12" s="1"/>
  <c r="AA99" i="12"/>
  <c r="AB99" i="12" s="1"/>
  <c r="AC99" i="12" s="1"/>
  <c r="Z99" i="12"/>
  <c r="C99" i="12"/>
  <c r="B99" i="12"/>
  <c r="A99" i="12"/>
  <c r="M99" i="12" s="1"/>
  <c r="U98" i="12"/>
  <c r="T98" i="12"/>
  <c r="N98" i="12"/>
  <c r="L98" i="12"/>
  <c r="J98" i="12"/>
  <c r="I98" i="12"/>
  <c r="H98" i="12"/>
  <c r="E98" i="12"/>
  <c r="C98" i="12"/>
  <c r="B98" i="12"/>
  <c r="A98" i="12"/>
  <c r="M98" i="12" s="1"/>
  <c r="AA97" i="12"/>
  <c r="AB97" i="12" s="1"/>
  <c r="AC97" i="12" s="1"/>
  <c r="Z97" i="12"/>
  <c r="Q97" i="12"/>
  <c r="N97" i="12"/>
  <c r="F97" i="12"/>
  <c r="C97" i="12"/>
  <c r="I97" i="12" s="1"/>
  <c r="B97" i="12"/>
  <c r="A97" i="12"/>
  <c r="E97" i="12" s="1"/>
  <c r="Z96" i="12"/>
  <c r="Y96" i="12"/>
  <c r="Q96" i="12"/>
  <c r="I96" i="12"/>
  <c r="G96" i="12"/>
  <c r="F96" i="12"/>
  <c r="D96" i="12"/>
  <c r="C96" i="12"/>
  <c r="AA96" i="12" s="1"/>
  <c r="AB96" i="12" s="1"/>
  <c r="AC96" i="12" s="1"/>
  <c r="B96" i="12"/>
  <c r="A96" i="12"/>
  <c r="L96" i="12" s="1"/>
  <c r="AA95" i="12"/>
  <c r="AB95" i="12" s="1"/>
  <c r="AC95" i="12" s="1"/>
  <c r="U95" i="12"/>
  <c r="J95" i="12"/>
  <c r="I95" i="12"/>
  <c r="G95" i="12"/>
  <c r="E95" i="12"/>
  <c r="D95" i="12"/>
  <c r="C95" i="12"/>
  <c r="B95" i="12"/>
  <c r="Q95" i="12" s="1"/>
  <c r="V95" i="12" s="1"/>
  <c r="A95" i="12"/>
  <c r="AA94" i="12"/>
  <c r="AB94" i="12" s="1"/>
  <c r="AC94" i="12" s="1"/>
  <c r="Z94" i="12"/>
  <c r="Q94" i="12"/>
  <c r="P94" i="12"/>
  <c r="N94" i="12"/>
  <c r="J94" i="12"/>
  <c r="G94" i="12"/>
  <c r="E94" i="12"/>
  <c r="D94" i="12"/>
  <c r="C94" i="12"/>
  <c r="B94" i="12"/>
  <c r="A94" i="12"/>
  <c r="M94" i="12" s="1"/>
  <c r="Z93" i="12"/>
  <c r="Y93" i="12"/>
  <c r="P93" i="12"/>
  <c r="N93" i="12"/>
  <c r="I93" i="12"/>
  <c r="H93" i="12"/>
  <c r="G93" i="12"/>
  <c r="F93" i="12"/>
  <c r="E93" i="12"/>
  <c r="C93" i="12"/>
  <c r="Q93" i="12" s="1"/>
  <c r="B93" i="12"/>
  <c r="D93" i="12" s="1"/>
  <c r="A93" i="12"/>
  <c r="Y92" i="12"/>
  <c r="Q92" i="12"/>
  <c r="I92" i="12"/>
  <c r="H92" i="12"/>
  <c r="G92" i="12"/>
  <c r="D92" i="12"/>
  <c r="C92" i="12"/>
  <c r="B92" i="12"/>
  <c r="A92" i="12"/>
  <c r="J91" i="12"/>
  <c r="H91" i="12"/>
  <c r="G91" i="12"/>
  <c r="C91" i="12"/>
  <c r="I91" i="12" s="1"/>
  <c r="B91" i="12"/>
  <c r="A91" i="12"/>
  <c r="Y90" i="12"/>
  <c r="N90" i="12"/>
  <c r="I90" i="12"/>
  <c r="G90" i="12"/>
  <c r="F90" i="12"/>
  <c r="D90" i="12"/>
  <c r="C90" i="12"/>
  <c r="B90" i="12"/>
  <c r="A90" i="12"/>
  <c r="AA89" i="12"/>
  <c r="AB89" i="12" s="1"/>
  <c r="AC89" i="12" s="1"/>
  <c r="Z89" i="12"/>
  <c r="J89" i="12"/>
  <c r="I89" i="12"/>
  <c r="G89" i="12"/>
  <c r="F89" i="12"/>
  <c r="D89" i="12"/>
  <c r="C89" i="12"/>
  <c r="Y89" i="12" s="1"/>
  <c r="B89" i="12"/>
  <c r="A89" i="12"/>
  <c r="Z88" i="12"/>
  <c r="U88" i="12"/>
  <c r="J88" i="12"/>
  <c r="I88" i="12"/>
  <c r="H88" i="12"/>
  <c r="G88" i="12"/>
  <c r="E88" i="12"/>
  <c r="C88" i="12"/>
  <c r="B88" i="12"/>
  <c r="A88" i="12"/>
  <c r="N88" i="12" s="1"/>
  <c r="AA87" i="12"/>
  <c r="AB87" i="12" s="1"/>
  <c r="AC87" i="12" s="1"/>
  <c r="N87" i="12"/>
  <c r="J87" i="12"/>
  <c r="I87" i="12"/>
  <c r="H87" i="12"/>
  <c r="F87" i="12"/>
  <c r="E87" i="12"/>
  <c r="C87" i="12"/>
  <c r="Z87" i="12" s="1"/>
  <c r="B87" i="12"/>
  <c r="A87" i="12"/>
  <c r="Z86" i="12"/>
  <c r="Y86" i="12"/>
  <c r="Q86" i="12"/>
  <c r="P86" i="12"/>
  <c r="N86" i="12"/>
  <c r="M86" i="12"/>
  <c r="L86" i="12"/>
  <c r="H86" i="12"/>
  <c r="G86" i="12"/>
  <c r="O86" i="12" s="1"/>
  <c r="F86" i="12"/>
  <c r="E86" i="12"/>
  <c r="U86" i="12" s="1"/>
  <c r="D86" i="12"/>
  <c r="C86" i="12"/>
  <c r="B86" i="12"/>
  <c r="A86" i="12"/>
  <c r="J86" i="12" s="1"/>
  <c r="AA85" i="12"/>
  <c r="AB85" i="12" s="1"/>
  <c r="AC85" i="12" s="1"/>
  <c r="M85" i="12"/>
  <c r="J85" i="12"/>
  <c r="I85" i="12"/>
  <c r="F85" i="12"/>
  <c r="E85" i="12"/>
  <c r="U85" i="12" s="1"/>
  <c r="C85" i="12"/>
  <c r="Y85" i="12" s="1"/>
  <c r="B85" i="12"/>
  <c r="G85" i="12" s="1"/>
  <c r="A85" i="12"/>
  <c r="AA84" i="12"/>
  <c r="AB84" i="12" s="1"/>
  <c r="AC84" i="12" s="1"/>
  <c r="Y84" i="12"/>
  <c r="N84" i="12"/>
  <c r="L84" i="12"/>
  <c r="E84" i="12"/>
  <c r="D84" i="12"/>
  <c r="C84" i="12"/>
  <c r="B84" i="12"/>
  <c r="A84" i="12"/>
  <c r="Z83" i="12"/>
  <c r="N83" i="12"/>
  <c r="J83" i="12"/>
  <c r="E83" i="12"/>
  <c r="U83" i="12" s="1"/>
  <c r="C83" i="12"/>
  <c r="B83" i="12"/>
  <c r="A83" i="12"/>
  <c r="M83" i="12" s="1"/>
  <c r="Z82" i="12"/>
  <c r="Y82" i="12"/>
  <c r="Q82" i="12"/>
  <c r="N82" i="12"/>
  <c r="L82" i="12"/>
  <c r="I82" i="12"/>
  <c r="H82" i="12"/>
  <c r="G82" i="12"/>
  <c r="F82" i="12"/>
  <c r="E82" i="12"/>
  <c r="D82" i="12"/>
  <c r="C82" i="12"/>
  <c r="AA82" i="12" s="1"/>
  <c r="AB82" i="12" s="1"/>
  <c r="AC82" i="12" s="1"/>
  <c r="B82" i="12"/>
  <c r="A82" i="12"/>
  <c r="U81" i="12"/>
  <c r="N81" i="12"/>
  <c r="M81" i="12"/>
  <c r="J81" i="12"/>
  <c r="E81" i="12"/>
  <c r="D81" i="12"/>
  <c r="C81" i="12"/>
  <c r="B81" i="12"/>
  <c r="A81" i="12"/>
  <c r="H81" i="12" s="1"/>
  <c r="N80" i="12"/>
  <c r="M80" i="12"/>
  <c r="H80" i="12"/>
  <c r="D80" i="12"/>
  <c r="C80" i="12"/>
  <c r="B80" i="12"/>
  <c r="A80" i="12"/>
  <c r="Y79" i="12"/>
  <c r="I79" i="12"/>
  <c r="G79" i="12"/>
  <c r="C79" i="12"/>
  <c r="B79" i="12"/>
  <c r="D79" i="12" s="1"/>
  <c r="A79" i="12"/>
  <c r="J79" i="12" s="1"/>
  <c r="P79" i="12" s="1"/>
  <c r="Y78" i="12"/>
  <c r="N78" i="12"/>
  <c r="M78" i="12"/>
  <c r="I78" i="12"/>
  <c r="G78" i="12"/>
  <c r="D78" i="12"/>
  <c r="C78" i="12"/>
  <c r="B78" i="12"/>
  <c r="A78" i="12"/>
  <c r="N77" i="12"/>
  <c r="M77" i="12"/>
  <c r="F77" i="12"/>
  <c r="C77" i="12"/>
  <c r="B77" i="12"/>
  <c r="A77" i="12"/>
  <c r="J77" i="12" s="1"/>
  <c r="AA76" i="12"/>
  <c r="AB76" i="12" s="1"/>
  <c r="AC76" i="12" s="1"/>
  <c r="Q76" i="12"/>
  <c r="V76" i="12" s="1"/>
  <c r="J76" i="12"/>
  <c r="I76" i="12"/>
  <c r="G76" i="12"/>
  <c r="E76" i="12"/>
  <c r="U76" i="12" s="1"/>
  <c r="D76" i="12"/>
  <c r="C76" i="12"/>
  <c r="F76" i="12" s="1"/>
  <c r="B76" i="12"/>
  <c r="A76" i="12"/>
  <c r="AA75" i="12"/>
  <c r="AB75" i="12" s="1"/>
  <c r="AC75" i="12" s="1"/>
  <c r="Y75" i="12"/>
  <c r="Q75" i="12"/>
  <c r="J75" i="12"/>
  <c r="I75" i="12"/>
  <c r="G75" i="12"/>
  <c r="F75" i="12"/>
  <c r="C75" i="12"/>
  <c r="Z75" i="12" s="1"/>
  <c r="B75" i="12"/>
  <c r="A75" i="12"/>
  <c r="Y74" i="12"/>
  <c r="L74" i="12"/>
  <c r="I74" i="12"/>
  <c r="H74" i="12"/>
  <c r="G74" i="12"/>
  <c r="F74" i="12"/>
  <c r="E74" i="12"/>
  <c r="D74" i="12"/>
  <c r="C74" i="12"/>
  <c r="B74" i="12"/>
  <c r="A74" i="12"/>
  <c r="AA73" i="12"/>
  <c r="AB73" i="12" s="1"/>
  <c r="AC73" i="12" s="1"/>
  <c r="I73" i="12"/>
  <c r="G73" i="12"/>
  <c r="F73" i="12"/>
  <c r="D73" i="12"/>
  <c r="C73" i="12"/>
  <c r="Y73" i="12" s="1"/>
  <c r="B73" i="12"/>
  <c r="A73" i="12"/>
  <c r="J73" i="12" s="1"/>
  <c r="P73" i="12" s="1"/>
  <c r="AA72" i="12"/>
  <c r="AB72" i="12" s="1"/>
  <c r="AC72" i="12" s="1"/>
  <c r="Y72" i="12"/>
  <c r="Q72" i="12"/>
  <c r="L72" i="12"/>
  <c r="I72" i="12"/>
  <c r="G72" i="12"/>
  <c r="C72" i="12"/>
  <c r="F72" i="12" s="1"/>
  <c r="B72" i="12"/>
  <c r="A72" i="12"/>
  <c r="H72" i="12" s="1"/>
  <c r="J71" i="12"/>
  <c r="H71" i="12"/>
  <c r="E71" i="12"/>
  <c r="C71" i="12"/>
  <c r="B71" i="12"/>
  <c r="A71" i="12"/>
  <c r="U70" i="12"/>
  <c r="P70" i="12"/>
  <c r="N70" i="12"/>
  <c r="M70" i="12"/>
  <c r="L70" i="12"/>
  <c r="H70" i="12"/>
  <c r="G70" i="12"/>
  <c r="E70" i="12"/>
  <c r="D70" i="12"/>
  <c r="C70" i="12"/>
  <c r="B70" i="12"/>
  <c r="A70" i="12"/>
  <c r="J70" i="12" s="1"/>
  <c r="Z69" i="12"/>
  <c r="U69" i="12"/>
  <c r="J69" i="12"/>
  <c r="G69" i="12"/>
  <c r="F69" i="12"/>
  <c r="E69" i="12"/>
  <c r="C69" i="12"/>
  <c r="I69" i="12" s="1"/>
  <c r="B69" i="12"/>
  <c r="A69" i="12"/>
  <c r="AA68" i="12"/>
  <c r="AB68" i="12" s="1"/>
  <c r="AC68" i="12" s="1"/>
  <c r="U68" i="12"/>
  <c r="N68" i="12"/>
  <c r="M68" i="12"/>
  <c r="J68" i="12"/>
  <c r="I68" i="12"/>
  <c r="H68" i="12"/>
  <c r="E68" i="12"/>
  <c r="C68" i="12"/>
  <c r="B68" i="12"/>
  <c r="A68" i="12"/>
  <c r="AA67" i="12"/>
  <c r="AB67" i="12" s="1"/>
  <c r="AC67" i="12" s="1"/>
  <c r="Z67" i="12"/>
  <c r="Y67" i="12"/>
  <c r="Q67" i="12"/>
  <c r="R67" i="12" s="1"/>
  <c r="S67" i="12" s="1"/>
  <c r="P67" i="12"/>
  <c r="O67" i="12"/>
  <c r="G67" i="12"/>
  <c r="F67" i="12"/>
  <c r="C67" i="12"/>
  <c r="B67" i="12"/>
  <c r="D67" i="12" s="1"/>
  <c r="A67" i="12"/>
  <c r="Q66" i="12"/>
  <c r="R66" i="12" s="1"/>
  <c r="S66" i="12" s="1"/>
  <c r="P66" i="12"/>
  <c r="O66" i="12"/>
  <c r="I66" i="12"/>
  <c r="G66" i="12"/>
  <c r="F66" i="12"/>
  <c r="E66" i="12"/>
  <c r="U66" i="12" s="1"/>
  <c r="D66" i="12"/>
  <c r="C66" i="12"/>
  <c r="AA66" i="12" s="1"/>
  <c r="B66" i="12"/>
  <c r="A66" i="12"/>
  <c r="AA65" i="12"/>
  <c r="O65" i="12"/>
  <c r="N65" i="12"/>
  <c r="L65" i="12"/>
  <c r="G65" i="12"/>
  <c r="E65" i="12"/>
  <c r="D65" i="12"/>
  <c r="C65" i="12"/>
  <c r="B65" i="12"/>
  <c r="A65" i="12"/>
  <c r="AA64" i="12"/>
  <c r="AB64" i="12" s="1"/>
  <c r="AC64" i="12" s="1"/>
  <c r="Z64" i="12"/>
  <c r="Y64" i="12"/>
  <c r="N64" i="12"/>
  <c r="M64" i="12"/>
  <c r="J64" i="12"/>
  <c r="E64" i="12"/>
  <c r="U64" i="12" s="1"/>
  <c r="C64" i="12"/>
  <c r="B64" i="12"/>
  <c r="Q64" i="12" s="1"/>
  <c r="R64" i="12" s="1"/>
  <c r="S64" i="12" s="1"/>
  <c r="A64" i="12"/>
  <c r="Z63" i="12"/>
  <c r="Y63" i="12"/>
  <c r="H63" i="12"/>
  <c r="G63" i="12"/>
  <c r="C63" i="12"/>
  <c r="B63" i="12"/>
  <c r="D63" i="12" s="1"/>
  <c r="A63" i="12"/>
  <c r="E63" i="12" s="1"/>
  <c r="P63" i="12" s="1"/>
  <c r="Z62" i="12"/>
  <c r="Y62" i="12"/>
  <c r="G62" i="12"/>
  <c r="D62" i="12"/>
  <c r="C62" i="12"/>
  <c r="B62" i="12"/>
  <c r="A62" i="12"/>
  <c r="N61" i="12"/>
  <c r="G61" i="12"/>
  <c r="D61" i="12"/>
  <c r="C61" i="12"/>
  <c r="B61" i="12"/>
  <c r="A61" i="12"/>
  <c r="M60" i="12"/>
  <c r="J60" i="12"/>
  <c r="G60" i="12"/>
  <c r="D60" i="12"/>
  <c r="C60" i="12"/>
  <c r="B60" i="12"/>
  <c r="A60" i="12"/>
  <c r="Y59" i="12"/>
  <c r="L59" i="12"/>
  <c r="J59" i="12"/>
  <c r="I59" i="12"/>
  <c r="C59" i="12"/>
  <c r="B59" i="12"/>
  <c r="A59" i="12"/>
  <c r="I58" i="12"/>
  <c r="G58" i="12"/>
  <c r="D58" i="12"/>
  <c r="C58" i="12"/>
  <c r="F58" i="12" s="1"/>
  <c r="B58" i="12"/>
  <c r="A58" i="12"/>
  <c r="L58" i="12" s="1"/>
  <c r="M57" i="12"/>
  <c r="I57" i="12"/>
  <c r="G57" i="12"/>
  <c r="F57" i="12"/>
  <c r="D57" i="12"/>
  <c r="C57" i="12"/>
  <c r="B57" i="12"/>
  <c r="A57" i="12"/>
  <c r="Y56" i="12"/>
  <c r="U56" i="12"/>
  <c r="M56" i="12"/>
  <c r="I56" i="12"/>
  <c r="G56" i="12"/>
  <c r="C56" i="12"/>
  <c r="F56" i="12" s="1"/>
  <c r="B56" i="12"/>
  <c r="A56" i="12"/>
  <c r="AA55" i="12"/>
  <c r="AB55" i="12" s="1"/>
  <c r="AC55" i="12" s="1"/>
  <c r="L55" i="12"/>
  <c r="I55" i="12"/>
  <c r="H55" i="12"/>
  <c r="F55" i="12"/>
  <c r="E55" i="12"/>
  <c r="C55" i="12"/>
  <c r="B55" i="12"/>
  <c r="A55" i="12"/>
  <c r="Z54" i="12"/>
  <c r="Y54" i="12"/>
  <c r="U54" i="12"/>
  <c r="Q54" i="12"/>
  <c r="N54" i="12"/>
  <c r="M54" i="12"/>
  <c r="L54" i="12"/>
  <c r="H54" i="12"/>
  <c r="G54" i="12"/>
  <c r="F54" i="12"/>
  <c r="E54" i="12"/>
  <c r="D54" i="12"/>
  <c r="P54" i="12" s="1"/>
  <c r="C54" i="12"/>
  <c r="B54" i="12"/>
  <c r="A54" i="12"/>
  <c r="J54" i="12" s="1"/>
  <c r="AA53" i="12"/>
  <c r="AB53" i="12" s="1"/>
  <c r="AC53" i="12" s="1"/>
  <c r="U53" i="12"/>
  <c r="L53" i="12"/>
  <c r="I53" i="12"/>
  <c r="G53" i="12"/>
  <c r="F53" i="12"/>
  <c r="E53" i="12"/>
  <c r="C53" i="12"/>
  <c r="Y53" i="12" s="1"/>
  <c r="B53" i="12"/>
  <c r="A53" i="12"/>
  <c r="AA52" i="12"/>
  <c r="AB52" i="12" s="1"/>
  <c r="AC52" i="12" s="1"/>
  <c r="Y52" i="12"/>
  <c r="U52" i="12"/>
  <c r="N52" i="12"/>
  <c r="J52" i="12"/>
  <c r="I52" i="12"/>
  <c r="H52" i="12"/>
  <c r="E52" i="12"/>
  <c r="P52" i="12" s="1"/>
  <c r="D52" i="12"/>
  <c r="C52" i="12"/>
  <c r="B52" i="12"/>
  <c r="A52" i="12"/>
  <c r="M52" i="12" s="1"/>
  <c r="Z51" i="12"/>
  <c r="Y51" i="12"/>
  <c r="P51" i="12"/>
  <c r="N51" i="12"/>
  <c r="J51" i="12"/>
  <c r="H51" i="12"/>
  <c r="G51" i="12"/>
  <c r="E51" i="12"/>
  <c r="C51" i="12"/>
  <c r="F51" i="12" s="1"/>
  <c r="B51" i="12"/>
  <c r="D51" i="12" s="1"/>
  <c r="A51" i="12"/>
  <c r="M51" i="12" s="1"/>
  <c r="Z50" i="12"/>
  <c r="Y50" i="12"/>
  <c r="Q50" i="12"/>
  <c r="N50" i="12"/>
  <c r="L50" i="12"/>
  <c r="I50" i="12"/>
  <c r="H50" i="12"/>
  <c r="G50" i="12"/>
  <c r="F50" i="12"/>
  <c r="E50" i="12"/>
  <c r="D50" i="12"/>
  <c r="P50" i="12" s="1"/>
  <c r="C50" i="12"/>
  <c r="AA50" i="12" s="1"/>
  <c r="AB50" i="12" s="1"/>
  <c r="AC50" i="12" s="1"/>
  <c r="B50" i="12"/>
  <c r="A50" i="12"/>
  <c r="AA49" i="12"/>
  <c r="AB49" i="12" s="1"/>
  <c r="AC49" i="12" s="1"/>
  <c r="U49" i="12"/>
  <c r="N49" i="12"/>
  <c r="M49" i="12"/>
  <c r="J49" i="12"/>
  <c r="I49" i="12"/>
  <c r="E49" i="12"/>
  <c r="D49" i="12"/>
  <c r="C49" i="12"/>
  <c r="B49" i="12"/>
  <c r="A49" i="12"/>
  <c r="H49" i="12" s="1"/>
  <c r="Z48" i="12"/>
  <c r="Y48" i="12"/>
  <c r="M48" i="12"/>
  <c r="H48" i="12"/>
  <c r="G48" i="12"/>
  <c r="E48" i="12"/>
  <c r="D48" i="12"/>
  <c r="P48" i="12" s="1"/>
  <c r="C48" i="12"/>
  <c r="B48" i="12"/>
  <c r="A48" i="12"/>
  <c r="Y47" i="12"/>
  <c r="N47" i="12"/>
  <c r="J47" i="12"/>
  <c r="G47" i="12"/>
  <c r="F47" i="12"/>
  <c r="C47" i="12"/>
  <c r="B47" i="12"/>
  <c r="D47" i="12" s="1"/>
  <c r="A47" i="12"/>
  <c r="Z46" i="12"/>
  <c r="U46" i="12"/>
  <c r="Q46" i="12"/>
  <c r="R46" i="12" s="1"/>
  <c r="S46" i="12" s="1"/>
  <c r="P46" i="12"/>
  <c r="O46" i="12"/>
  <c r="M46" i="12"/>
  <c r="L46" i="12"/>
  <c r="H46" i="12"/>
  <c r="G46" i="12"/>
  <c r="D46" i="12"/>
  <c r="C46" i="12"/>
  <c r="B46" i="12"/>
  <c r="A46" i="12"/>
  <c r="AA45" i="12"/>
  <c r="AB45" i="12" s="1"/>
  <c r="AC45" i="12" s="1"/>
  <c r="M45" i="12"/>
  <c r="L45" i="12"/>
  <c r="F45" i="12"/>
  <c r="D45" i="12"/>
  <c r="C45" i="12"/>
  <c r="B45" i="12"/>
  <c r="A45" i="12"/>
  <c r="Z44" i="12"/>
  <c r="Y44" i="12"/>
  <c r="Q44" i="12"/>
  <c r="M44" i="12"/>
  <c r="I44" i="12"/>
  <c r="G44" i="12"/>
  <c r="D44" i="12"/>
  <c r="C44" i="12"/>
  <c r="F44" i="12" s="1"/>
  <c r="B44" i="12"/>
  <c r="A44" i="12"/>
  <c r="Q43" i="12"/>
  <c r="N43" i="12"/>
  <c r="L43" i="12"/>
  <c r="G43" i="12"/>
  <c r="C43" i="12"/>
  <c r="AA43" i="12" s="1"/>
  <c r="AB43" i="12" s="1"/>
  <c r="AC43" i="12" s="1"/>
  <c r="B43" i="12"/>
  <c r="A43" i="12"/>
  <c r="U42" i="12"/>
  <c r="T42" i="12"/>
  <c r="N42" i="12"/>
  <c r="M42" i="12"/>
  <c r="O42" i="12" s="1"/>
  <c r="L42" i="12"/>
  <c r="H42" i="12"/>
  <c r="G42" i="12"/>
  <c r="E42" i="12"/>
  <c r="D42" i="12"/>
  <c r="P42" i="12" s="1"/>
  <c r="C42" i="12"/>
  <c r="B42" i="12"/>
  <c r="A42" i="12"/>
  <c r="Z41" i="12"/>
  <c r="P41" i="12"/>
  <c r="I41" i="12"/>
  <c r="G41" i="12"/>
  <c r="F41" i="12"/>
  <c r="E41" i="12"/>
  <c r="D41" i="12"/>
  <c r="C41" i="12"/>
  <c r="B41" i="12"/>
  <c r="A41" i="12"/>
  <c r="N41" i="12" s="1"/>
  <c r="AA40" i="12"/>
  <c r="AB40" i="12" s="1"/>
  <c r="AC40" i="12" s="1"/>
  <c r="Z40" i="12"/>
  <c r="U40" i="12"/>
  <c r="M40" i="12"/>
  <c r="J40" i="12"/>
  <c r="I40" i="12"/>
  <c r="G40" i="12"/>
  <c r="E40" i="12"/>
  <c r="C40" i="12"/>
  <c r="F40" i="12" s="1"/>
  <c r="B40" i="12"/>
  <c r="A40" i="12"/>
  <c r="N39" i="12"/>
  <c r="L39" i="12"/>
  <c r="I39" i="12"/>
  <c r="H39" i="12"/>
  <c r="C39" i="12"/>
  <c r="B39" i="12"/>
  <c r="A39" i="12"/>
  <c r="U38" i="12"/>
  <c r="N38" i="12"/>
  <c r="M38" i="12"/>
  <c r="L38" i="12"/>
  <c r="H38" i="12"/>
  <c r="G38" i="12"/>
  <c r="F38" i="12"/>
  <c r="E38" i="12"/>
  <c r="D38" i="12"/>
  <c r="P38" i="12" s="1"/>
  <c r="C38" i="12"/>
  <c r="B38" i="12"/>
  <c r="A38" i="12"/>
  <c r="J38" i="12" s="1"/>
  <c r="M37" i="12"/>
  <c r="L37" i="12"/>
  <c r="G37" i="12"/>
  <c r="C37" i="12"/>
  <c r="Z37" i="12" s="1"/>
  <c r="B37" i="12"/>
  <c r="A37" i="12"/>
  <c r="Y36" i="12"/>
  <c r="N36" i="12"/>
  <c r="M36" i="12"/>
  <c r="L36" i="12"/>
  <c r="I36" i="12"/>
  <c r="C36" i="12"/>
  <c r="B36" i="12"/>
  <c r="A36" i="12"/>
  <c r="Z35" i="12"/>
  <c r="I35" i="12"/>
  <c r="F35" i="12"/>
  <c r="C35" i="12"/>
  <c r="Y35" i="12" s="1"/>
  <c r="B35" i="12"/>
  <c r="Q35" i="12" s="1"/>
  <c r="A35" i="12"/>
  <c r="N35" i="12" s="1"/>
  <c r="Y34" i="12"/>
  <c r="N34" i="12"/>
  <c r="M34" i="12"/>
  <c r="L34" i="12"/>
  <c r="O34" i="12" s="1"/>
  <c r="H34" i="12"/>
  <c r="T34" i="12" s="1"/>
  <c r="G34" i="12"/>
  <c r="F34" i="12"/>
  <c r="E34" i="12"/>
  <c r="D34" i="12"/>
  <c r="C34" i="12"/>
  <c r="B34" i="12"/>
  <c r="A34" i="12"/>
  <c r="N33" i="12"/>
  <c r="M33" i="12"/>
  <c r="G33" i="12"/>
  <c r="E33" i="12"/>
  <c r="D33" i="12"/>
  <c r="C33" i="12"/>
  <c r="B33" i="12"/>
  <c r="A33" i="12"/>
  <c r="AA32" i="12"/>
  <c r="AB32" i="12" s="1"/>
  <c r="AC32" i="12" s="1"/>
  <c r="Y32" i="12"/>
  <c r="L32" i="12"/>
  <c r="I32" i="12"/>
  <c r="H32" i="12"/>
  <c r="G32" i="12"/>
  <c r="C32" i="12"/>
  <c r="F32" i="12" s="1"/>
  <c r="B32" i="12"/>
  <c r="A32" i="12"/>
  <c r="E32" i="12" s="1"/>
  <c r="AA31" i="12"/>
  <c r="AB31" i="12" s="1"/>
  <c r="AC31" i="12" s="1"/>
  <c r="Y31" i="12"/>
  <c r="J31" i="12"/>
  <c r="C31" i="12"/>
  <c r="F31" i="12" s="1"/>
  <c r="B31" i="12"/>
  <c r="A31" i="12"/>
  <c r="Y30" i="12"/>
  <c r="U30" i="12"/>
  <c r="Q30" i="12"/>
  <c r="O30" i="12"/>
  <c r="N30" i="12"/>
  <c r="M30" i="12"/>
  <c r="L30" i="12"/>
  <c r="H30" i="12"/>
  <c r="G30" i="12"/>
  <c r="F30" i="12"/>
  <c r="E30" i="12"/>
  <c r="D30" i="12"/>
  <c r="P30" i="12" s="1"/>
  <c r="C30" i="12"/>
  <c r="B30" i="12"/>
  <c r="A30" i="12"/>
  <c r="J30" i="12" s="1"/>
  <c r="AA29" i="12"/>
  <c r="AB29" i="12" s="1"/>
  <c r="AC29" i="12" s="1"/>
  <c r="Z29" i="12"/>
  <c r="L29" i="12"/>
  <c r="J29" i="12"/>
  <c r="G29" i="12"/>
  <c r="C29" i="12"/>
  <c r="F29" i="12" s="1"/>
  <c r="B29" i="12"/>
  <c r="A29" i="12"/>
  <c r="N28" i="12"/>
  <c r="M28" i="12"/>
  <c r="J28" i="12"/>
  <c r="E28" i="12"/>
  <c r="U28" i="12" s="1"/>
  <c r="D28" i="12"/>
  <c r="P28" i="12" s="1"/>
  <c r="C28" i="12"/>
  <c r="B28" i="12"/>
  <c r="A28" i="12"/>
  <c r="H28" i="12" s="1"/>
  <c r="N27" i="12"/>
  <c r="L27" i="12"/>
  <c r="H27" i="12"/>
  <c r="G27" i="12"/>
  <c r="E27" i="12"/>
  <c r="C27" i="12"/>
  <c r="B27" i="12"/>
  <c r="A27" i="12"/>
  <c r="Z26" i="12"/>
  <c r="Y26" i="12"/>
  <c r="Q26" i="12"/>
  <c r="L26" i="12"/>
  <c r="I26" i="12"/>
  <c r="G26" i="12"/>
  <c r="F26" i="12"/>
  <c r="D26" i="12"/>
  <c r="C26" i="12"/>
  <c r="AA26" i="12" s="1"/>
  <c r="AB26" i="12" s="1"/>
  <c r="AC26" i="12" s="1"/>
  <c r="B26" i="12"/>
  <c r="A26" i="12"/>
  <c r="AA25" i="12"/>
  <c r="AB25" i="12" s="1"/>
  <c r="AC25" i="12" s="1"/>
  <c r="M25" i="12"/>
  <c r="C25" i="12"/>
  <c r="B25" i="12"/>
  <c r="A25" i="12"/>
  <c r="N24" i="12"/>
  <c r="C24" i="12"/>
  <c r="B24" i="12"/>
  <c r="A24" i="12"/>
  <c r="E24" i="12" s="1"/>
  <c r="AA23" i="12"/>
  <c r="AB23" i="12" s="1"/>
  <c r="AC23" i="12" s="1"/>
  <c r="Z23" i="12"/>
  <c r="Q23" i="12"/>
  <c r="I23" i="12"/>
  <c r="H23" i="12"/>
  <c r="G23" i="12"/>
  <c r="F23" i="12"/>
  <c r="E23" i="12"/>
  <c r="C23" i="12"/>
  <c r="Y23" i="12" s="1"/>
  <c r="B23" i="12"/>
  <c r="D23" i="12" s="1"/>
  <c r="A23" i="12"/>
  <c r="N23" i="12" s="1"/>
  <c r="Z22" i="12"/>
  <c r="Q22" i="12"/>
  <c r="L22" i="12"/>
  <c r="I22" i="12"/>
  <c r="G22" i="12"/>
  <c r="F22" i="12"/>
  <c r="D22" i="12"/>
  <c r="C22" i="12"/>
  <c r="AA22" i="12" s="1"/>
  <c r="AB22" i="12" s="1"/>
  <c r="AC22" i="12" s="1"/>
  <c r="B22" i="12"/>
  <c r="A22" i="12"/>
  <c r="AA21" i="12"/>
  <c r="AB21" i="12" s="1"/>
  <c r="AC21" i="12" s="1"/>
  <c r="Z21" i="12"/>
  <c r="U21" i="12"/>
  <c r="P21" i="12"/>
  <c r="J21" i="12"/>
  <c r="G21" i="12"/>
  <c r="F21" i="12"/>
  <c r="E21" i="12"/>
  <c r="D21" i="12"/>
  <c r="C21" i="12"/>
  <c r="B21" i="12"/>
  <c r="Q21" i="12" s="1"/>
  <c r="A21" i="12"/>
  <c r="M21" i="12" s="1"/>
  <c r="Z20" i="12"/>
  <c r="Y20" i="12"/>
  <c r="J20" i="12"/>
  <c r="P20" i="12" s="1"/>
  <c r="I20" i="12"/>
  <c r="H20" i="12"/>
  <c r="G20" i="12"/>
  <c r="D20" i="12"/>
  <c r="C20" i="12"/>
  <c r="B20" i="12"/>
  <c r="A20" i="12"/>
  <c r="N19" i="12"/>
  <c r="J19" i="12"/>
  <c r="H19" i="12"/>
  <c r="C19" i="12"/>
  <c r="B19" i="12"/>
  <c r="A19" i="12"/>
  <c r="I18" i="12"/>
  <c r="H18" i="12"/>
  <c r="G18" i="12"/>
  <c r="F18" i="12"/>
  <c r="D18" i="12"/>
  <c r="C18" i="12"/>
  <c r="B18" i="12"/>
  <c r="A18" i="12"/>
  <c r="Z17" i="12"/>
  <c r="I17" i="12"/>
  <c r="G17" i="12"/>
  <c r="D17" i="12"/>
  <c r="C17" i="12"/>
  <c r="F17" i="12" s="1"/>
  <c r="B17" i="12"/>
  <c r="A17" i="12"/>
  <c r="U16" i="12"/>
  <c r="M16" i="12"/>
  <c r="J16" i="12"/>
  <c r="H16" i="12"/>
  <c r="G16" i="12"/>
  <c r="E16" i="12"/>
  <c r="C16" i="12"/>
  <c r="B16" i="12"/>
  <c r="A16" i="12"/>
  <c r="N16" i="12" s="1"/>
  <c r="AA15" i="12"/>
  <c r="L15" i="12"/>
  <c r="I15" i="12"/>
  <c r="H15" i="12"/>
  <c r="F15" i="12"/>
  <c r="C15" i="12"/>
  <c r="B15" i="12"/>
  <c r="A15" i="12"/>
  <c r="E15" i="12" s="1"/>
  <c r="Q14" i="12"/>
  <c r="R14" i="12" s="1"/>
  <c r="S14" i="12" s="1"/>
  <c r="P14" i="12"/>
  <c r="O14" i="12"/>
  <c r="N14" i="12"/>
  <c r="M14" i="12"/>
  <c r="L14" i="12"/>
  <c r="H14" i="12"/>
  <c r="G14" i="12"/>
  <c r="F14" i="12"/>
  <c r="E14" i="12"/>
  <c r="U14" i="12" s="1"/>
  <c r="D14" i="12"/>
  <c r="C14" i="12"/>
  <c r="B14" i="12"/>
  <c r="A14" i="12"/>
  <c r="J14" i="12" s="1"/>
  <c r="AA13" i="12"/>
  <c r="AB13" i="12" s="1"/>
  <c r="L13" i="12"/>
  <c r="I13" i="12"/>
  <c r="G13" i="12"/>
  <c r="F13" i="12"/>
  <c r="C13" i="12"/>
  <c r="B13" i="12"/>
  <c r="A13" i="12"/>
  <c r="E13" i="12" s="1"/>
  <c r="P12" i="12"/>
  <c r="N12" i="12"/>
  <c r="L12" i="12"/>
  <c r="C12" i="12"/>
  <c r="B12" i="12"/>
  <c r="A12" i="12"/>
  <c r="M12" i="12" s="1"/>
  <c r="Q11" i="12"/>
  <c r="R11" i="12" s="1"/>
  <c r="S11" i="12" s="1"/>
  <c r="L11" i="12"/>
  <c r="J11" i="12"/>
  <c r="H11" i="12"/>
  <c r="F11" i="12"/>
  <c r="E11" i="12"/>
  <c r="C11" i="12"/>
  <c r="I11" i="12" s="1"/>
  <c r="B11" i="12"/>
  <c r="A11" i="12"/>
  <c r="Z10" i="12"/>
  <c r="Q10" i="12"/>
  <c r="R10" i="12" s="1"/>
  <c r="S10" i="12" s="1"/>
  <c r="P10" i="12"/>
  <c r="O10" i="12"/>
  <c r="N10" i="12"/>
  <c r="I10" i="12"/>
  <c r="G10" i="12"/>
  <c r="F10" i="12"/>
  <c r="E10" i="12"/>
  <c r="D10" i="12"/>
  <c r="C10" i="12"/>
  <c r="AA10" i="12" s="1"/>
  <c r="B10" i="12"/>
  <c r="A10" i="12"/>
  <c r="AA9" i="12"/>
  <c r="AB9" i="12" s="1"/>
  <c r="AC9" i="12" s="1"/>
  <c r="N9" i="12"/>
  <c r="M9" i="12"/>
  <c r="L9" i="12"/>
  <c r="C9" i="12"/>
  <c r="B9" i="12"/>
  <c r="A9" i="12"/>
  <c r="Z8" i="12"/>
  <c r="Y8" i="12"/>
  <c r="U8" i="12"/>
  <c r="N8" i="12"/>
  <c r="L8" i="12"/>
  <c r="J8" i="12"/>
  <c r="H8" i="12"/>
  <c r="G8" i="12"/>
  <c r="D8" i="12"/>
  <c r="C8" i="12"/>
  <c r="B8" i="12"/>
  <c r="A8" i="12"/>
  <c r="E8" i="12" s="1"/>
  <c r="Y7" i="12"/>
  <c r="N7" i="12"/>
  <c r="J7" i="12"/>
  <c r="G7" i="12"/>
  <c r="F7" i="12"/>
  <c r="C7" i="12"/>
  <c r="Q7" i="12" s="1"/>
  <c r="B7" i="12"/>
  <c r="D7" i="12" s="1"/>
  <c r="P7" i="12" s="1"/>
  <c r="A7" i="12"/>
  <c r="L6" i="12"/>
  <c r="G6" i="12"/>
  <c r="E6" i="12"/>
  <c r="D6" i="12"/>
  <c r="C6" i="12"/>
  <c r="B6" i="12"/>
  <c r="A6" i="12"/>
  <c r="M5" i="12"/>
  <c r="G5" i="12"/>
  <c r="E5" i="12"/>
  <c r="D5" i="12"/>
  <c r="C5" i="12"/>
  <c r="B5" i="12"/>
  <c r="A5" i="12"/>
  <c r="Q4" i="12"/>
  <c r="C4" i="12"/>
  <c r="AA4" i="12" s="1"/>
  <c r="AB4" i="12" s="1"/>
  <c r="AC4" i="12" s="1"/>
  <c r="B4" i="12"/>
  <c r="A4" i="12"/>
  <c r="Y3" i="12"/>
  <c r="N3" i="12"/>
  <c r="I3" i="12"/>
  <c r="C3" i="12"/>
  <c r="B3" i="12"/>
  <c r="A3" i="12"/>
  <c r="U2" i="12"/>
  <c r="N2" i="12"/>
  <c r="M2" i="12"/>
  <c r="L2" i="12"/>
  <c r="T2" i="12" s="1"/>
  <c r="J2" i="12"/>
  <c r="H2" i="12"/>
  <c r="E2" i="12"/>
  <c r="C2" i="12"/>
  <c r="B2" i="12"/>
  <c r="G2" i="12" s="1"/>
  <c r="A2" i="12"/>
  <c r="F80" i="15"/>
  <c r="A80" i="15"/>
  <c r="H80" i="15" s="1"/>
  <c r="I79" i="15"/>
  <c r="D79" i="15"/>
  <c r="A79" i="15"/>
  <c r="L78" i="15"/>
  <c r="I78" i="15"/>
  <c r="A78" i="15"/>
  <c r="D78" i="15" s="1"/>
  <c r="L77" i="15"/>
  <c r="I77" i="15"/>
  <c r="C77" i="15"/>
  <c r="A77" i="15"/>
  <c r="L76" i="15"/>
  <c r="I76" i="15"/>
  <c r="H76" i="15"/>
  <c r="G76" i="15"/>
  <c r="D76" i="15"/>
  <c r="C76" i="15"/>
  <c r="F76" i="15" s="1"/>
  <c r="M76" i="15" s="1"/>
  <c r="A76" i="15"/>
  <c r="L75" i="15"/>
  <c r="K75" i="15"/>
  <c r="I75" i="15"/>
  <c r="G75" i="15"/>
  <c r="A75" i="15"/>
  <c r="L74" i="15"/>
  <c r="H74" i="15"/>
  <c r="A74" i="15"/>
  <c r="K73" i="15"/>
  <c r="A73" i="15"/>
  <c r="L72" i="15"/>
  <c r="K72" i="15"/>
  <c r="I72" i="15"/>
  <c r="H72" i="15"/>
  <c r="G72" i="15"/>
  <c r="D72" i="15"/>
  <c r="C72" i="15"/>
  <c r="A72" i="15"/>
  <c r="K71" i="15"/>
  <c r="Z217" i="12" s="1"/>
  <c r="I71" i="15"/>
  <c r="H71" i="15"/>
  <c r="D71" i="15"/>
  <c r="C71" i="15"/>
  <c r="G71" i="15" s="1"/>
  <c r="A71" i="15"/>
  <c r="L71" i="15" s="1"/>
  <c r="L70" i="15"/>
  <c r="K70" i="15"/>
  <c r="H70" i="15"/>
  <c r="A70" i="15"/>
  <c r="I70" i="15" s="1"/>
  <c r="L69" i="15"/>
  <c r="D69" i="15"/>
  <c r="A69" i="15"/>
  <c r="K68" i="15"/>
  <c r="I68" i="15"/>
  <c r="H68" i="15"/>
  <c r="A68" i="15"/>
  <c r="L68" i="15" s="1"/>
  <c r="I67" i="15"/>
  <c r="A67" i="15"/>
  <c r="I66" i="15"/>
  <c r="D66" i="15"/>
  <c r="A66" i="15"/>
  <c r="H66" i="15" s="1"/>
  <c r="L65" i="15"/>
  <c r="I65" i="15"/>
  <c r="H65" i="15"/>
  <c r="A65" i="15"/>
  <c r="D65" i="15" s="1"/>
  <c r="L64" i="15"/>
  <c r="K64" i="15"/>
  <c r="Z172" i="12" s="1"/>
  <c r="I64" i="15"/>
  <c r="H64" i="15"/>
  <c r="G64" i="15"/>
  <c r="F64" i="15"/>
  <c r="N64" i="15" s="1"/>
  <c r="D64" i="15"/>
  <c r="C64" i="15"/>
  <c r="A64" i="15"/>
  <c r="A63" i="15"/>
  <c r="D63" i="15" s="1"/>
  <c r="D62" i="15"/>
  <c r="A62" i="15"/>
  <c r="L61" i="15"/>
  <c r="I61" i="15"/>
  <c r="H61" i="15"/>
  <c r="D61" i="15"/>
  <c r="A61" i="15"/>
  <c r="L60" i="15"/>
  <c r="K60" i="15"/>
  <c r="I60" i="15"/>
  <c r="H60" i="15"/>
  <c r="D60" i="15"/>
  <c r="C60" i="15"/>
  <c r="A60" i="15"/>
  <c r="K59" i="15"/>
  <c r="Z151" i="12" s="1"/>
  <c r="I59" i="15"/>
  <c r="H59" i="15"/>
  <c r="D59" i="15"/>
  <c r="A59" i="15"/>
  <c r="C59" i="15" s="1"/>
  <c r="G59" i="15" s="1"/>
  <c r="A58" i="15"/>
  <c r="D58" i="15" s="1"/>
  <c r="K57" i="15"/>
  <c r="Z66" i="12" s="1"/>
  <c r="C57" i="15"/>
  <c r="A57" i="15"/>
  <c r="L56" i="15"/>
  <c r="I56" i="15"/>
  <c r="H56" i="15"/>
  <c r="A56" i="15"/>
  <c r="D56" i="15" s="1"/>
  <c r="A55" i="15"/>
  <c r="M54" i="15"/>
  <c r="K54" i="15"/>
  <c r="Z11" i="12" s="1"/>
  <c r="I54" i="15"/>
  <c r="H54" i="15"/>
  <c r="D54" i="15"/>
  <c r="C54" i="15"/>
  <c r="F54" i="15" s="1"/>
  <c r="N54" i="15" s="1"/>
  <c r="A54" i="15"/>
  <c r="L54" i="15" s="1"/>
  <c r="I53" i="15"/>
  <c r="M53" i="15" s="1"/>
  <c r="G53" i="15"/>
  <c r="F53" i="15"/>
  <c r="A53" i="15"/>
  <c r="L53" i="15" s="1"/>
  <c r="I52" i="15"/>
  <c r="A52" i="15"/>
  <c r="L52" i="15" s="1"/>
  <c r="L51" i="15"/>
  <c r="D51" i="15"/>
  <c r="A51" i="15"/>
  <c r="I50" i="15"/>
  <c r="H50" i="15"/>
  <c r="A50" i="15"/>
  <c r="L50" i="15" s="1"/>
  <c r="I49" i="15"/>
  <c r="A49" i="15"/>
  <c r="I48" i="15"/>
  <c r="D48" i="15"/>
  <c r="A48" i="15"/>
  <c r="H48" i="15" s="1"/>
  <c r="L47" i="15"/>
  <c r="I47" i="15"/>
  <c r="H47" i="15"/>
  <c r="A47" i="15"/>
  <c r="L46" i="15"/>
  <c r="D46" i="15"/>
  <c r="A46" i="15"/>
  <c r="L45" i="15"/>
  <c r="I45" i="15"/>
  <c r="H45" i="15"/>
  <c r="G45" i="15"/>
  <c r="F45" i="15"/>
  <c r="N45" i="15" s="1"/>
  <c r="D45" i="15"/>
  <c r="A45" i="15"/>
  <c r="C45" i="15" s="1"/>
  <c r="L44" i="15"/>
  <c r="I44" i="15"/>
  <c r="H44" i="15"/>
  <c r="D44" i="15"/>
  <c r="C44" i="15"/>
  <c r="A44" i="15"/>
  <c r="I43" i="15"/>
  <c r="H43" i="15"/>
  <c r="F43" i="15"/>
  <c r="D43" i="15"/>
  <c r="A43" i="15"/>
  <c r="C43" i="15" s="1"/>
  <c r="G43" i="15" s="1"/>
  <c r="A42" i="15"/>
  <c r="L42" i="15" s="1"/>
  <c r="A41" i="15"/>
  <c r="L40" i="15"/>
  <c r="I40" i="15"/>
  <c r="H40" i="15"/>
  <c r="A40" i="15"/>
  <c r="D40" i="15" s="1"/>
  <c r="A39" i="15"/>
  <c r="I38" i="15"/>
  <c r="H38" i="15"/>
  <c r="D38" i="15"/>
  <c r="A38" i="15"/>
  <c r="L38" i="15" s="1"/>
  <c r="L37" i="15"/>
  <c r="I37" i="15"/>
  <c r="D37" i="15"/>
  <c r="C37" i="15"/>
  <c r="A37" i="15"/>
  <c r="H37" i="15" s="1"/>
  <c r="I36" i="15"/>
  <c r="H36" i="15"/>
  <c r="A36" i="15"/>
  <c r="L36" i="15" s="1"/>
  <c r="I35" i="15"/>
  <c r="D35" i="15"/>
  <c r="A35" i="15"/>
  <c r="H35" i="15" s="1"/>
  <c r="I34" i="15"/>
  <c r="A34" i="15"/>
  <c r="L33" i="15"/>
  <c r="D33" i="15"/>
  <c r="A33" i="15"/>
  <c r="L32" i="15"/>
  <c r="I32" i="15"/>
  <c r="A32" i="15"/>
  <c r="D32" i="15" s="1"/>
  <c r="C31" i="15"/>
  <c r="A31" i="15"/>
  <c r="L31" i="15" s="1"/>
  <c r="A30" i="15"/>
  <c r="I29" i="15"/>
  <c r="H29" i="15"/>
  <c r="G29" i="15"/>
  <c r="F29" i="15"/>
  <c r="N29" i="15" s="1"/>
  <c r="D29" i="15"/>
  <c r="C29" i="15"/>
  <c r="A29" i="15"/>
  <c r="L29" i="15" s="1"/>
  <c r="L28" i="15"/>
  <c r="I28" i="15"/>
  <c r="D28" i="15"/>
  <c r="A28" i="15"/>
  <c r="C28" i="15" s="1"/>
  <c r="C27" i="15"/>
  <c r="A27" i="15"/>
  <c r="I27" i="15" s="1"/>
  <c r="L26" i="15"/>
  <c r="D26" i="15"/>
  <c r="A26" i="15"/>
  <c r="H26" i="15" s="1"/>
  <c r="L25" i="15"/>
  <c r="I25" i="15"/>
  <c r="M25" i="15" s="1"/>
  <c r="H25" i="15"/>
  <c r="G25" i="15"/>
  <c r="C25" i="15"/>
  <c r="F25" i="15" s="1"/>
  <c r="N25" i="15" s="1"/>
  <c r="A25" i="15"/>
  <c r="D25" i="15" s="1"/>
  <c r="L24" i="15"/>
  <c r="C24" i="15"/>
  <c r="A24" i="15"/>
  <c r="H24" i="15" s="1"/>
  <c r="H23" i="15"/>
  <c r="D23" i="15"/>
  <c r="A23" i="15"/>
  <c r="I23" i="15" s="1"/>
  <c r="L22" i="15"/>
  <c r="F22" i="15"/>
  <c r="D22" i="15"/>
  <c r="C22" i="15"/>
  <c r="G22" i="15" s="1"/>
  <c r="A22" i="15"/>
  <c r="I22" i="15" s="1"/>
  <c r="C21" i="15"/>
  <c r="A21" i="15"/>
  <c r="D21" i="15" s="1"/>
  <c r="L20" i="15"/>
  <c r="I20" i="15"/>
  <c r="H20" i="15"/>
  <c r="G20" i="15"/>
  <c r="F20" i="15"/>
  <c r="M20" i="15" s="1"/>
  <c r="D20" i="15"/>
  <c r="C20" i="15"/>
  <c r="A20" i="15"/>
  <c r="C19" i="15"/>
  <c r="A19" i="15"/>
  <c r="D19" i="15" s="1"/>
  <c r="H18" i="15"/>
  <c r="A18" i="15"/>
  <c r="D18" i="15" s="1"/>
  <c r="H17" i="15"/>
  <c r="A17" i="15"/>
  <c r="I16" i="15"/>
  <c r="H16" i="15"/>
  <c r="D16" i="15"/>
  <c r="C16" i="15"/>
  <c r="A16" i="15"/>
  <c r="L16" i="15" s="1"/>
  <c r="I15" i="15"/>
  <c r="H15" i="15"/>
  <c r="D15" i="15"/>
  <c r="C15" i="15"/>
  <c r="A15" i="15"/>
  <c r="L15" i="15" s="1"/>
  <c r="A14" i="15"/>
  <c r="O13" i="15"/>
  <c r="I13" i="15"/>
  <c r="M13" i="15" s="1"/>
  <c r="H13" i="15"/>
  <c r="G13" i="15"/>
  <c r="F13" i="15"/>
  <c r="N13" i="15" s="1"/>
  <c r="D13" i="15"/>
  <c r="C13" i="15"/>
  <c r="A13" i="15"/>
  <c r="L13" i="15" s="1"/>
  <c r="L12" i="15"/>
  <c r="A12" i="15"/>
  <c r="K12" i="15" s="1"/>
  <c r="I11" i="15"/>
  <c r="H11" i="15"/>
  <c r="C11" i="15"/>
  <c r="G11" i="15" s="1"/>
  <c r="A11" i="15"/>
  <c r="D11" i="15" s="1"/>
  <c r="L10" i="15"/>
  <c r="I10" i="15"/>
  <c r="G10" i="15"/>
  <c r="D10" i="15"/>
  <c r="C10" i="15"/>
  <c r="F10" i="15" s="1"/>
  <c r="N10" i="15" s="1"/>
  <c r="A10" i="15"/>
  <c r="H10" i="15" s="1"/>
  <c r="L9" i="15"/>
  <c r="I9" i="15"/>
  <c r="A9" i="15"/>
  <c r="D8" i="15"/>
  <c r="A8" i="15"/>
  <c r="I8" i="15" s="1"/>
  <c r="I7" i="15"/>
  <c r="H7" i="15"/>
  <c r="D7" i="15"/>
  <c r="A7" i="15"/>
  <c r="C7" i="15" s="1"/>
  <c r="A6" i="15"/>
  <c r="I5" i="15"/>
  <c r="G5" i="15"/>
  <c r="D5" i="15"/>
  <c r="C5" i="15"/>
  <c r="F5" i="15" s="1"/>
  <c r="M5" i="15" s="1"/>
  <c r="A5" i="15"/>
  <c r="H5" i="15" s="1"/>
  <c r="L4" i="15"/>
  <c r="I4" i="15"/>
  <c r="A4" i="15"/>
  <c r="L3" i="15"/>
  <c r="I3" i="15"/>
  <c r="D3" i="15"/>
  <c r="C3" i="15"/>
  <c r="A3" i="15"/>
  <c r="H3" i="15" s="1"/>
  <c r="A2" i="15"/>
  <c r="P28" i="13"/>
  <c r="K28" i="13"/>
  <c r="J28" i="13"/>
  <c r="O28" i="13" s="1"/>
  <c r="I28" i="13"/>
  <c r="E28" i="13"/>
  <c r="D28" i="13"/>
  <c r="A28" i="13"/>
  <c r="P27" i="13"/>
  <c r="K27" i="13"/>
  <c r="J27" i="13"/>
  <c r="O27" i="13" s="1"/>
  <c r="I27" i="13"/>
  <c r="E27" i="13"/>
  <c r="D27" i="13"/>
  <c r="A27" i="13"/>
  <c r="P26" i="13"/>
  <c r="O26" i="13"/>
  <c r="K26" i="13"/>
  <c r="J26" i="13"/>
  <c r="I26" i="13"/>
  <c r="E26" i="13"/>
  <c r="D26" i="13"/>
  <c r="A26" i="13"/>
  <c r="P25" i="13"/>
  <c r="O25" i="13"/>
  <c r="K25" i="13"/>
  <c r="J25" i="13"/>
  <c r="I25" i="13"/>
  <c r="E25" i="13"/>
  <c r="D25" i="13"/>
  <c r="A25" i="13"/>
  <c r="H25" i="13" s="1"/>
  <c r="P24" i="13"/>
  <c r="K24" i="13"/>
  <c r="J24" i="13"/>
  <c r="O24" i="13" s="1"/>
  <c r="I24" i="13"/>
  <c r="E24" i="13"/>
  <c r="E76" i="15" s="1"/>
  <c r="D24" i="13"/>
  <c r="A24" i="13"/>
  <c r="H24" i="13" s="1"/>
  <c r="P23" i="13"/>
  <c r="O23" i="13"/>
  <c r="K23" i="13"/>
  <c r="J23" i="13"/>
  <c r="I23" i="13"/>
  <c r="E23" i="13"/>
  <c r="D23" i="13"/>
  <c r="A23" i="13"/>
  <c r="P22" i="13"/>
  <c r="K22" i="13"/>
  <c r="J22" i="13"/>
  <c r="O22" i="13" s="1"/>
  <c r="I22" i="13"/>
  <c r="E22" i="13"/>
  <c r="D22" i="13"/>
  <c r="A22" i="13"/>
  <c r="P21" i="13"/>
  <c r="K21" i="13"/>
  <c r="J21" i="13"/>
  <c r="O21" i="13" s="1"/>
  <c r="I21" i="13"/>
  <c r="E21" i="13"/>
  <c r="D21" i="13"/>
  <c r="A21" i="13"/>
  <c r="P20" i="13"/>
  <c r="O20" i="13"/>
  <c r="K20" i="13"/>
  <c r="J20" i="13"/>
  <c r="I20" i="13"/>
  <c r="E20" i="13"/>
  <c r="D20" i="13"/>
  <c r="A20" i="13"/>
  <c r="P19" i="13"/>
  <c r="O19" i="13"/>
  <c r="K19" i="13"/>
  <c r="J19" i="13"/>
  <c r="I19" i="13"/>
  <c r="E19" i="13"/>
  <c r="E71" i="15" s="1"/>
  <c r="D19" i="13"/>
  <c r="A19" i="13"/>
  <c r="P18" i="13"/>
  <c r="O18" i="13"/>
  <c r="K18" i="13"/>
  <c r="J18" i="13"/>
  <c r="I18" i="13"/>
  <c r="E18" i="13"/>
  <c r="D18" i="13"/>
  <c r="A18" i="13"/>
  <c r="H18" i="13" s="1"/>
  <c r="P17" i="13"/>
  <c r="K17" i="13"/>
  <c r="J17" i="13"/>
  <c r="O17" i="13" s="1"/>
  <c r="I17" i="13"/>
  <c r="E17" i="13"/>
  <c r="D17" i="13"/>
  <c r="A17" i="13"/>
  <c r="H17" i="13" s="1"/>
  <c r="P16" i="13"/>
  <c r="K16" i="13"/>
  <c r="J16" i="13"/>
  <c r="O16" i="13" s="1"/>
  <c r="I16" i="13"/>
  <c r="E16" i="13"/>
  <c r="D16" i="13"/>
  <c r="A16" i="13"/>
  <c r="H16" i="13" s="1"/>
  <c r="P15" i="13"/>
  <c r="O15" i="13"/>
  <c r="K15" i="13"/>
  <c r="J15" i="13"/>
  <c r="I15" i="13"/>
  <c r="E15" i="13"/>
  <c r="D15" i="13"/>
  <c r="A15" i="13"/>
  <c r="P14" i="13"/>
  <c r="O14" i="13"/>
  <c r="K14" i="13"/>
  <c r="J14" i="13"/>
  <c r="I14" i="13"/>
  <c r="E14" i="13"/>
  <c r="D14" i="13"/>
  <c r="A14" i="13"/>
  <c r="H14" i="13" s="1"/>
  <c r="P13" i="13"/>
  <c r="K13" i="13"/>
  <c r="J13" i="13"/>
  <c r="O13" i="13" s="1"/>
  <c r="I13" i="13"/>
  <c r="E13" i="13"/>
  <c r="D13" i="13"/>
  <c r="A13" i="13"/>
  <c r="H13" i="13" s="1"/>
  <c r="P12" i="13"/>
  <c r="O12" i="13"/>
  <c r="K12" i="13"/>
  <c r="J12" i="13"/>
  <c r="I12" i="13"/>
  <c r="E12" i="13"/>
  <c r="E64" i="15" s="1"/>
  <c r="D12" i="13"/>
  <c r="A12" i="13"/>
  <c r="P11" i="13"/>
  <c r="K11" i="13"/>
  <c r="J11" i="13"/>
  <c r="I11" i="13"/>
  <c r="E11" i="13"/>
  <c r="D11" i="13"/>
  <c r="C11" i="13"/>
  <c r="A11" i="13"/>
  <c r="P10" i="13"/>
  <c r="O10" i="13"/>
  <c r="K10" i="13"/>
  <c r="J10" i="13"/>
  <c r="I10" i="13"/>
  <c r="E10" i="13"/>
  <c r="D10" i="13"/>
  <c r="C10" i="13"/>
  <c r="A10" i="13"/>
  <c r="P9" i="13"/>
  <c r="K9" i="13"/>
  <c r="J9" i="13"/>
  <c r="I9" i="13"/>
  <c r="E9" i="13"/>
  <c r="D9" i="13"/>
  <c r="C9" i="13"/>
  <c r="A9" i="13"/>
  <c r="P8" i="13"/>
  <c r="O8" i="13"/>
  <c r="K8" i="13"/>
  <c r="J8" i="13"/>
  <c r="I8" i="13"/>
  <c r="E8" i="13"/>
  <c r="D8" i="13"/>
  <c r="A8" i="13"/>
  <c r="H8" i="13" s="1"/>
  <c r="P7" i="13"/>
  <c r="O7" i="13"/>
  <c r="K7" i="13"/>
  <c r="J7" i="13"/>
  <c r="I7" i="13"/>
  <c r="E7" i="13"/>
  <c r="D7" i="13"/>
  <c r="A7" i="13"/>
  <c r="H7" i="13" s="1"/>
  <c r="P6" i="13"/>
  <c r="O6" i="13"/>
  <c r="K6" i="13"/>
  <c r="J6" i="13"/>
  <c r="I6" i="13"/>
  <c r="E6" i="13"/>
  <c r="D6" i="13"/>
  <c r="A6" i="13"/>
  <c r="P5" i="13"/>
  <c r="O5" i="13"/>
  <c r="AB110" i="12" s="1"/>
  <c r="K5" i="13"/>
  <c r="J5" i="13"/>
  <c r="I5" i="13"/>
  <c r="E5" i="13"/>
  <c r="D5" i="13"/>
  <c r="A5" i="13"/>
  <c r="H5" i="13" s="1"/>
  <c r="P4" i="13"/>
  <c r="O4" i="13"/>
  <c r="AB66" i="12" s="1"/>
  <c r="K4" i="13"/>
  <c r="J4" i="13"/>
  <c r="I4" i="13"/>
  <c r="E4" i="13"/>
  <c r="D4" i="13"/>
  <c r="A4" i="13"/>
  <c r="H4" i="13" s="1"/>
  <c r="P3" i="13"/>
  <c r="O3" i="13"/>
  <c r="K3" i="13"/>
  <c r="J3" i="13"/>
  <c r="I3" i="13"/>
  <c r="E3" i="13"/>
  <c r="D3" i="13"/>
  <c r="A3" i="13"/>
  <c r="P2" i="13"/>
  <c r="K2" i="13"/>
  <c r="J2" i="13"/>
  <c r="O2" i="13" s="1"/>
  <c r="I2" i="13"/>
  <c r="E2" i="13"/>
  <c r="D2" i="13"/>
  <c r="A2" i="13"/>
  <c r="X119" i="10"/>
  <c r="W119" i="10"/>
  <c r="S119" i="10"/>
  <c r="R119" i="10"/>
  <c r="Y119" i="10" s="1"/>
  <c r="Q119" i="10"/>
  <c r="N119" i="10"/>
  <c r="M119" i="10"/>
  <c r="K119" i="10"/>
  <c r="L119" i="10" s="1"/>
  <c r="J119" i="10"/>
  <c r="I119" i="10"/>
  <c r="H119" i="10"/>
  <c r="A119" i="10"/>
  <c r="Z119" i="10" s="1"/>
  <c r="W118" i="10"/>
  <c r="X118" i="10" s="1"/>
  <c r="S118" i="10"/>
  <c r="R118" i="10"/>
  <c r="Y118" i="10" s="1"/>
  <c r="Q118" i="10"/>
  <c r="N118" i="10"/>
  <c r="M118" i="10"/>
  <c r="K118" i="10"/>
  <c r="L118" i="10" s="1"/>
  <c r="J118" i="10"/>
  <c r="I118" i="10"/>
  <c r="H118" i="10"/>
  <c r="A118" i="10"/>
  <c r="Z118" i="10" s="1"/>
  <c r="Y117" i="10"/>
  <c r="W117" i="10"/>
  <c r="X117" i="10" s="1"/>
  <c r="S117" i="10"/>
  <c r="R117" i="10"/>
  <c r="Q117" i="10"/>
  <c r="N117" i="10"/>
  <c r="M117" i="10"/>
  <c r="L117" i="10"/>
  <c r="K117" i="10"/>
  <c r="J117" i="10"/>
  <c r="I117" i="10"/>
  <c r="H117" i="10"/>
  <c r="A117" i="10"/>
  <c r="Z117" i="10" s="1"/>
  <c r="Z116" i="10"/>
  <c r="Y116" i="10"/>
  <c r="W116" i="10"/>
  <c r="S116" i="10"/>
  <c r="R116" i="10"/>
  <c r="Q116" i="10"/>
  <c r="N116" i="10"/>
  <c r="M116" i="10"/>
  <c r="L116" i="10"/>
  <c r="K116" i="10"/>
  <c r="X116" i="10" s="1"/>
  <c r="J116" i="10"/>
  <c r="I116" i="10"/>
  <c r="H116" i="10"/>
  <c r="A116" i="10"/>
  <c r="Z115" i="10"/>
  <c r="Y115" i="10"/>
  <c r="W115" i="10"/>
  <c r="X115" i="10" s="1"/>
  <c r="S203" i="11" s="1"/>
  <c r="S115" i="10"/>
  <c r="R115" i="10"/>
  <c r="Q115" i="10"/>
  <c r="N115" i="10"/>
  <c r="M115" i="10"/>
  <c r="L115" i="10"/>
  <c r="K115" i="10"/>
  <c r="J115" i="10"/>
  <c r="I115" i="10"/>
  <c r="H115" i="10"/>
  <c r="A115" i="10"/>
  <c r="Y114" i="10"/>
  <c r="X114" i="10"/>
  <c r="W114" i="10"/>
  <c r="S114" i="10"/>
  <c r="R114" i="10"/>
  <c r="Q114" i="10"/>
  <c r="N114" i="10"/>
  <c r="M114" i="10"/>
  <c r="K114" i="10"/>
  <c r="L114" i="10" s="1"/>
  <c r="J114" i="10"/>
  <c r="I114" i="10"/>
  <c r="H114" i="10"/>
  <c r="A114" i="10"/>
  <c r="Z114" i="10" s="1"/>
  <c r="Z113" i="10"/>
  <c r="W113" i="10"/>
  <c r="X113" i="10" s="1"/>
  <c r="S113" i="10"/>
  <c r="R113" i="10"/>
  <c r="Y113" i="10" s="1"/>
  <c r="Q113" i="10"/>
  <c r="N113" i="10"/>
  <c r="M113" i="10"/>
  <c r="K113" i="10"/>
  <c r="L113" i="10" s="1"/>
  <c r="J113" i="10"/>
  <c r="I113" i="10"/>
  <c r="H113" i="10"/>
  <c r="A113" i="10"/>
  <c r="W112" i="10"/>
  <c r="X112" i="10" s="1"/>
  <c r="S112" i="10"/>
  <c r="R112" i="10"/>
  <c r="Y112" i="10" s="1"/>
  <c r="Q112" i="10"/>
  <c r="N112" i="10"/>
  <c r="M112" i="10"/>
  <c r="K112" i="10"/>
  <c r="J112" i="10"/>
  <c r="I112" i="10"/>
  <c r="H112" i="10"/>
  <c r="L112" i="10" s="1"/>
  <c r="A112" i="10"/>
  <c r="Z112" i="10" s="1"/>
  <c r="X111" i="10"/>
  <c r="W111" i="10"/>
  <c r="S111" i="10"/>
  <c r="R111" i="10"/>
  <c r="Y111" i="10" s="1"/>
  <c r="Q111" i="10"/>
  <c r="N111" i="10"/>
  <c r="M111" i="10"/>
  <c r="K111" i="10"/>
  <c r="L111" i="10" s="1"/>
  <c r="J111" i="10"/>
  <c r="I111" i="10"/>
  <c r="H111" i="10"/>
  <c r="A111" i="10"/>
  <c r="Z111" i="10" s="1"/>
  <c r="W110" i="10"/>
  <c r="X110" i="10" s="1"/>
  <c r="S110" i="10"/>
  <c r="R110" i="10"/>
  <c r="Y110" i="10" s="1"/>
  <c r="Q110" i="10"/>
  <c r="N110" i="10"/>
  <c r="M110" i="10"/>
  <c r="K110" i="10"/>
  <c r="L110" i="10" s="1"/>
  <c r="J110" i="10"/>
  <c r="I110" i="10"/>
  <c r="H110" i="10"/>
  <c r="A110" i="10"/>
  <c r="Z110" i="10" s="1"/>
  <c r="Y109" i="10"/>
  <c r="W109" i="10"/>
  <c r="X109" i="10" s="1"/>
  <c r="S109" i="10"/>
  <c r="R109" i="10"/>
  <c r="Q109" i="10"/>
  <c r="N109" i="10"/>
  <c r="M109" i="10"/>
  <c r="L109" i="10"/>
  <c r="K109" i="10"/>
  <c r="J109" i="10"/>
  <c r="I109" i="10"/>
  <c r="H109" i="10"/>
  <c r="A109" i="10"/>
  <c r="Z109" i="10" s="1"/>
  <c r="Z108" i="10"/>
  <c r="Y108" i="10"/>
  <c r="W108" i="10"/>
  <c r="S108" i="10"/>
  <c r="R108" i="10"/>
  <c r="Q108" i="10"/>
  <c r="N108" i="10"/>
  <c r="M108" i="10"/>
  <c r="K108" i="10"/>
  <c r="L108" i="10" s="1"/>
  <c r="J108" i="10"/>
  <c r="I108" i="10"/>
  <c r="H108" i="10"/>
  <c r="A108" i="10"/>
  <c r="Z107" i="10"/>
  <c r="Y107" i="10"/>
  <c r="W107" i="10"/>
  <c r="X107" i="10" s="1"/>
  <c r="S107" i="10"/>
  <c r="R107" i="10"/>
  <c r="Q107" i="10"/>
  <c r="N107" i="10"/>
  <c r="M107" i="10"/>
  <c r="L107" i="10"/>
  <c r="Q195" i="11" s="1"/>
  <c r="K107" i="10"/>
  <c r="J107" i="10"/>
  <c r="I107" i="10"/>
  <c r="H107" i="10"/>
  <c r="A107" i="10"/>
  <c r="Y106" i="10"/>
  <c r="X106" i="10"/>
  <c r="W106" i="10"/>
  <c r="S106" i="10"/>
  <c r="R106" i="10"/>
  <c r="Q106" i="10"/>
  <c r="N106" i="10"/>
  <c r="M106" i="10"/>
  <c r="K106" i="10"/>
  <c r="L106" i="10" s="1"/>
  <c r="J106" i="10"/>
  <c r="I106" i="10"/>
  <c r="H106" i="10"/>
  <c r="A106" i="10"/>
  <c r="Z106" i="10" s="1"/>
  <c r="Z105" i="10"/>
  <c r="W105" i="10"/>
  <c r="X105" i="10" s="1"/>
  <c r="S105" i="10"/>
  <c r="R105" i="10"/>
  <c r="Y105" i="10" s="1"/>
  <c r="Q105" i="10"/>
  <c r="N105" i="10"/>
  <c r="M105" i="10"/>
  <c r="K105" i="10"/>
  <c r="L105" i="10" s="1"/>
  <c r="J105" i="10"/>
  <c r="I105" i="10"/>
  <c r="H105" i="10"/>
  <c r="A105" i="10"/>
  <c r="W104" i="10"/>
  <c r="X104" i="10" s="1"/>
  <c r="S104" i="10"/>
  <c r="R104" i="10"/>
  <c r="Y104" i="10" s="1"/>
  <c r="Q104" i="10"/>
  <c r="N104" i="10"/>
  <c r="M104" i="10"/>
  <c r="K104" i="10"/>
  <c r="J104" i="10"/>
  <c r="I104" i="10"/>
  <c r="H104" i="10"/>
  <c r="L104" i="10" s="1"/>
  <c r="A104" i="10"/>
  <c r="Z104" i="10" s="1"/>
  <c r="X103" i="10"/>
  <c r="W103" i="10"/>
  <c r="S103" i="10"/>
  <c r="R103" i="10"/>
  <c r="Y103" i="10" s="1"/>
  <c r="Q103" i="10"/>
  <c r="N103" i="10"/>
  <c r="M103" i="10"/>
  <c r="K103" i="10"/>
  <c r="L103" i="10" s="1"/>
  <c r="J103" i="10"/>
  <c r="I103" i="10"/>
  <c r="H103" i="10"/>
  <c r="A103" i="10"/>
  <c r="Z103" i="10" s="1"/>
  <c r="W102" i="10"/>
  <c r="X102" i="10" s="1"/>
  <c r="S102" i="10"/>
  <c r="R102" i="10"/>
  <c r="Y102" i="10" s="1"/>
  <c r="Q102" i="10"/>
  <c r="N102" i="10"/>
  <c r="M102" i="10"/>
  <c r="K102" i="10"/>
  <c r="J102" i="10"/>
  <c r="I102" i="10"/>
  <c r="H102" i="10"/>
  <c r="L102" i="10" s="1"/>
  <c r="A102" i="10"/>
  <c r="Z102" i="10" s="1"/>
  <c r="Y101" i="10"/>
  <c r="W101" i="10"/>
  <c r="X101" i="10" s="1"/>
  <c r="S190" i="11" s="1"/>
  <c r="S101" i="10"/>
  <c r="R101" i="10"/>
  <c r="Q101" i="10"/>
  <c r="N101" i="10"/>
  <c r="M101" i="10"/>
  <c r="L101" i="10"/>
  <c r="K101" i="10"/>
  <c r="J101" i="10"/>
  <c r="I101" i="10"/>
  <c r="H101" i="10"/>
  <c r="A101" i="10"/>
  <c r="Z101" i="10" s="1"/>
  <c r="Z100" i="10"/>
  <c r="Y100" i="10"/>
  <c r="W100" i="10"/>
  <c r="S100" i="10"/>
  <c r="R100" i="10"/>
  <c r="Q100" i="10"/>
  <c r="N100" i="10"/>
  <c r="M100" i="10"/>
  <c r="K100" i="10"/>
  <c r="L100" i="10" s="1"/>
  <c r="J100" i="10"/>
  <c r="I100" i="10"/>
  <c r="H100" i="10"/>
  <c r="A100" i="10"/>
  <c r="Z99" i="10"/>
  <c r="Y99" i="10"/>
  <c r="W99" i="10"/>
  <c r="X99" i="10" s="1"/>
  <c r="S183" i="11" s="1"/>
  <c r="S99" i="10"/>
  <c r="R99" i="10"/>
  <c r="Q99" i="10"/>
  <c r="N99" i="10"/>
  <c r="M99" i="10"/>
  <c r="L99" i="10"/>
  <c r="Q171" i="11" s="1"/>
  <c r="K99" i="10"/>
  <c r="J99" i="10"/>
  <c r="I99" i="10"/>
  <c r="H99" i="10"/>
  <c r="A99" i="10"/>
  <c r="Y98" i="10"/>
  <c r="X98" i="10"/>
  <c r="W98" i="10"/>
  <c r="S98" i="10"/>
  <c r="R98" i="10"/>
  <c r="Q98" i="10"/>
  <c r="N98" i="10"/>
  <c r="M98" i="10"/>
  <c r="K98" i="10"/>
  <c r="L98" i="10" s="1"/>
  <c r="J98" i="10"/>
  <c r="I98" i="10"/>
  <c r="H98" i="10"/>
  <c r="A98" i="10"/>
  <c r="Z98" i="10" s="1"/>
  <c r="Z97" i="10"/>
  <c r="W97" i="10"/>
  <c r="X97" i="10" s="1"/>
  <c r="S97" i="10"/>
  <c r="R97" i="10"/>
  <c r="Y97" i="10" s="1"/>
  <c r="Q97" i="10"/>
  <c r="N97" i="10"/>
  <c r="M97" i="10"/>
  <c r="K97" i="10"/>
  <c r="L97" i="10" s="1"/>
  <c r="J97" i="10"/>
  <c r="I97" i="10"/>
  <c r="H97" i="10"/>
  <c r="A97" i="10"/>
  <c r="W96" i="10"/>
  <c r="X96" i="10" s="1"/>
  <c r="S96" i="10"/>
  <c r="R96" i="10"/>
  <c r="Y96" i="10" s="1"/>
  <c r="Q96" i="10"/>
  <c r="N96" i="10"/>
  <c r="M96" i="10"/>
  <c r="K96" i="10"/>
  <c r="J96" i="10"/>
  <c r="I96" i="10"/>
  <c r="H96" i="10"/>
  <c r="L96" i="10" s="1"/>
  <c r="A96" i="10"/>
  <c r="Z96" i="10" s="1"/>
  <c r="X95" i="10"/>
  <c r="W95" i="10"/>
  <c r="S95" i="10"/>
  <c r="R95" i="10"/>
  <c r="Y95" i="10" s="1"/>
  <c r="Q95" i="10"/>
  <c r="N95" i="10"/>
  <c r="M95" i="10"/>
  <c r="K95" i="10"/>
  <c r="L95" i="10" s="1"/>
  <c r="J95" i="10"/>
  <c r="I95" i="10"/>
  <c r="H95" i="10"/>
  <c r="A95" i="10"/>
  <c r="Z95" i="10" s="1"/>
  <c r="W94" i="10"/>
  <c r="X94" i="10" s="1"/>
  <c r="S94" i="10"/>
  <c r="R94" i="10"/>
  <c r="Y94" i="10" s="1"/>
  <c r="Q94" i="10"/>
  <c r="N94" i="10"/>
  <c r="M94" i="10"/>
  <c r="K94" i="10"/>
  <c r="J94" i="10"/>
  <c r="I94" i="10"/>
  <c r="H94" i="10"/>
  <c r="L94" i="10" s="1"/>
  <c r="A94" i="10"/>
  <c r="Z94" i="10" s="1"/>
  <c r="Y93" i="10"/>
  <c r="W93" i="10"/>
  <c r="X93" i="10" s="1"/>
  <c r="S93" i="10"/>
  <c r="R93" i="10"/>
  <c r="Q93" i="10"/>
  <c r="N93" i="10"/>
  <c r="M93" i="10"/>
  <c r="L93" i="10"/>
  <c r="K93" i="10"/>
  <c r="J93" i="10"/>
  <c r="I93" i="10"/>
  <c r="H93" i="10"/>
  <c r="A93" i="10"/>
  <c r="Z93" i="10" s="1"/>
  <c r="Z92" i="10"/>
  <c r="Y92" i="10"/>
  <c r="W92" i="10"/>
  <c r="S92" i="10"/>
  <c r="R92" i="10"/>
  <c r="Q92" i="10"/>
  <c r="N92" i="10"/>
  <c r="M92" i="10"/>
  <c r="K92" i="10"/>
  <c r="L92" i="10" s="1"/>
  <c r="J92" i="10"/>
  <c r="I92" i="10"/>
  <c r="H92" i="10"/>
  <c r="A92" i="10"/>
  <c r="Z91" i="10"/>
  <c r="Y91" i="10"/>
  <c r="W91" i="10"/>
  <c r="X91" i="10" s="1"/>
  <c r="S91" i="10"/>
  <c r="R91" i="10"/>
  <c r="Q91" i="10"/>
  <c r="N91" i="10"/>
  <c r="M91" i="10"/>
  <c r="L91" i="10"/>
  <c r="K91" i="10"/>
  <c r="J91" i="10"/>
  <c r="I91" i="10"/>
  <c r="H91" i="10"/>
  <c r="A91" i="10"/>
  <c r="Y90" i="10"/>
  <c r="X90" i="10"/>
  <c r="W90" i="10"/>
  <c r="S90" i="10"/>
  <c r="R90" i="10"/>
  <c r="Q90" i="10"/>
  <c r="N90" i="10"/>
  <c r="M90" i="10"/>
  <c r="K90" i="10"/>
  <c r="L90" i="10" s="1"/>
  <c r="J90" i="10"/>
  <c r="I90" i="10"/>
  <c r="H90" i="10"/>
  <c r="A90" i="10"/>
  <c r="Z90" i="10" s="1"/>
  <c r="Z89" i="10"/>
  <c r="W89" i="10"/>
  <c r="X89" i="10" s="1"/>
  <c r="S89" i="10"/>
  <c r="R89" i="10"/>
  <c r="Y89" i="10" s="1"/>
  <c r="Q89" i="10"/>
  <c r="N89" i="10"/>
  <c r="M89" i="10"/>
  <c r="K89" i="10"/>
  <c r="L89" i="10" s="1"/>
  <c r="J89" i="10"/>
  <c r="I89" i="10"/>
  <c r="H89" i="10"/>
  <c r="A89" i="10"/>
  <c r="W88" i="10"/>
  <c r="X88" i="10" s="1"/>
  <c r="S88" i="10"/>
  <c r="R88" i="10"/>
  <c r="Y88" i="10" s="1"/>
  <c r="Q88" i="10"/>
  <c r="N88" i="10"/>
  <c r="M88" i="10"/>
  <c r="K88" i="10"/>
  <c r="J88" i="10"/>
  <c r="I88" i="10"/>
  <c r="H88" i="10"/>
  <c r="L88" i="10" s="1"/>
  <c r="A88" i="10"/>
  <c r="Z88" i="10" s="1"/>
  <c r="W87" i="10"/>
  <c r="S87" i="10"/>
  <c r="R87" i="10"/>
  <c r="Y87" i="10" s="1"/>
  <c r="Q87" i="10"/>
  <c r="N87" i="10"/>
  <c r="M87" i="10"/>
  <c r="K87" i="10"/>
  <c r="L87" i="10" s="1"/>
  <c r="J87" i="10"/>
  <c r="I87" i="10"/>
  <c r="H87" i="10"/>
  <c r="A87" i="10"/>
  <c r="Z87" i="10" s="1"/>
  <c r="W86" i="10"/>
  <c r="X86" i="10" s="1"/>
  <c r="S86" i="10"/>
  <c r="R86" i="10"/>
  <c r="Y86" i="10" s="1"/>
  <c r="Q86" i="10"/>
  <c r="N86" i="10"/>
  <c r="M86" i="10"/>
  <c r="K86" i="10"/>
  <c r="J86" i="10"/>
  <c r="I86" i="10"/>
  <c r="H86" i="10"/>
  <c r="L86" i="10" s="1"/>
  <c r="A86" i="10"/>
  <c r="Z86" i="10" s="1"/>
  <c r="Y85" i="10"/>
  <c r="W85" i="10"/>
  <c r="X85" i="10" s="1"/>
  <c r="S162" i="11" s="1"/>
  <c r="S85" i="10"/>
  <c r="R85" i="10"/>
  <c r="Q85" i="10"/>
  <c r="N85" i="10"/>
  <c r="M85" i="10"/>
  <c r="L85" i="10"/>
  <c r="K85" i="10"/>
  <c r="J85" i="10"/>
  <c r="I85" i="10"/>
  <c r="H85" i="10"/>
  <c r="A85" i="10"/>
  <c r="Z85" i="10" s="1"/>
  <c r="Z84" i="10"/>
  <c r="Y84" i="10"/>
  <c r="X84" i="10"/>
  <c r="W84" i="10"/>
  <c r="S84" i="10"/>
  <c r="R84" i="10"/>
  <c r="Q84" i="10"/>
  <c r="N84" i="10"/>
  <c r="M84" i="10"/>
  <c r="K84" i="10"/>
  <c r="X87" i="10" s="1"/>
  <c r="J84" i="10"/>
  <c r="I84" i="10"/>
  <c r="H84" i="10"/>
  <c r="A84" i="10"/>
  <c r="Z83" i="10"/>
  <c r="Y83" i="10"/>
  <c r="W83" i="10"/>
  <c r="X83" i="10" s="1"/>
  <c r="S83" i="10"/>
  <c r="R83" i="10"/>
  <c r="Q83" i="10"/>
  <c r="N83" i="10"/>
  <c r="M83" i="10"/>
  <c r="L83" i="10"/>
  <c r="K83" i="10"/>
  <c r="J83" i="10"/>
  <c r="I83" i="10"/>
  <c r="H83" i="10"/>
  <c r="A83" i="10"/>
  <c r="Y82" i="10"/>
  <c r="X82" i="10"/>
  <c r="W82" i="10"/>
  <c r="S82" i="10"/>
  <c r="R82" i="10"/>
  <c r="Q82" i="10"/>
  <c r="N82" i="10"/>
  <c r="M82" i="10"/>
  <c r="K82" i="10"/>
  <c r="L82" i="10" s="1"/>
  <c r="J82" i="10"/>
  <c r="I82" i="10"/>
  <c r="H82" i="10"/>
  <c r="A82" i="10"/>
  <c r="Z82" i="10" s="1"/>
  <c r="Z81" i="10"/>
  <c r="W81" i="10"/>
  <c r="X81" i="10" s="1"/>
  <c r="S81" i="10"/>
  <c r="R81" i="10"/>
  <c r="Y81" i="10" s="1"/>
  <c r="Q81" i="10"/>
  <c r="N81" i="10"/>
  <c r="M81" i="10"/>
  <c r="K81" i="10"/>
  <c r="L81" i="10" s="1"/>
  <c r="J81" i="10"/>
  <c r="I81" i="10"/>
  <c r="H81" i="10"/>
  <c r="A81" i="10"/>
  <c r="W80" i="10"/>
  <c r="X80" i="10" s="1"/>
  <c r="S80" i="10"/>
  <c r="R80" i="10"/>
  <c r="Y80" i="10" s="1"/>
  <c r="Q80" i="10"/>
  <c r="N80" i="10"/>
  <c r="M80" i="10"/>
  <c r="K80" i="10"/>
  <c r="J80" i="10"/>
  <c r="I80" i="10"/>
  <c r="H80" i="10"/>
  <c r="L80" i="10" s="1"/>
  <c r="A80" i="10"/>
  <c r="Z80" i="10" s="1"/>
  <c r="W79" i="10"/>
  <c r="S79" i="10"/>
  <c r="R79" i="10"/>
  <c r="Y79" i="10" s="1"/>
  <c r="Q79" i="10"/>
  <c r="N79" i="10"/>
  <c r="M79" i="10"/>
  <c r="K79" i="10"/>
  <c r="L79" i="10" s="1"/>
  <c r="J79" i="10"/>
  <c r="I79" i="10"/>
  <c r="H79" i="10"/>
  <c r="A79" i="10"/>
  <c r="Z79" i="10" s="1"/>
  <c r="W78" i="10"/>
  <c r="X78" i="10" s="1"/>
  <c r="S78" i="10"/>
  <c r="R78" i="10"/>
  <c r="Y78" i="10" s="1"/>
  <c r="Q78" i="10"/>
  <c r="N78" i="10"/>
  <c r="M78" i="10"/>
  <c r="K78" i="10"/>
  <c r="J78" i="10"/>
  <c r="I78" i="10"/>
  <c r="H78" i="10"/>
  <c r="L78" i="10" s="1"/>
  <c r="A78" i="10"/>
  <c r="Z78" i="10" s="1"/>
  <c r="Y77" i="10"/>
  <c r="W77" i="10"/>
  <c r="S77" i="10"/>
  <c r="R77" i="10"/>
  <c r="Q77" i="10"/>
  <c r="N77" i="10"/>
  <c r="M77" i="10"/>
  <c r="L77" i="10"/>
  <c r="K77" i="10"/>
  <c r="X77" i="10" s="1"/>
  <c r="J77" i="10"/>
  <c r="I77" i="10"/>
  <c r="H77" i="10"/>
  <c r="A77" i="10"/>
  <c r="Z77" i="10" s="1"/>
  <c r="Z76" i="10"/>
  <c r="Y76" i="10"/>
  <c r="W76" i="10"/>
  <c r="S76" i="10"/>
  <c r="R76" i="10"/>
  <c r="Q76" i="10"/>
  <c r="N76" i="10"/>
  <c r="M76" i="10"/>
  <c r="K76" i="10"/>
  <c r="L76" i="10" s="1"/>
  <c r="J76" i="10"/>
  <c r="I76" i="10"/>
  <c r="H76" i="10"/>
  <c r="A76" i="10"/>
  <c r="Z75" i="10"/>
  <c r="Y75" i="10"/>
  <c r="W75" i="10"/>
  <c r="X75" i="10" s="1"/>
  <c r="S75" i="10"/>
  <c r="R75" i="10"/>
  <c r="Q75" i="10"/>
  <c r="N75" i="10"/>
  <c r="M75" i="10"/>
  <c r="L75" i="10"/>
  <c r="K75" i="10"/>
  <c r="J75" i="10"/>
  <c r="I75" i="10"/>
  <c r="H75" i="10"/>
  <c r="A75" i="10"/>
  <c r="Y74" i="10"/>
  <c r="W74" i="10"/>
  <c r="S74" i="10"/>
  <c r="R74" i="10"/>
  <c r="Q74" i="10"/>
  <c r="N74" i="10"/>
  <c r="M74" i="10"/>
  <c r="K74" i="10"/>
  <c r="X74" i="10" s="1"/>
  <c r="J74" i="10"/>
  <c r="I74" i="10"/>
  <c r="H74" i="10"/>
  <c r="A74" i="10"/>
  <c r="Z74" i="10" s="1"/>
  <c r="Z73" i="10"/>
  <c r="W73" i="10"/>
  <c r="X73" i="10" s="1"/>
  <c r="S73" i="10"/>
  <c r="R73" i="10"/>
  <c r="Y73" i="10" s="1"/>
  <c r="Q73" i="10"/>
  <c r="N73" i="10"/>
  <c r="M73" i="10"/>
  <c r="K73" i="10"/>
  <c r="L73" i="10" s="1"/>
  <c r="J73" i="10"/>
  <c r="I73" i="10"/>
  <c r="H73" i="10"/>
  <c r="A73" i="10"/>
  <c r="W72" i="10"/>
  <c r="X72" i="10" s="1"/>
  <c r="S72" i="10"/>
  <c r="R72" i="10"/>
  <c r="Y72" i="10" s="1"/>
  <c r="Q72" i="10"/>
  <c r="N72" i="10"/>
  <c r="M72" i="10"/>
  <c r="K72" i="10"/>
  <c r="J72" i="10"/>
  <c r="I72" i="10"/>
  <c r="H72" i="10"/>
  <c r="L72" i="10" s="1"/>
  <c r="A72" i="10"/>
  <c r="Z72" i="10" s="1"/>
  <c r="W71" i="10"/>
  <c r="S71" i="10"/>
  <c r="R71" i="10"/>
  <c r="Y71" i="10" s="1"/>
  <c r="Q71" i="10"/>
  <c r="N71" i="10"/>
  <c r="M71" i="10"/>
  <c r="K71" i="10"/>
  <c r="L71" i="10" s="1"/>
  <c r="J71" i="10"/>
  <c r="I71" i="10"/>
  <c r="H71" i="10"/>
  <c r="A71" i="10"/>
  <c r="Z71" i="10" s="1"/>
  <c r="W70" i="10"/>
  <c r="X70" i="10" s="1"/>
  <c r="S157" i="11" s="1"/>
  <c r="S70" i="10"/>
  <c r="R70" i="10"/>
  <c r="Y70" i="10" s="1"/>
  <c r="Q70" i="10"/>
  <c r="N70" i="10"/>
  <c r="M70" i="10"/>
  <c r="K70" i="10"/>
  <c r="J70" i="10"/>
  <c r="I70" i="10"/>
  <c r="H70" i="10"/>
  <c r="L70" i="10" s="1"/>
  <c r="A70" i="10"/>
  <c r="Z70" i="10" s="1"/>
  <c r="Y69" i="10"/>
  <c r="X69" i="10"/>
  <c r="W69" i="10"/>
  <c r="S69" i="10"/>
  <c r="R69" i="10"/>
  <c r="Q69" i="10"/>
  <c r="N69" i="10"/>
  <c r="M69" i="10"/>
  <c r="L69" i="10"/>
  <c r="Q152" i="11" s="1"/>
  <c r="K69" i="10"/>
  <c r="J69" i="10"/>
  <c r="I69" i="10"/>
  <c r="H69" i="10"/>
  <c r="A69" i="10"/>
  <c r="Z69" i="10" s="1"/>
  <c r="Z68" i="10"/>
  <c r="Y68" i="10"/>
  <c r="X68" i="10"/>
  <c r="W68" i="10"/>
  <c r="S68" i="10"/>
  <c r="R68" i="10"/>
  <c r="Q68" i="10"/>
  <c r="N68" i="10"/>
  <c r="E43" i="15" s="1"/>
  <c r="M68" i="10"/>
  <c r="K68" i="10"/>
  <c r="L68" i="10" s="1"/>
  <c r="J68" i="10"/>
  <c r="I68" i="10"/>
  <c r="H68" i="10"/>
  <c r="A68" i="10"/>
  <c r="Z67" i="10"/>
  <c r="Y67" i="10"/>
  <c r="W67" i="10"/>
  <c r="X67" i="10" s="1"/>
  <c r="S67" i="10"/>
  <c r="R67" i="10"/>
  <c r="Q67" i="10"/>
  <c r="N67" i="10"/>
  <c r="M67" i="10"/>
  <c r="L67" i="10"/>
  <c r="Q151" i="11" s="1"/>
  <c r="K67" i="10"/>
  <c r="J67" i="10"/>
  <c r="I67" i="10"/>
  <c r="H67" i="10"/>
  <c r="A67" i="10"/>
  <c r="Y66" i="10"/>
  <c r="X66" i="10"/>
  <c r="W66" i="10"/>
  <c r="S66" i="10"/>
  <c r="R66" i="10"/>
  <c r="Q66" i="10"/>
  <c r="N66" i="10"/>
  <c r="M66" i="10"/>
  <c r="K66" i="10"/>
  <c r="L66" i="10" s="1"/>
  <c r="J66" i="10"/>
  <c r="I66" i="10"/>
  <c r="H66" i="10"/>
  <c r="A66" i="10"/>
  <c r="Z66" i="10" s="1"/>
  <c r="Z65" i="10"/>
  <c r="W65" i="10"/>
  <c r="X65" i="10" s="1"/>
  <c r="S65" i="10"/>
  <c r="R65" i="10"/>
  <c r="Y65" i="10" s="1"/>
  <c r="Q65" i="10"/>
  <c r="N65" i="10"/>
  <c r="M65" i="10"/>
  <c r="K65" i="10"/>
  <c r="L65" i="10" s="1"/>
  <c r="J65" i="10"/>
  <c r="I65" i="10"/>
  <c r="H65" i="10"/>
  <c r="A65" i="10"/>
  <c r="W64" i="10"/>
  <c r="X64" i="10" s="1"/>
  <c r="S64" i="10"/>
  <c r="R64" i="10"/>
  <c r="Y64" i="10" s="1"/>
  <c r="Q64" i="10"/>
  <c r="N64" i="10"/>
  <c r="M64" i="10"/>
  <c r="K64" i="10"/>
  <c r="J64" i="10"/>
  <c r="I64" i="10"/>
  <c r="H64" i="10"/>
  <c r="L64" i="10" s="1"/>
  <c r="A64" i="10"/>
  <c r="Z64" i="10" s="1"/>
  <c r="X63" i="10"/>
  <c r="W63" i="10"/>
  <c r="S63" i="10"/>
  <c r="R63" i="10"/>
  <c r="Y63" i="10" s="1"/>
  <c r="Q63" i="10"/>
  <c r="N63" i="10"/>
  <c r="M63" i="10"/>
  <c r="K63" i="10"/>
  <c r="L63" i="10" s="1"/>
  <c r="J63" i="10"/>
  <c r="I63" i="10"/>
  <c r="H63" i="10"/>
  <c r="A63" i="10"/>
  <c r="Z63" i="10" s="1"/>
  <c r="W62" i="10"/>
  <c r="X62" i="10" s="1"/>
  <c r="S62" i="10"/>
  <c r="R62" i="10"/>
  <c r="Y62" i="10" s="1"/>
  <c r="Q62" i="10"/>
  <c r="N62" i="10"/>
  <c r="M62" i="10"/>
  <c r="K62" i="10"/>
  <c r="J62" i="10"/>
  <c r="I62" i="10"/>
  <c r="H62" i="10"/>
  <c r="L62" i="10" s="1"/>
  <c r="A62" i="10"/>
  <c r="Z62" i="10" s="1"/>
  <c r="Y61" i="10"/>
  <c r="X61" i="10"/>
  <c r="W61" i="10"/>
  <c r="S61" i="10"/>
  <c r="R61" i="10"/>
  <c r="Q61" i="10"/>
  <c r="N61" i="10"/>
  <c r="M61" i="10"/>
  <c r="L61" i="10"/>
  <c r="Q146" i="11" s="1"/>
  <c r="K61" i="10"/>
  <c r="J61" i="10"/>
  <c r="I61" i="10"/>
  <c r="H61" i="10"/>
  <c r="A61" i="10"/>
  <c r="Z61" i="10" s="1"/>
  <c r="Z60" i="10"/>
  <c r="Y60" i="10"/>
  <c r="W60" i="10"/>
  <c r="S60" i="10"/>
  <c r="R60" i="10"/>
  <c r="Q60" i="10"/>
  <c r="N60" i="10"/>
  <c r="M60" i="10"/>
  <c r="K60" i="10"/>
  <c r="L60" i="10" s="1"/>
  <c r="J60" i="10"/>
  <c r="I60" i="10"/>
  <c r="H60" i="10"/>
  <c r="A60" i="10"/>
  <c r="Z59" i="10"/>
  <c r="Y59" i="10"/>
  <c r="W59" i="10"/>
  <c r="X59" i="10" s="1"/>
  <c r="S59" i="10"/>
  <c r="R59" i="10"/>
  <c r="Q59" i="10"/>
  <c r="N59" i="10"/>
  <c r="M59" i="10"/>
  <c r="L59" i="10"/>
  <c r="K59" i="10"/>
  <c r="J59" i="10"/>
  <c r="I59" i="10"/>
  <c r="H59" i="10"/>
  <c r="A59" i="10"/>
  <c r="Y58" i="10"/>
  <c r="W58" i="10"/>
  <c r="S58" i="10"/>
  <c r="R58" i="10"/>
  <c r="Q58" i="10"/>
  <c r="N58" i="10"/>
  <c r="M58" i="10"/>
  <c r="K58" i="10"/>
  <c r="L58" i="10" s="1"/>
  <c r="J58" i="10"/>
  <c r="I58" i="10"/>
  <c r="H58" i="10"/>
  <c r="C58" i="10"/>
  <c r="A58" i="10"/>
  <c r="Z58" i="10" s="1"/>
  <c r="Y57" i="10"/>
  <c r="W57" i="10"/>
  <c r="S57" i="10"/>
  <c r="R57" i="10"/>
  <c r="Q57" i="10"/>
  <c r="N57" i="10"/>
  <c r="M57" i="10"/>
  <c r="K57" i="10"/>
  <c r="L57" i="10" s="1"/>
  <c r="J57" i="10"/>
  <c r="I57" i="10"/>
  <c r="H57" i="10"/>
  <c r="C57" i="10"/>
  <c r="A57" i="10"/>
  <c r="Z57" i="10" s="1"/>
  <c r="Y56" i="10"/>
  <c r="W56" i="10"/>
  <c r="S56" i="10"/>
  <c r="R56" i="10"/>
  <c r="Q56" i="10"/>
  <c r="N56" i="10"/>
  <c r="M56" i="10"/>
  <c r="K56" i="10"/>
  <c r="X58" i="10" s="1"/>
  <c r="J56" i="10"/>
  <c r="I56" i="10"/>
  <c r="H56" i="10"/>
  <c r="C56" i="10"/>
  <c r="A56" i="10"/>
  <c r="Z56" i="10" s="1"/>
  <c r="Y55" i="10"/>
  <c r="W55" i="10"/>
  <c r="S55" i="10"/>
  <c r="R55" i="10"/>
  <c r="Q55" i="10"/>
  <c r="N55" i="10"/>
  <c r="M55" i="10"/>
  <c r="K55" i="10"/>
  <c r="X57" i="10" s="1"/>
  <c r="J55" i="10"/>
  <c r="I55" i="10"/>
  <c r="H55" i="10"/>
  <c r="C55" i="10"/>
  <c r="A55" i="10"/>
  <c r="Z55" i="10" s="1"/>
  <c r="Y54" i="10"/>
  <c r="W54" i="10"/>
  <c r="S54" i="10"/>
  <c r="R54" i="10"/>
  <c r="Q54" i="10"/>
  <c r="N54" i="10"/>
  <c r="M54" i="10"/>
  <c r="K54" i="10"/>
  <c r="X56" i="10" s="1"/>
  <c r="J54" i="10"/>
  <c r="I54" i="10"/>
  <c r="H54" i="10"/>
  <c r="C54" i="10"/>
  <c r="A54" i="10"/>
  <c r="Z54" i="10" s="1"/>
  <c r="Y53" i="10"/>
  <c r="X53" i="10"/>
  <c r="W53" i="10"/>
  <c r="S53" i="10"/>
  <c r="R53" i="10"/>
  <c r="Q53" i="10"/>
  <c r="N53" i="10"/>
  <c r="M53" i="10"/>
  <c r="K53" i="10"/>
  <c r="X55" i="10" s="1"/>
  <c r="J53" i="10"/>
  <c r="I53" i="10"/>
  <c r="H53" i="10"/>
  <c r="C53" i="10"/>
  <c r="A53" i="10"/>
  <c r="Z53" i="10" s="1"/>
  <c r="Z52" i="10"/>
  <c r="Y52" i="10"/>
  <c r="X52" i="10"/>
  <c r="W52" i="10"/>
  <c r="S52" i="10"/>
  <c r="R52" i="10"/>
  <c r="Q52" i="10"/>
  <c r="N52" i="10"/>
  <c r="M52" i="10"/>
  <c r="K52" i="10"/>
  <c r="X54" i="10" s="1"/>
  <c r="J52" i="10"/>
  <c r="I52" i="10"/>
  <c r="H52" i="10"/>
  <c r="A52" i="10"/>
  <c r="Z51" i="10"/>
  <c r="W51" i="10"/>
  <c r="X51" i="10" s="1"/>
  <c r="S51" i="10"/>
  <c r="R51" i="10"/>
  <c r="Y51" i="10" s="1"/>
  <c r="Q51" i="10"/>
  <c r="N51" i="10"/>
  <c r="M51" i="10"/>
  <c r="K51" i="10"/>
  <c r="L51" i="10" s="1"/>
  <c r="J51" i="10"/>
  <c r="I51" i="10"/>
  <c r="H51" i="10"/>
  <c r="A51" i="10"/>
  <c r="W50" i="10"/>
  <c r="X50" i="10" s="1"/>
  <c r="S50" i="10"/>
  <c r="R50" i="10"/>
  <c r="Y50" i="10" s="1"/>
  <c r="Q50" i="10"/>
  <c r="N50" i="10"/>
  <c r="M50" i="10"/>
  <c r="K50" i="10"/>
  <c r="J50" i="10"/>
  <c r="I50" i="10"/>
  <c r="H50" i="10"/>
  <c r="L50" i="10" s="1"/>
  <c r="A50" i="10"/>
  <c r="Z50" i="10" s="1"/>
  <c r="W49" i="10"/>
  <c r="S49" i="10"/>
  <c r="R49" i="10"/>
  <c r="Y49" i="10" s="1"/>
  <c r="Q49" i="10"/>
  <c r="N49" i="10"/>
  <c r="M49" i="10"/>
  <c r="K49" i="10"/>
  <c r="L49" i="10" s="1"/>
  <c r="J49" i="10"/>
  <c r="I49" i="10"/>
  <c r="H49" i="10"/>
  <c r="A49" i="10"/>
  <c r="Z49" i="10" s="1"/>
  <c r="Z48" i="10"/>
  <c r="W48" i="10"/>
  <c r="X48" i="10" s="1"/>
  <c r="S48" i="10"/>
  <c r="R48" i="10"/>
  <c r="Y48" i="10" s="1"/>
  <c r="Q48" i="10"/>
  <c r="N48" i="10"/>
  <c r="M48" i="10"/>
  <c r="K48" i="10"/>
  <c r="I48" i="10"/>
  <c r="H48" i="10"/>
  <c r="L48" i="10" s="1"/>
  <c r="A48" i="10"/>
  <c r="Z47" i="10"/>
  <c r="Y47" i="10"/>
  <c r="X47" i="10"/>
  <c r="W47" i="10"/>
  <c r="S47" i="10"/>
  <c r="R47" i="10"/>
  <c r="Q47" i="10"/>
  <c r="N47" i="10"/>
  <c r="M47" i="10"/>
  <c r="K47" i="10"/>
  <c r="L47" i="10" s="1"/>
  <c r="J47" i="10"/>
  <c r="I47" i="10"/>
  <c r="H47" i="10"/>
  <c r="A47" i="10"/>
  <c r="Z46" i="10"/>
  <c r="Y46" i="10"/>
  <c r="W46" i="10"/>
  <c r="X46" i="10" s="1"/>
  <c r="S46" i="10"/>
  <c r="R46" i="10"/>
  <c r="Q46" i="10"/>
  <c r="N46" i="10"/>
  <c r="M46" i="10"/>
  <c r="L46" i="10"/>
  <c r="Q122" i="11" s="1"/>
  <c r="K46" i="10"/>
  <c r="J46" i="10"/>
  <c r="I46" i="10"/>
  <c r="H46" i="10"/>
  <c r="A46" i="10"/>
  <c r="Z45" i="10"/>
  <c r="Y45" i="10"/>
  <c r="X45" i="10"/>
  <c r="W45" i="10"/>
  <c r="S45" i="10"/>
  <c r="R45" i="10"/>
  <c r="Q45" i="10"/>
  <c r="N45" i="10"/>
  <c r="M45" i="10"/>
  <c r="K45" i="10"/>
  <c r="L45" i="10" s="1"/>
  <c r="J45" i="10"/>
  <c r="I45" i="10"/>
  <c r="H45" i="10"/>
  <c r="A45" i="10"/>
  <c r="Z44" i="10"/>
  <c r="W44" i="10"/>
  <c r="X44" i="10" s="1"/>
  <c r="S44" i="10"/>
  <c r="R44" i="10"/>
  <c r="Y44" i="10" s="1"/>
  <c r="Q44" i="10"/>
  <c r="N44" i="10"/>
  <c r="M44" i="10"/>
  <c r="K44" i="10"/>
  <c r="L44" i="10" s="1"/>
  <c r="J44" i="10"/>
  <c r="I44" i="10"/>
  <c r="H44" i="10"/>
  <c r="A44" i="10"/>
  <c r="W43" i="10"/>
  <c r="X43" i="10" s="1"/>
  <c r="S43" i="10"/>
  <c r="R43" i="10"/>
  <c r="Y43" i="10" s="1"/>
  <c r="Q43" i="10"/>
  <c r="N43" i="10"/>
  <c r="M43" i="10"/>
  <c r="K43" i="10"/>
  <c r="J43" i="10"/>
  <c r="I43" i="10"/>
  <c r="H43" i="10"/>
  <c r="L43" i="10" s="1"/>
  <c r="A43" i="10"/>
  <c r="Z43" i="10" s="1"/>
  <c r="W42" i="10"/>
  <c r="S42" i="10"/>
  <c r="R42" i="10"/>
  <c r="Y42" i="10" s="1"/>
  <c r="Q42" i="10"/>
  <c r="N42" i="10"/>
  <c r="M42" i="10"/>
  <c r="K42" i="10"/>
  <c r="L42" i="10" s="1"/>
  <c r="J42" i="10"/>
  <c r="I42" i="10"/>
  <c r="H42" i="10"/>
  <c r="A42" i="10"/>
  <c r="Z42" i="10" s="1"/>
  <c r="W41" i="10"/>
  <c r="X41" i="10" s="1"/>
  <c r="S41" i="10"/>
  <c r="R41" i="10"/>
  <c r="Y41" i="10" s="1"/>
  <c r="Q41" i="10"/>
  <c r="N41" i="10"/>
  <c r="M41" i="10"/>
  <c r="K41" i="10"/>
  <c r="J41" i="10"/>
  <c r="I41" i="10"/>
  <c r="H41" i="10"/>
  <c r="X42" i="10" s="1"/>
  <c r="A41" i="10"/>
  <c r="Z41" i="10" s="1"/>
  <c r="Z40" i="10"/>
  <c r="Y40" i="10"/>
  <c r="X40" i="10"/>
  <c r="W40" i="10"/>
  <c r="S40" i="10"/>
  <c r="R40" i="10"/>
  <c r="Q40" i="10"/>
  <c r="N40" i="10"/>
  <c r="E29" i="15" s="1"/>
  <c r="M40" i="10"/>
  <c r="L40" i="10"/>
  <c r="K40" i="10"/>
  <c r="J40" i="10"/>
  <c r="I40" i="10"/>
  <c r="H40" i="10"/>
  <c r="A40" i="10"/>
  <c r="Z39" i="10"/>
  <c r="Y39" i="10"/>
  <c r="X39" i="10"/>
  <c r="W39" i="10"/>
  <c r="S39" i="10"/>
  <c r="R39" i="10"/>
  <c r="Q39" i="10"/>
  <c r="N39" i="10"/>
  <c r="M39" i="10"/>
  <c r="K39" i="10"/>
  <c r="L39" i="10" s="1"/>
  <c r="J39" i="10"/>
  <c r="I39" i="10"/>
  <c r="H39" i="10"/>
  <c r="A39" i="10"/>
  <c r="Z38" i="10"/>
  <c r="Y38" i="10"/>
  <c r="W38" i="10"/>
  <c r="X38" i="10" s="1"/>
  <c r="S38" i="10"/>
  <c r="R38" i="10"/>
  <c r="Q38" i="10"/>
  <c r="N38" i="10"/>
  <c r="M38" i="10"/>
  <c r="L38" i="10"/>
  <c r="Q106" i="11" s="1"/>
  <c r="K38" i="10"/>
  <c r="J38" i="10"/>
  <c r="I38" i="10"/>
  <c r="H38" i="10"/>
  <c r="A38" i="10"/>
  <c r="Z37" i="10"/>
  <c r="Y37" i="10"/>
  <c r="X37" i="10"/>
  <c r="W37" i="10"/>
  <c r="S37" i="10"/>
  <c r="R37" i="10"/>
  <c r="Q37" i="10"/>
  <c r="N37" i="10"/>
  <c r="M37" i="10"/>
  <c r="K37" i="10"/>
  <c r="L37" i="10" s="1"/>
  <c r="J37" i="10"/>
  <c r="I37" i="10"/>
  <c r="H37" i="10"/>
  <c r="A37" i="10"/>
  <c r="Z36" i="10"/>
  <c r="W36" i="10"/>
  <c r="X36" i="10" s="1"/>
  <c r="S36" i="10"/>
  <c r="R36" i="10"/>
  <c r="Y36" i="10" s="1"/>
  <c r="Q36" i="10"/>
  <c r="N36" i="10"/>
  <c r="M36" i="10"/>
  <c r="K36" i="10"/>
  <c r="L36" i="10" s="1"/>
  <c r="J36" i="10"/>
  <c r="I36" i="10"/>
  <c r="H36" i="10"/>
  <c r="A36" i="10"/>
  <c r="W35" i="10"/>
  <c r="X35" i="10" s="1"/>
  <c r="S35" i="10"/>
  <c r="R35" i="10"/>
  <c r="Y35" i="10" s="1"/>
  <c r="Q35" i="10"/>
  <c r="N35" i="10"/>
  <c r="M35" i="10"/>
  <c r="K35" i="10"/>
  <c r="J35" i="10"/>
  <c r="I35" i="10"/>
  <c r="H35" i="10"/>
  <c r="L35" i="10" s="1"/>
  <c r="A35" i="10"/>
  <c r="Z35" i="10" s="1"/>
  <c r="W34" i="10"/>
  <c r="S34" i="10"/>
  <c r="R34" i="10"/>
  <c r="Y34" i="10" s="1"/>
  <c r="Q34" i="10"/>
  <c r="N34" i="10"/>
  <c r="M34" i="10"/>
  <c r="K34" i="10"/>
  <c r="L34" i="10" s="1"/>
  <c r="J34" i="10"/>
  <c r="I34" i="10"/>
  <c r="H34" i="10"/>
  <c r="A34" i="10"/>
  <c r="Z34" i="10" s="1"/>
  <c r="W33" i="10"/>
  <c r="X33" i="10" s="1"/>
  <c r="S33" i="10"/>
  <c r="R33" i="10"/>
  <c r="Y33" i="10" s="1"/>
  <c r="Q33" i="10"/>
  <c r="N33" i="10"/>
  <c r="M33" i="10"/>
  <c r="K33" i="10"/>
  <c r="J33" i="10"/>
  <c r="I33" i="10"/>
  <c r="H33" i="10"/>
  <c r="L33" i="10" s="1"/>
  <c r="A33" i="10"/>
  <c r="Z33" i="10" s="1"/>
  <c r="Z32" i="10"/>
  <c r="Y32" i="10"/>
  <c r="X32" i="10"/>
  <c r="W32" i="10"/>
  <c r="S32" i="10"/>
  <c r="R32" i="10"/>
  <c r="Q32" i="10"/>
  <c r="N32" i="10"/>
  <c r="M32" i="10"/>
  <c r="L32" i="10"/>
  <c r="K32" i="10"/>
  <c r="J32" i="10"/>
  <c r="I32" i="10"/>
  <c r="H32" i="10"/>
  <c r="A32" i="10"/>
  <c r="Z31" i="10"/>
  <c r="Y31" i="10"/>
  <c r="X31" i="10"/>
  <c r="W31" i="10"/>
  <c r="S31" i="10"/>
  <c r="R31" i="10"/>
  <c r="Q31" i="10"/>
  <c r="N31" i="10"/>
  <c r="M31" i="10"/>
  <c r="K31" i="10"/>
  <c r="L31" i="10" s="1"/>
  <c r="J31" i="10"/>
  <c r="I31" i="10"/>
  <c r="H31" i="10"/>
  <c r="A31" i="10"/>
  <c r="Z30" i="10"/>
  <c r="Y30" i="10"/>
  <c r="W30" i="10"/>
  <c r="X30" i="10" s="1"/>
  <c r="S30" i="10"/>
  <c r="R30" i="10"/>
  <c r="Q30" i="10"/>
  <c r="N30" i="10"/>
  <c r="M30" i="10"/>
  <c r="L30" i="10"/>
  <c r="Q80" i="11" s="1"/>
  <c r="K30" i="10"/>
  <c r="X16" i="10" s="1"/>
  <c r="S31" i="11" s="1"/>
  <c r="J30" i="10"/>
  <c r="I30" i="10"/>
  <c r="H30" i="10"/>
  <c r="A30" i="10"/>
  <c r="Z29" i="10"/>
  <c r="Y29" i="10"/>
  <c r="X29" i="10"/>
  <c r="W29" i="10"/>
  <c r="S29" i="10"/>
  <c r="R29" i="10"/>
  <c r="Q29" i="10"/>
  <c r="N29" i="10"/>
  <c r="M29" i="10"/>
  <c r="K29" i="10"/>
  <c r="L29" i="10" s="1"/>
  <c r="J29" i="10"/>
  <c r="I29" i="10"/>
  <c r="H29" i="10"/>
  <c r="A29" i="10"/>
  <c r="Z28" i="10"/>
  <c r="W28" i="10"/>
  <c r="X28" i="10" s="1"/>
  <c r="S28" i="10"/>
  <c r="R28" i="10"/>
  <c r="Y28" i="10" s="1"/>
  <c r="Q28" i="10"/>
  <c r="N28" i="10"/>
  <c r="M28" i="10"/>
  <c r="K28" i="10"/>
  <c r="L28" i="10" s="1"/>
  <c r="J28" i="10"/>
  <c r="I28" i="10"/>
  <c r="H28" i="10"/>
  <c r="A28" i="10"/>
  <c r="W27" i="10"/>
  <c r="X27" i="10" s="1"/>
  <c r="S27" i="10"/>
  <c r="R27" i="10"/>
  <c r="Y27" i="10" s="1"/>
  <c r="Q27" i="10"/>
  <c r="N27" i="10"/>
  <c r="M27" i="10"/>
  <c r="K27" i="10"/>
  <c r="J27" i="10"/>
  <c r="I27" i="10"/>
  <c r="H27" i="10"/>
  <c r="L27" i="10" s="1"/>
  <c r="A27" i="10"/>
  <c r="Z27" i="10" s="1"/>
  <c r="X26" i="10"/>
  <c r="W26" i="10"/>
  <c r="S26" i="10"/>
  <c r="R26" i="10"/>
  <c r="Y26" i="10" s="1"/>
  <c r="Q26" i="10"/>
  <c r="N26" i="10"/>
  <c r="M26" i="10"/>
  <c r="K26" i="10"/>
  <c r="L26" i="10" s="1"/>
  <c r="J26" i="10"/>
  <c r="I26" i="10"/>
  <c r="H26" i="10"/>
  <c r="A26" i="10"/>
  <c r="Z26" i="10" s="1"/>
  <c r="Z25" i="10"/>
  <c r="W25" i="10"/>
  <c r="X25" i="10" s="1"/>
  <c r="S25" i="10"/>
  <c r="R25" i="10"/>
  <c r="Y25" i="10" s="1"/>
  <c r="Q25" i="10"/>
  <c r="N25" i="10"/>
  <c r="M25" i="10"/>
  <c r="K25" i="10"/>
  <c r="J25" i="10"/>
  <c r="I25" i="10"/>
  <c r="H25" i="10"/>
  <c r="L25" i="10" s="1"/>
  <c r="A25" i="10"/>
  <c r="Z24" i="10"/>
  <c r="Y24" i="10"/>
  <c r="W24" i="10"/>
  <c r="S24" i="10"/>
  <c r="R24" i="10"/>
  <c r="Q24" i="10"/>
  <c r="N24" i="10"/>
  <c r="M24" i="10"/>
  <c r="L24" i="10"/>
  <c r="K24" i="10"/>
  <c r="J24" i="10"/>
  <c r="I24" i="10"/>
  <c r="H24" i="10"/>
  <c r="A24" i="10"/>
  <c r="Z23" i="10"/>
  <c r="Y23" i="10"/>
  <c r="X23" i="10"/>
  <c r="W23" i="10"/>
  <c r="S23" i="10"/>
  <c r="R23" i="10"/>
  <c r="Q23" i="10"/>
  <c r="N23" i="10"/>
  <c r="M23" i="10"/>
  <c r="K23" i="10"/>
  <c r="L23" i="10" s="1"/>
  <c r="J23" i="10"/>
  <c r="I23" i="10"/>
  <c r="H23" i="10"/>
  <c r="A23" i="10"/>
  <c r="Z22" i="10"/>
  <c r="Y22" i="10"/>
  <c r="W22" i="10"/>
  <c r="X22" i="10" s="1"/>
  <c r="S22" i="10"/>
  <c r="R22" i="10"/>
  <c r="Q22" i="10"/>
  <c r="N22" i="10"/>
  <c r="M22" i="10"/>
  <c r="L22" i="10"/>
  <c r="Q54" i="11" s="1"/>
  <c r="K22" i="10"/>
  <c r="J22" i="10"/>
  <c r="I22" i="10"/>
  <c r="H22" i="10"/>
  <c r="A22" i="10"/>
  <c r="Z21" i="10"/>
  <c r="Y21" i="10"/>
  <c r="X21" i="10"/>
  <c r="W21" i="10"/>
  <c r="S21" i="10"/>
  <c r="R21" i="10"/>
  <c r="Q21" i="10"/>
  <c r="N21" i="10"/>
  <c r="M21" i="10"/>
  <c r="K21" i="10"/>
  <c r="L21" i="10" s="1"/>
  <c r="J21" i="10"/>
  <c r="I21" i="10"/>
  <c r="H21" i="10"/>
  <c r="A21" i="10"/>
  <c r="Z20" i="10"/>
  <c r="W20" i="10"/>
  <c r="X20" i="10" s="1"/>
  <c r="S20" i="10"/>
  <c r="R20" i="10"/>
  <c r="Y20" i="10" s="1"/>
  <c r="Q20" i="10"/>
  <c r="N20" i="10"/>
  <c r="M20" i="10"/>
  <c r="K20" i="10"/>
  <c r="L20" i="10" s="1"/>
  <c r="J20" i="10"/>
  <c r="I20" i="10"/>
  <c r="H20" i="10"/>
  <c r="A20" i="10"/>
  <c r="W19" i="10"/>
  <c r="X19" i="10" s="1"/>
  <c r="S19" i="10"/>
  <c r="R19" i="10"/>
  <c r="Y19" i="10" s="1"/>
  <c r="Q19" i="10"/>
  <c r="N19" i="10"/>
  <c r="E3" i="15" s="1"/>
  <c r="M19" i="10"/>
  <c r="K19" i="10"/>
  <c r="J19" i="10"/>
  <c r="I19" i="10"/>
  <c r="H19" i="10"/>
  <c r="L19" i="10" s="1"/>
  <c r="A19" i="10"/>
  <c r="Z19" i="10" s="1"/>
  <c r="X18" i="10"/>
  <c r="W18" i="10"/>
  <c r="S18" i="10"/>
  <c r="R18" i="10"/>
  <c r="Y18" i="10" s="1"/>
  <c r="Q18" i="10"/>
  <c r="N18" i="10"/>
  <c r="E13" i="15" s="1"/>
  <c r="M18" i="10"/>
  <c r="K18" i="10"/>
  <c r="L18" i="10" s="1"/>
  <c r="J18" i="10"/>
  <c r="I18" i="10"/>
  <c r="H18" i="10"/>
  <c r="A18" i="10"/>
  <c r="Z18" i="10" s="1"/>
  <c r="Z17" i="10"/>
  <c r="W17" i="10"/>
  <c r="X17" i="10" s="1"/>
  <c r="S17" i="10"/>
  <c r="R17" i="10"/>
  <c r="Y17" i="10" s="1"/>
  <c r="Q17" i="10"/>
  <c r="N17" i="10"/>
  <c r="M17" i="10"/>
  <c r="K17" i="10"/>
  <c r="J17" i="10"/>
  <c r="I17" i="10"/>
  <c r="H17" i="10"/>
  <c r="L17" i="10" s="1"/>
  <c r="A17" i="10"/>
  <c r="Z16" i="10"/>
  <c r="Y16" i="10"/>
  <c r="W16" i="10"/>
  <c r="S16" i="10"/>
  <c r="R16" i="10"/>
  <c r="Q16" i="10"/>
  <c r="N16" i="10"/>
  <c r="M16" i="10"/>
  <c r="L16" i="10"/>
  <c r="Q31" i="11" s="1"/>
  <c r="K16" i="10"/>
  <c r="J16" i="10"/>
  <c r="I16" i="10"/>
  <c r="H16" i="10"/>
  <c r="A16" i="10"/>
  <c r="Z15" i="10"/>
  <c r="Y15" i="10"/>
  <c r="X15" i="10"/>
  <c r="W15" i="10"/>
  <c r="S15" i="10"/>
  <c r="R15" i="10"/>
  <c r="Q15" i="10"/>
  <c r="N15" i="10"/>
  <c r="M15" i="10"/>
  <c r="K15" i="10"/>
  <c r="L15" i="10" s="1"/>
  <c r="J15" i="10"/>
  <c r="I15" i="10"/>
  <c r="H15" i="10"/>
  <c r="A15" i="10"/>
  <c r="Z14" i="10"/>
  <c r="Y14" i="10"/>
  <c r="W14" i="10"/>
  <c r="X14" i="10" s="1"/>
  <c r="S14" i="10"/>
  <c r="R14" i="10"/>
  <c r="Q14" i="10"/>
  <c r="N14" i="10"/>
  <c r="M14" i="10"/>
  <c r="K14" i="10"/>
  <c r="L14" i="10" s="1"/>
  <c r="J14" i="10"/>
  <c r="I14" i="10"/>
  <c r="H14" i="10"/>
  <c r="A14" i="10"/>
  <c r="Z13" i="10"/>
  <c r="Y13" i="10"/>
  <c r="W13" i="10"/>
  <c r="X13" i="10" s="1"/>
  <c r="S13" i="10"/>
  <c r="R13" i="10"/>
  <c r="Q13" i="10"/>
  <c r="N13" i="10"/>
  <c r="M13" i="10"/>
  <c r="K13" i="10"/>
  <c r="L13" i="10" s="1"/>
  <c r="J13" i="10"/>
  <c r="I13" i="10"/>
  <c r="H13" i="10"/>
  <c r="A13" i="10"/>
  <c r="Z12" i="10"/>
  <c r="W12" i="10"/>
  <c r="X12" i="10" s="1"/>
  <c r="S12" i="10"/>
  <c r="R12" i="10"/>
  <c r="Y12" i="10" s="1"/>
  <c r="Q12" i="10"/>
  <c r="N12" i="10"/>
  <c r="E20" i="15" s="1"/>
  <c r="M12" i="10"/>
  <c r="K12" i="10"/>
  <c r="L12" i="10" s="1"/>
  <c r="J12" i="10"/>
  <c r="I12" i="10"/>
  <c r="H12" i="10"/>
  <c r="A12" i="10"/>
  <c r="W11" i="10"/>
  <c r="X11" i="10" s="1"/>
  <c r="S11" i="10"/>
  <c r="R11" i="10"/>
  <c r="Y11" i="10" s="1"/>
  <c r="Q11" i="10"/>
  <c r="N11" i="10"/>
  <c r="M11" i="10"/>
  <c r="K11" i="10"/>
  <c r="J11" i="10"/>
  <c r="I11" i="10"/>
  <c r="H11" i="10"/>
  <c r="L11" i="10" s="1"/>
  <c r="A11" i="10"/>
  <c r="Z11" i="10" s="1"/>
  <c r="X10" i="10"/>
  <c r="W10" i="10"/>
  <c r="S10" i="10"/>
  <c r="R10" i="10"/>
  <c r="Y10" i="10" s="1"/>
  <c r="Q10" i="10"/>
  <c r="N10" i="10"/>
  <c r="M10" i="10"/>
  <c r="K10" i="10"/>
  <c r="L10" i="10" s="1"/>
  <c r="J10" i="10"/>
  <c r="I10" i="10"/>
  <c r="H10" i="10"/>
  <c r="A10" i="10"/>
  <c r="Z10" i="10" s="1"/>
  <c r="Z9" i="10"/>
  <c r="W9" i="10"/>
  <c r="X9" i="10" s="1"/>
  <c r="S9" i="10"/>
  <c r="R9" i="10"/>
  <c r="Y9" i="10" s="1"/>
  <c r="Q9" i="10"/>
  <c r="N9" i="10"/>
  <c r="M9" i="10"/>
  <c r="K9" i="10"/>
  <c r="J9" i="10"/>
  <c r="I9" i="10"/>
  <c r="H9" i="10"/>
  <c r="L9" i="10" s="1"/>
  <c r="A9" i="10"/>
  <c r="Z8" i="10"/>
  <c r="Y8" i="10"/>
  <c r="W8" i="10"/>
  <c r="S8" i="10"/>
  <c r="R8" i="10"/>
  <c r="Q8" i="10"/>
  <c r="N8" i="10"/>
  <c r="M8" i="10"/>
  <c r="L8" i="10"/>
  <c r="K8" i="10"/>
  <c r="J8" i="10"/>
  <c r="I8" i="10"/>
  <c r="H8" i="10"/>
  <c r="A8" i="10"/>
  <c r="Z7" i="10"/>
  <c r="Y7" i="10"/>
  <c r="X7" i="10"/>
  <c r="W7" i="10"/>
  <c r="S7" i="10"/>
  <c r="R7" i="10"/>
  <c r="Q7" i="10"/>
  <c r="N7" i="10"/>
  <c r="M7" i="10"/>
  <c r="K7" i="10"/>
  <c r="X34" i="10" s="1"/>
  <c r="J7" i="10"/>
  <c r="I7" i="10"/>
  <c r="H7" i="10"/>
  <c r="A7" i="10"/>
  <c r="Z6" i="10"/>
  <c r="Y6" i="10"/>
  <c r="W6" i="10"/>
  <c r="X6" i="10" s="1"/>
  <c r="S6" i="10"/>
  <c r="R6" i="10"/>
  <c r="Q6" i="10"/>
  <c r="N6" i="10"/>
  <c r="M6" i="10"/>
  <c r="K6" i="10"/>
  <c r="L6" i="10" s="1"/>
  <c r="J6" i="10"/>
  <c r="I6" i="10"/>
  <c r="H6" i="10"/>
  <c r="A6" i="10"/>
  <c r="Z5" i="10"/>
  <c r="Y5" i="10"/>
  <c r="W5" i="10"/>
  <c r="X5" i="10" s="1"/>
  <c r="S5" i="10"/>
  <c r="R5" i="10"/>
  <c r="Q5" i="10"/>
  <c r="N5" i="10"/>
  <c r="M5" i="10"/>
  <c r="K5" i="10"/>
  <c r="L5" i="10" s="1"/>
  <c r="J5" i="10"/>
  <c r="I5" i="10"/>
  <c r="H5" i="10"/>
  <c r="A5" i="10"/>
  <c r="Z4" i="10"/>
  <c r="W4" i="10"/>
  <c r="X4" i="10" s="1"/>
  <c r="S4" i="10"/>
  <c r="R4" i="10"/>
  <c r="Y4" i="10" s="1"/>
  <c r="Q4" i="10"/>
  <c r="N4" i="10"/>
  <c r="M4" i="10"/>
  <c r="K4" i="10"/>
  <c r="L4" i="10" s="1"/>
  <c r="J4" i="10"/>
  <c r="I4" i="10"/>
  <c r="H4" i="10"/>
  <c r="A4" i="10"/>
  <c r="W3" i="10"/>
  <c r="S29" i="11" s="1"/>
  <c r="S3" i="10"/>
  <c r="R3" i="10"/>
  <c r="Y3" i="10" s="1"/>
  <c r="Q3" i="10"/>
  <c r="N3" i="10"/>
  <c r="M3" i="10"/>
  <c r="K3" i="10"/>
  <c r="J3" i="10"/>
  <c r="I3" i="10"/>
  <c r="H3" i="10"/>
  <c r="L3" i="10" s="1"/>
  <c r="A3" i="10"/>
  <c r="Z3" i="10" s="1"/>
  <c r="X2" i="10"/>
  <c r="W2" i="10"/>
  <c r="H10" i="13" s="1"/>
  <c r="S2" i="10"/>
  <c r="R2" i="10"/>
  <c r="Y2" i="10" s="1"/>
  <c r="Q2" i="10"/>
  <c r="N2" i="10"/>
  <c r="M2" i="10"/>
  <c r="K2" i="10"/>
  <c r="L2" i="10" s="1"/>
  <c r="J2" i="10"/>
  <c r="I2" i="10"/>
  <c r="H2" i="10"/>
  <c r="A2" i="10"/>
  <c r="K50" i="15" s="1"/>
  <c r="V208" i="11"/>
  <c r="U208" i="11"/>
  <c r="Z208" i="11" s="1"/>
  <c r="T208" i="11"/>
  <c r="R208" i="11"/>
  <c r="S208" i="11" s="1"/>
  <c r="P208" i="11"/>
  <c r="O208" i="11"/>
  <c r="M208" i="11"/>
  <c r="N208" i="11" s="1"/>
  <c r="AC208" i="11" s="1"/>
  <c r="L208" i="11"/>
  <c r="K208" i="11"/>
  <c r="A208" i="11"/>
  <c r="AC207" i="11"/>
  <c r="Z207" i="11"/>
  <c r="V207" i="11"/>
  <c r="U207" i="11"/>
  <c r="T207" i="11"/>
  <c r="R207" i="11"/>
  <c r="S207" i="11" s="1"/>
  <c r="P207" i="11"/>
  <c r="O207" i="11"/>
  <c r="N207" i="11"/>
  <c r="M207" i="11"/>
  <c r="L207" i="11"/>
  <c r="K207" i="11"/>
  <c r="A207" i="11"/>
  <c r="Z206" i="11"/>
  <c r="V206" i="11"/>
  <c r="U206" i="11"/>
  <c r="T206" i="11"/>
  <c r="R206" i="11"/>
  <c r="P206" i="11"/>
  <c r="O206" i="11"/>
  <c r="N206" i="11"/>
  <c r="AC206" i="11" s="1"/>
  <c r="M206" i="11"/>
  <c r="L206" i="11"/>
  <c r="K206" i="11"/>
  <c r="A206" i="11"/>
  <c r="V205" i="11"/>
  <c r="U205" i="11"/>
  <c r="Z205" i="11" s="1"/>
  <c r="T205" i="11"/>
  <c r="R205" i="11"/>
  <c r="Q205" i="11"/>
  <c r="P205" i="11"/>
  <c r="O205" i="11"/>
  <c r="M205" i="11"/>
  <c r="N205" i="11" s="1"/>
  <c r="AC205" i="11" s="1"/>
  <c r="L205" i="11"/>
  <c r="K205" i="11"/>
  <c r="A205" i="11"/>
  <c r="V204" i="11"/>
  <c r="U204" i="11"/>
  <c r="Z204" i="11" s="1"/>
  <c r="T204" i="11"/>
  <c r="R204" i="11"/>
  <c r="Q204" i="11"/>
  <c r="P204" i="11"/>
  <c r="O204" i="11"/>
  <c r="M204" i="11"/>
  <c r="N204" i="11" s="1"/>
  <c r="AC204" i="11" s="1"/>
  <c r="L204" i="11"/>
  <c r="K204" i="11"/>
  <c r="A204" i="11"/>
  <c r="V203" i="11"/>
  <c r="U203" i="11"/>
  <c r="Z203" i="11" s="1"/>
  <c r="T203" i="11"/>
  <c r="R203" i="11"/>
  <c r="Q203" i="11"/>
  <c r="P203" i="11"/>
  <c r="O203" i="11"/>
  <c r="M203" i="11"/>
  <c r="N203" i="11" s="1"/>
  <c r="AC203" i="11" s="1"/>
  <c r="L203" i="11"/>
  <c r="K203" i="11"/>
  <c r="A203" i="11"/>
  <c r="V202" i="11"/>
  <c r="U202" i="11"/>
  <c r="Z202" i="11" s="1"/>
  <c r="R263" i="12" s="1"/>
  <c r="T202" i="11"/>
  <c r="R202" i="11"/>
  <c r="S202" i="11" s="1"/>
  <c r="P202" i="11"/>
  <c r="O202" i="11"/>
  <c r="M202" i="11"/>
  <c r="N202" i="11" s="1"/>
  <c r="AC202" i="11" s="1"/>
  <c r="L202" i="11"/>
  <c r="K202" i="11"/>
  <c r="A202" i="11"/>
  <c r="V201" i="11"/>
  <c r="U201" i="11"/>
  <c r="Z201" i="11" s="1"/>
  <c r="T201" i="11"/>
  <c r="R201" i="11"/>
  <c r="S201" i="11" s="1"/>
  <c r="P201" i="11"/>
  <c r="O201" i="11"/>
  <c r="N201" i="11"/>
  <c r="AC201" i="11" s="1"/>
  <c r="M201" i="11"/>
  <c r="L201" i="11"/>
  <c r="K201" i="11"/>
  <c r="A201" i="11"/>
  <c r="V200" i="11"/>
  <c r="U200" i="11"/>
  <c r="Z200" i="11" s="1"/>
  <c r="T200" i="11"/>
  <c r="R200" i="11"/>
  <c r="S200" i="11" s="1"/>
  <c r="P200" i="11"/>
  <c r="O200" i="11"/>
  <c r="M200" i="11"/>
  <c r="N200" i="11" s="1"/>
  <c r="AC200" i="11" s="1"/>
  <c r="L200" i="11"/>
  <c r="K200" i="11"/>
  <c r="A200" i="11"/>
  <c r="AC199" i="11"/>
  <c r="Z199" i="11"/>
  <c r="V199" i="11"/>
  <c r="U199" i="11"/>
  <c r="T199" i="11"/>
  <c r="R199" i="11"/>
  <c r="S199" i="11" s="1"/>
  <c r="P199" i="11"/>
  <c r="O199" i="11"/>
  <c r="N199" i="11"/>
  <c r="M199" i="11"/>
  <c r="L199" i="11"/>
  <c r="K199" i="11"/>
  <c r="A199" i="11"/>
  <c r="Z198" i="11"/>
  <c r="V198" i="11"/>
  <c r="U198" i="11"/>
  <c r="T198" i="11"/>
  <c r="R198" i="11"/>
  <c r="P198" i="11"/>
  <c r="O198" i="11"/>
  <c r="N198" i="11"/>
  <c r="AC198" i="11" s="1"/>
  <c r="M198" i="11"/>
  <c r="L198" i="11"/>
  <c r="K198" i="11"/>
  <c r="A198" i="11"/>
  <c r="V197" i="11"/>
  <c r="U197" i="11"/>
  <c r="Z197" i="11" s="1"/>
  <c r="T197" i="11"/>
  <c r="R197" i="11"/>
  <c r="S197" i="11" s="1"/>
  <c r="P197" i="11"/>
  <c r="O197" i="11"/>
  <c r="M197" i="11"/>
  <c r="N197" i="11" s="1"/>
  <c r="AC197" i="11" s="1"/>
  <c r="L197" i="11"/>
  <c r="K197" i="11"/>
  <c r="A197" i="11"/>
  <c r="V196" i="11"/>
  <c r="U196" i="11"/>
  <c r="Z196" i="11" s="1"/>
  <c r="T196" i="11"/>
  <c r="S196" i="11"/>
  <c r="R196" i="11"/>
  <c r="P196" i="11"/>
  <c r="O196" i="11"/>
  <c r="M196" i="11"/>
  <c r="N196" i="11" s="1"/>
  <c r="AC196" i="11" s="1"/>
  <c r="L196" i="11"/>
  <c r="K196" i="11"/>
  <c r="A196" i="11"/>
  <c r="V195" i="11"/>
  <c r="U195" i="11"/>
  <c r="Z195" i="11" s="1"/>
  <c r="T195" i="11"/>
  <c r="S195" i="11"/>
  <c r="R195" i="11"/>
  <c r="P195" i="11"/>
  <c r="O195" i="11"/>
  <c r="M195" i="11"/>
  <c r="N195" i="11" s="1"/>
  <c r="AC195" i="11" s="1"/>
  <c r="L195" i="11"/>
  <c r="K195" i="11"/>
  <c r="A195" i="11"/>
  <c r="V194" i="11"/>
  <c r="U194" i="11"/>
  <c r="Z194" i="11" s="1"/>
  <c r="T194" i="11"/>
  <c r="R194" i="11"/>
  <c r="S194" i="11" s="1"/>
  <c r="P194" i="11"/>
  <c r="O194" i="11"/>
  <c r="M194" i="11"/>
  <c r="N194" i="11" s="1"/>
  <c r="AC194" i="11" s="1"/>
  <c r="L194" i="11"/>
  <c r="K194" i="11"/>
  <c r="A194" i="11"/>
  <c r="V193" i="11"/>
  <c r="U193" i="11"/>
  <c r="Z193" i="11" s="1"/>
  <c r="T193" i="11"/>
  <c r="R193" i="11"/>
  <c r="S193" i="11" s="1"/>
  <c r="P193" i="11"/>
  <c r="O193" i="11"/>
  <c r="N193" i="11"/>
  <c r="AC193" i="11" s="1"/>
  <c r="M193" i="11"/>
  <c r="L193" i="11"/>
  <c r="K193" i="11"/>
  <c r="A193" i="11"/>
  <c r="W192" i="11"/>
  <c r="V192" i="11"/>
  <c r="Y192" i="11" s="1"/>
  <c r="AB192" i="11" s="1"/>
  <c r="U192" i="11"/>
  <c r="Z192" i="11" s="1"/>
  <c r="T192" i="11"/>
  <c r="R192" i="11"/>
  <c r="S192" i="11" s="1"/>
  <c r="P192" i="11"/>
  <c r="O192" i="11"/>
  <c r="M192" i="11"/>
  <c r="N192" i="11" s="1"/>
  <c r="AC192" i="11" s="1"/>
  <c r="L192" i="11"/>
  <c r="K192" i="11"/>
  <c r="A192" i="11"/>
  <c r="V191" i="11"/>
  <c r="U191" i="11"/>
  <c r="Z191" i="11" s="1"/>
  <c r="T191" i="11"/>
  <c r="S191" i="11"/>
  <c r="R191" i="11"/>
  <c r="P191" i="11"/>
  <c r="O191" i="11"/>
  <c r="M191" i="11"/>
  <c r="N191" i="11" s="1"/>
  <c r="AC191" i="11" s="1"/>
  <c r="L191" i="11"/>
  <c r="K191" i="11"/>
  <c r="A191" i="11"/>
  <c r="V190" i="11"/>
  <c r="U190" i="11"/>
  <c r="Z190" i="11" s="1"/>
  <c r="T190" i="11"/>
  <c r="R190" i="11"/>
  <c r="P190" i="11"/>
  <c r="O190" i="11"/>
  <c r="M190" i="11"/>
  <c r="N190" i="11" s="1"/>
  <c r="AC190" i="11" s="1"/>
  <c r="L190" i="11"/>
  <c r="K190" i="11"/>
  <c r="A190" i="11"/>
  <c r="Z189" i="11"/>
  <c r="Y189" i="11"/>
  <c r="AB189" i="11" s="1"/>
  <c r="X189" i="11"/>
  <c r="AA189" i="11" s="1"/>
  <c r="W189" i="11"/>
  <c r="V189" i="11"/>
  <c r="U189" i="11"/>
  <c r="T189" i="11"/>
  <c r="R189" i="11"/>
  <c r="S189" i="11" s="1"/>
  <c r="P189" i="11"/>
  <c r="O189" i="11"/>
  <c r="N189" i="11"/>
  <c r="AC189" i="11" s="1"/>
  <c r="M189" i="11"/>
  <c r="L189" i="11"/>
  <c r="K189" i="11"/>
  <c r="A189" i="11"/>
  <c r="Z188" i="11"/>
  <c r="V188" i="11"/>
  <c r="U188" i="11"/>
  <c r="T188" i="11"/>
  <c r="R188" i="11"/>
  <c r="P188" i="11"/>
  <c r="O188" i="11"/>
  <c r="N188" i="11"/>
  <c r="AC188" i="11" s="1"/>
  <c r="M188" i="11"/>
  <c r="L188" i="11"/>
  <c r="K188" i="11"/>
  <c r="A188" i="11"/>
  <c r="AB187" i="11"/>
  <c r="Z187" i="11"/>
  <c r="Y187" i="11"/>
  <c r="V187" i="11"/>
  <c r="U187" i="11"/>
  <c r="X187" i="11" s="1"/>
  <c r="AA187" i="11" s="1"/>
  <c r="T187" i="11"/>
  <c r="W187" i="11" s="1"/>
  <c r="R187" i="11"/>
  <c r="S187" i="11" s="1"/>
  <c r="P187" i="11"/>
  <c r="O187" i="11"/>
  <c r="M187" i="11"/>
  <c r="N187" i="11" s="1"/>
  <c r="AC187" i="11" s="1"/>
  <c r="L187" i="11"/>
  <c r="K187" i="11"/>
  <c r="A187" i="11"/>
  <c r="V186" i="11"/>
  <c r="U186" i="11"/>
  <c r="Z186" i="11" s="1"/>
  <c r="R243" i="12" s="1"/>
  <c r="T186" i="11"/>
  <c r="R186" i="11"/>
  <c r="S186" i="11" s="1"/>
  <c r="P186" i="11"/>
  <c r="O186" i="11"/>
  <c r="N186" i="11"/>
  <c r="AC186" i="11" s="1"/>
  <c r="M186" i="11"/>
  <c r="L186" i="11"/>
  <c r="K186" i="11"/>
  <c r="A186" i="11"/>
  <c r="V185" i="11"/>
  <c r="U185" i="11"/>
  <c r="Z185" i="11" s="1"/>
  <c r="T185" i="11"/>
  <c r="R185" i="11"/>
  <c r="S185" i="11" s="1"/>
  <c r="P185" i="11"/>
  <c r="O185" i="11"/>
  <c r="M185" i="11"/>
  <c r="N185" i="11" s="1"/>
  <c r="AC185" i="11" s="1"/>
  <c r="L185" i="11"/>
  <c r="K185" i="11"/>
  <c r="A185" i="11"/>
  <c r="V184" i="11"/>
  <c r="Y184" i="11" s="1"/>
  <c r="AB184" i="11" s="1"/>
  <c r="U184" i="11"/>
  <c r="Z184" i="11" s="1"/>
  <c r="T184" i="11"/>
  <c r="W184" i="11" s="1"/>
  <c r="R184" i="11"/>
  <c r="P184" i="11"/>
  <c r="O184" i="11"/>
  <c r="M184" i="11"/>
  <c r="N184" i="11" s="1"/>
  <c r="AC184" i="11" s="1"/>
  <c r="L184" i="11"/>
  <c r="K184" i="11"/>
  <c r="A184" i="11"/>
  <c r="V183" i="11"/>
  <c r="U183" i="11"/>
  <c r="Z183" i="11" s="1"/>
  <c r="T183" i="11"/>
  <c r="R183" i="11"/>
  <c r="P183" i="11"/>
  <c r="O183" i="11"/>
  <c r="M183" i="11"/>
  <c r="N183" i="11" s="1"/>
  <c r="AC183" i="11" s="1"/>
  <c r="L183" i="11"/>
  <c r="K183" i="11"/>
  <c r="A183" i="11"/>
  <c r="Z182" i="11"/>
  <c r="Y182" i="11"/>
  <c r="AB182" i="11" s="1"/>
  <c r="X182" i="11"/>
  <c r="AA182" i="11" s="1"/>
  <c r="W182" i="11"/>
  <c r="V182" i="11"/>
  <c r="U182" i="11"/>
  <c r="T182" i="11"/>
  <c r="R182" i="11"/>
  <c r="S182" i="11" s="1"/>
  <c r="P182" i="11"/>
  <c r="O182" i="11"/>
  <c r="N182" i="11"/>
  <c r="AC182" i="11" s="1"/>
  <c r="M182" i="11"/>
  <c r="L182" i="11"/>
  <c r="K182" i="11"/>
  <c r="A182" i="11"/>
  <c r="Z181" i="11"/>
  <c r="V181" i="11"/>
  <c r="U181" i="11"/>
  <c r="T181" i="11"/>
  <c r="R181" i="11"/>
  <c r="P181" i="11"/>
  <c r="O181" i="11"/>
  <c r="N181" i="11"/>
  <c r="AC181" i="11" s="1"/>
  <c r="M181" i="11"/>
  <c r="L181" i="11"/>
  <c r="K181" i="11"/>
  <c r="A181" i="11"/>
  <c r="V180" i="11"/>
  <c r="U180" i="11"/>
  <c r="Z180" i="11" s="1"/>
  <c r="T180" i="11"/>
  <c r="R180" i="11"/>
  <c r="S180" i="11" s="1"/>
  <c r="P180" i="11"/>
  <c r="O180" i="11"/>
  <c r="M180" i="11"/>
  <c r="N180" i="11" s="1"/>
  <c r="AC180" i="11" s="1"/>
  <c r="L180" i="11"/>
  <c r="K180" i="11"/>
  <c r="A180" i="11"/>
  <c r="V179" i="11"/>
  <c r="U179" i="11"/>
  <c r="Z179" i="11" s="1"/>
  <c r="T179" i="11"/>
  <c r="S179" i="11"/>
  <c r="R179" i="11"/>
  <c r="P179" i="11"/>
  <c r="O179" i="11"/>
  <c r="M179" i="11"/>
  <c r="N179" i="11" s="1"/>
  <c r="AC179" i="11" s="1"/>
  <c r="L179" i="11"/>
  <c r="K179" i="11"/>
  <c r="A179" i="11"/>
  <c r="V178" i="11"/>
  <c r="U178" i="11"/>
  <c r="Z178" i="11" s="1"/>
  <c r="T178" i="11"/>
  <c r="S178" i="11"/>
  <c r="R178" i="11"/>
  <c r="P178" i="11"/>
  <c r="O178" i="11"/>
  <c r="M178" i="11"/>
  <c r="N178" i="11" s="1"/>
  <c r="AC178" i="11" s="1"/>
  <c r="L178" i="11"/>
  <c r="K178" i="11"/>
  <c r="A178" i="11"/>
  <c r="V177" i="11"/>
  <c r="U177" i="11"/>
  <c r="Z177" i="11" s="1"/>
  <c r="T177" i="11"/>
  <c r="R177" i="11"/>
  <c r="S177" i="11" s="1"/>
  <c r="P177" i="11"/>
  <c r="O177" i="11"/>
  <c r="M177" i="11"/>
  <c r="N177" i="11" s="1"/>
  <c r="AC177" i="11" s="1"/>
  <c r="L177" i="11"/>
  <c r="K177" i="11"/>
  <c r="A177" i="11"/>
  <c r="V176" i="11"/>
  <c r="U176" i="11"/>
  <c r="Z176" i="11" s="1"/>
  <c r="T176" i="11"/>
  <c r="R176" i="11"/>
  <c r="S176" i="11" s="1"/>
  <c r="P176" i="11"/>
  <c r="O176" i="11"/>
  <c r="N176" i="11"/>
  <c r="AC176" i="11" s="1"/>
  <c r="M176" i="11"/>
  <c r="L176" i="11"/>
  <c r="K176" i="11"/>
  <c r="A176" i="11"/>
  <c r="V175" i="11"/>
  <c r="U175" i="11"/>
  <c r="Z175" i="11" s="1"/>
  <c r="T175" i="11"/>
  <c r="R175" i="11"/>
  <c r="P175" i="11"/>
  <c r="O175" i="11"/>
  <c r="M175" i="11"/>
  <c r="N175" i="11" s="1"/>
  <c r="AC175" i="11" s="1"/>
  <c r="L175" i="11"/>
  <c r="K175" i="11"/>
  <c r="A175" i="11"/>
  <c r="AC174" i="11"/>
  <c r="Z174" i="11"/>
  <c r="V174" i="11"/>
  <c r="U174" i="11"/>
  <c r="T174" i="11"/>
  <c r="R174" i="11"/>
  <c r="S174" i="11" s="1"/>
  <c r="P174" i="11"/>
  <c r="O174" i="11"/>
  <c r="N174" i="11"/>
  <c r="M174" i="11"/>
  <c r="L174" i="11"/>
  <c r="K174" i="11"/>
  <c r="A174" i="11"/>
  <c r="Z173" i="11"/>
  <c r="V173" i="11"/>
  <c r="U173" i="11"/>
  <c r="T173" i="11"/>
  <c r="R173" i="11"/>
  <c r="P173" i="11"/>
  <c r="O173" i="11"/>
  <c r="N173" i="11"/>
  <c r="AC173" i="11" s="1"/>
  <c r="M173" i="11"/>
  <c r="L173" i="11"/>
  <c r="K173" i="11"/>
  <c r="A173" i="11"/>
  <c r="V172" i="11"/>
  <c r="U172" i="11"/>
  <c r="Z172" i="11" s="1"/>
  <c r="T172" i="11"/>
  <c r="R172" i="11"/>
  <c r="P172" i="11"/>
  <c r="O172" i="11"/>
  <c r="M172" i="11"/>
  <c r="N172" i="11" s="1"/>
  <c r="AC172" i="11" s="1"/>
  <c r="L172" i="11"/>
  <c r="K172" i="11"/>
  <c r="A172" i="11"/>
  <c r="V171" i="11"/>
  <c r="U171" i="11"/>
  <c r="Z171" i="11" s="1"/>
  <c r="T171" i="11"/>
  <c r="R171" i="11"/>
  <c r="P171" i="11"/>
  <c r="O171" i="11"/>
  <c r="M171" i="11"/>
  <c r="N171" i="11" s="1"/>
  <c r="AC171" i="11" s="1"/>
  <c r="L171" i="11"/>
  <c r="K171" i="11"/>
  <c r="A171" i="11"/>
  <c r="V170" i="11"/>
  <c r="U170" i="11"/>
  <c r="Z170" i="11" s="1"/>
  <c r="T170" i="11"/>
  <c r="S170" i="11"/>
  <c r="R170" i="11"/>
  <c r="P170" i="11"/>
  <c r="O170" i="11"/>
  <c r="M170" i="11"/>
  <c r="N170" i="11" s="1"/>
  <c r="AC170" i="11" s="1"/>
  <c r="L170" i="11"/>
  <c r="K170" i="11"/>
  <c r="A170" i="11"/>
  <c r="V169" i="11"/>
  <c r="U169" i="11"/>
  <c r="Z169" i="11" s="1"/>
  <c r="T169" i="11"/>
  <c r="R169" i="11"/>
  <c r="S169" i="11" s="1"/>
  <c r="P169" i="11"/>
  <c r="O169" i="11"/>
  <c r="M169" i="11"/>
  <c r="N169" i="11" s="1"/>
  <c r="AC169" i="11" s="1"/>
  <c r="L169" i="11"/>
  <c r="K169" i="11"/>
  <c r="A169" i="11"/>
  <c r="V168" i="11"/>
  <c r="U168" i="11"/>
  <c r="Z168" i="11" s="1"/>
  <c r="T168" i="11"/>
  <c r="R168" i="11"/>
  <c r="S168" i="11" s="1"/>
  <c r="P168" i="11"/>
  <c r="O168" i="11"/>
  <c r="N168" i="11"/>
  <c r="AC168" i="11" s="1"/>
  <c r="M168" i="11"/>
  <c r="L168" i="11"/>
  <c r="K168" i="11"/>
  <c r="A168" i="11"/>
  <c r="V167" i="11"/>
  <c r="U167" i="11"/>
  <c r="Z167" i="11" s="1"/>
  <c r="T167" i="11"/>
  <c r="R167" i="11"/>
  <c r="S167" i="11" s="1"/>
  <c r="P167" i="11"/>
  <c r="O167" i="11"/>
  <c r="M167" i="11"/>
  <c r="N167" i="11" s="1"/>
  <c r="AC167" i="11" s="1"/>
  <c r="L167" i="11"/>
  <c r="K167" i="11"/>
  <c r="A167" i="11"/>
  <c r="AC166" i="11"/>
  <c r="Z166" i="11"/>
  <c r="V166" i="11"/>
  <c r="U166" i="11"/>
  <c r="T166" i="11"/>
  <c r="R166" i="11"/>
  <c r="S166" i="11" s="1"/>
  <c r="P166" i="11"/>
  <c r="O166" i="11"/>
  <c r="N166" i="11"/>
  <c r="M166" i="11"/>
  <c r="L166" i="11"/>
  <c r="K166" i="11"/>
  <c r="A166" i="11"/>
  <c r="Z165" i="11"/>
  <c r="V165" i="11"/>
  <c r="U165" i="11"/>
  <c r="T165" i="11"/>
  <c r="R165" i="11"/>
  <c r="P165" i="11"/>
  <c r="O165" i="11"/>
  <c r="N165" i="11"/>
  <c r="AC165" i="11" s="1"/>
  <c r="M165" i="11"/>
  <c r="L165" i="11"/>
  <c r="K165" i="11"/>
  <c r="A165" i="11"/>
  <c r="V164" i="11"/>
  <c r="U164" i="11"/>
  <c r="Z164" i="11" s="1"/>
  <c r="T164" i="11"/>
  <c r="R164" i="11"/>
  <c r="S164" i="11" s="1"/>
  <c r="P164" i="11"/>
  <c r="O164" i="11"/>
  <c r="M164" i="11"/>
  <c r="N164" i="11" s="1"/>
  <c r="AC164" i="11" s="1"/>
  <c r="L164" i="11"/>
  <c r="K164" i="11"/>
  <c r="A164" i="11"/>
  <c r="V163" i="11"/>
  <c r="U163" i="11"/>
  <c r="Z163" i="11" s="1"/>
  <c r="T163" i="11"/>
  <c r="R163" i="11"/>
  <c r="P163" i="11"/>
  <c r="O163" i="11"/>
  <c r="M163" i="11"/>
  <c r="N163" i="11" s="1"/>
  <c r="AC163" i="11" s="1"/>
  <c r="L163" i="11"/>
  <c r="K163" i="11"/>
  <c r="A163" i="11"/>
  <c r="V162" i="11"/>
  <c r="U162" i="11"/>
  <c r="Z162" i="11" s="1"/>
  <c r="T162" i="11"/>
  <c r="R162" i="11"/>
  <c r="P162" i="11"/>
  <c r="O162" i="11"/>
  <c r="M162" i="11"/>
  <c r="N162" i="11" s="1"/>
  <c r="AC162" i="11" s="1"/>
  <c r="L162" i="11"/>
  <c r="K162" i="11"/>
  <c r="A162" i="11"/>
  <c r="V161" i="11"/>
  <c r="U161" i="11"/>
  <c r="Z161" i="11" s="1"/>
  <c r="T161" i="11"/>
  <c r="R161" i="11"/>
  <c r="P161" i="11"/>
  <c r="O161" i="11"/>
  <c r="M161" i="11"/>
  <c r="N161" i="11" s="1"/>
  <c r="AC161" i="11" s="1"/>
  <c r="L161" i="11"/>
  <c r="K161" i="11"/>
  <c r="A161" i="11"/>
  <c r="V160" i="11"/>
  <c r="U160" i="11"/>
  <c r="Z160" i="11" s="1"/>
  <c r="R206" i="12" s="1"/>
  <c r="T160" i="11"/>
  <c r="R160" i="11"/>
  <c r="Q160" i="11"/>
  <c r="P160" i="11"/>
  <c r="O160" i="11"/>
  <c r="N160" i="11"/>
  <c r="AC160" i="11" s="1"/>
  <c r="M160" i="11"/>
  <c r="L160" i="11"/>
  <c r="K160" i="11"/>
  <c r="A160" i="11"/>
  <c r="V159" i="11"/>
  <c r="U159" i="11"/>
  <c r="Z159" i="11" s="1"/>
  <c r="T159" i="11"/>
  <c r="R159" i="11"/>
  <c r="S159" i="11" s="1"/>
  <c r="Q159" i="11"/>
  <c r="P159" i="11"/>
  <c r="O159" i="11"/>
  <c r="M159" i="11"/>
  <c r="N159" i="11" s="1"/>
  <c r="AC159" i="11" s="1"/>
  <c r="L159" i="11"/>
  <c r="K159" i="11"/>
  <c r="A159" i="11"/>
  <c r="AC158" i="11"/>
  <c r="Z158" i="11"/>
  <c r="V158" i="11"/>
  <c r="U158" i="11"/>
  <c r="T158" i="11"/>
  <c r="R158" i="11"/>
  <c r="P158" i="11"/>
  <c r="O158" i="11"/>
  <c r="N158" i="11"/>
  <c r="M158" i="11"/>
  <c r="L158" i="11"/>
  <c r="K158" i="11"/>
  <c r="A158" i="11"/>
  <c r="V157" i="11"/>
  <c r="Y157" i="11" s="1"/>
  <c r="AB157" i="11" s="1"/>
  <c r="U157" i="11"/>
  <c r="X157" i="11" s="1"/>
  <c r="AA157" i="11" s="1"/>
  <c r="T157" i="11"/>
  <c r="W157" i="11" s="1"/>
  <c r="R157" i="11"/>
  <c r="P157" i="11"/>
  <c r="O157" i="11"/>
  <c r="M157" i="11"/>
  <c r="N157" i="11" s="1"/>
  <c r="AC157" i="11" s="1"/>
  <c r="L157" i="11"/>
  <c r="K157" i="11"/>
  <c r="A157" i="11"/>
  <c r="V156" i="11"/>
  <c r="U156" i="11"/>
  <c r="Z156" i="11" s="1"/>
  <c r="T156" i="11"/>
  <c r="R156" i="11"/>
  <c r="P156" i="11"/>
  <c r="O156" i="11"/>
  <c r="M156" i="11"/>
  <c r="N156" i="11" s="1"/>
  <c r="AC156" i="11" s="1"/>
  <c r="L156" i="11"/>
  <c r="K156" i="11"/>
  <c r="A156" i="11"/>
  <c r="V155" i="11"/>
  <c r="U155" i="11"/>
  <c r="Z155" i="11" s="1"/>
  <c r="T155" i="11"/>
  <c r="R155" i="11"/>
  <c r="S155" i="11" s="1"/>
  <c r="Q155" i="11"/>
  <c r="P155" i="11"/>
  <c r="O155" i="11"/>
  <c r="N155" i="11"/>
  <c r="AC155" i="11" s="1"/>
  <c r="M155" i="11"/>
  <c r="L155" i="11"/>
  <c r="K155" i="11"/>
  <c r="A155" i="11"/>
  <c r="V154" i="11"/>
  <c r="U154" i="11"/>
  <c r="Z154" i="11" s="1"/>
  <c r="T154" i="11"/>
  <c r="R154" i="11"/>
  <c r="S154" i="11" s="1"/>
  <c r="Q154" i="11"/>
  <c r="P154" i="11"/>
  <c r="O154" i="11"/>
  <c r="M154" i="11"/>
  <c r="N154" i="11" s="1"/>
  <c r="AC154" i="11" s="1"/>
  <c r="L154" i="11"/>
  <c r="K154" i="11"/>
  <c r="A154" i="11"/>
  <c r="V153" i="11"/>
  <c r="Y153" i="11" s="1"/>
  <c r="AB153" i="11" s="1"/>
  <c r="U153" i="11"/>
  <c r="Z153" i="11" s="1"/>
  <c r="T153" i="11"/>
  <c r="W153" i="11" s="1"/>
  <c r="S153" i="11"/>
  <c r="R153" i="11"/>
  <c r="P153" i="11"/>
  <c r="O153" i="11"/>
  <c r="M153" i="11"/>
  <c r="N153" i="11" s="1"/>
  <c r="AC153" i="11" s="1"/>
  <c r="L153" i="11"/>
  <c r="K153" i="11"/>
  <c r="A153" i="11"/>
  <c r="V152" i="11"/>
  <c r="U152" i="11"/>
  <c r="Z152" i="11" s="1"/>
  <c r="T152" i="11"/>
  <c r="S152" i="11"/>
  <c r="R152" i="11"/>
  <c r="P152" i="11"/>
  <c r="O152" i="11"/>
  <c r="M152" i="11"/>
  <c r="N152" i="11" s="1"/>
  <c r="AC152" i="11" s="1"/>
  <c r="L152" i="11"/>
  <c r="K152" i="11"/>
  <c r="A152" i="11"/>
  <c r="V151" i="11"/>
  <c r="U151" i="11"/>
  <c r="Z151" i="11" s="1"/>
  <c r="T151" i="11"/>
  <c r="R151" i="11"/>
  <c r="S151" i="11" s="1"/>
  <c r="P151" i="11"/>
  <c r="O151" i="11"/>
  <c r="M151" i="11"/>
  <c r="N151" i="11" s="1"/>
  <c r="AC151" i="11" s="1"/>
  <c r="L151" i="11"/>
  <c r="K151" i="11"/>
  <c r="A151" i="11"/>
  <c r="V150" i="11"/>
  <c r="U150" i="11"/>
  <c r="Z150" i="11" s="1"/>
  <c r="T150" i="11"/>
  <c r="R150" i="11"/>
  <c r="S150" i="11" s="1"/>
  <c r="Q150" i="11"/>
  <c r="P150" i="11"/>
  <c r="O150" i="11"/>
  <c r="N150" i="11"/>
  <c r="AC150" i="11" s="1"/>
  <c r="M150" i="11"/>
  <c r="L150" i="11"/>
  <c r="K150" i="11"/>
  <c r="A150" i="11"/>
  <c r="V149" i="11"/>
  <c r="U149" i="11"/>
  <c r="Z149" i="11" s="1"/>
  <c r="T149" i="11"/>
  <c r="R149" i="11"/>
  <c r="S149" i="11" s="1"/>
  <c r="P149" i="11"/>
  <c r="O149" i="11"/>
  <c r="M149" i="11"/>
  <c r="N149" i="11" s="1"/>
  <c r="AC149" i="11" s="1"/>
  <c r="L149" i="11"/>
  <c r="K149" i="11"/>
  <c r="A149" i="11"/>
  <c r="AC148" i="11"/>
  <c r="Z148" i="11"/>
  <c r="V148" i="11"/>
  <c r="U148" i="11"/>
  <c r="T148" i="11"/>
  <c r="R148" i="11"/>
  <c r="S148" i="11" s="1"/>
  <c r="P148" i="11"/>
  <c r="O148" i="11"/>
  <c r="N148" i="11"/>
  <c r="M148" i="11"/>
  <c r="L148" i="11"/>
  <c r="K148" i="11"/>
  <c r="A148" i="11"/>
  <c r="Z147" i="11"/>
  <c r="V147" i="11"/>
  <c r="U147" i="11"/>
  <c r="T147" i="11"/>
  <c r="S147" i="11"/>
  <c r="R147" i="11"/>
  <c r="Q147" i="11"/>
  <c r="P147" i="11"/>
  <c r="O147" i="11"/>
  <c r="N147" i="11"/>
  <c r="AC147" i="11" s="1"/>
  <c r="M147" i="11"/>
  <c r="L147" i="11"/>
  <c r="K147" i="11"/>
  <c r="A147" i="11"/>
  <c r="V146" i="11"/>
  <c r="U146" i="11"/>
  <c r="Z146" i="11" s="1"/>
  <c r="T146" i="11"/>
  <c r="R146" i="11"/>
  <c r="S146" i="11" s="1"/>
  <c r="P146" i="11"/>
  <c r="O146" i="11"/>
  <c r="M146" i="11"/>
  <c r="N146" i="11" s="1"/>
  <c r="AC146" i="11" s="1"/>
  <c r="L146" i="11"/>
  <c r="K146" i="11"/>
  <c r="A146" i="11"/>
  <c r="V145" i="11"/>
  <c r="U145" i="11"/>
  <c r="Z145" i="11" s="1"/>
  <c r="T145" i="11"/>
  <c r="R145" i="11"/>
  <c r="P145" i="11"/>
  <c r="O145" i="11"/>
  <c r="M145" i="11"/>
  <c r="N145" i="11" s="1"/>
  <c r="AC145" i="11" s="1"/>
  <c r="L145" i="11"/>
  <c r="K145" i="11"/>
  <c r="A145" i="11"/>
  <c r="V144" i="11"/>
  <c r="U144" i="11"/>
  <c r="Z144" i="11" s="1"/>
  <c r="T144" i="11"/>
  <c r="R144" i="11"/>
  <c r="P144" i="11"/>
  <c r="O144" i="11"/>
  <c r="M144" i="11"/>
  <c r="N144" i="11" s="1"/>
  <c r="AC144" i="11" s="1"/>
  <c r="L144" i="11"/>
  <c r="K144" i="11"/>
  <c r="A144" i="11"/>
  <c r="V143" i="11"/>
  <c r="U143" i="11"/>
  <c r="Z143" i="11" s="1"/>
  <c r="T143" i="11"/>
  <c r="R143" i="11"/>
  <c r="S143" i="11" s="1"/>
  <c r="P143" i="11"/>
  <c r="O143" i="11"/>
  <c r="M143" i="11"/>
  <c r="N143" i="11" s="1"/>
  <c r="AC143" i="11" s="1"/>
  <c r="L143" i="11"/>
  <c r="K143" i="11"/>
  <c r="E143" i="11"/>
  <c r="Q169" i="12" s="1"/>
  <c r="A143" i="11"/>
  <c r="V142" i="11"/>
  <c r="U142" i="11"/>
  <c r="Z142" i="11" s="1"/>
  <c r="T142" i="11"/>
  <c r="R142" i="11"/>
  <c r="S142" i="11" s="1"/>
  <c r="P142" i="11"/>
  <c r="O142" i="11"/>
  <c r="M142" i="11"/>
  <c r="N142" i="11" s="1"/>
  <c r="AC142" i="11" s="1"/>
  <c r="L142" i="11"/>
  <c r="K142" i="11"/>
  <c r="E142" i="11"/>
  <c r="A142" i="11"/>
  <c r="V141" i="11"/>
  <c r="U141" i="11"/>
  <c r="Z141" i="11" s="1"/>
  <c r="T141" i="11"/>
  <c r="R141" i="11"/>
  <c r="S141" i="11" s="1"/>
  <c r="P141" i="11"/>
  <c r="O141" i="11"/>
  <c r="M141" i="11"/>
  <c r="N141" i="11" s="1"/>
  <c r="AC141" i="11" s="1"/>
  <c r="L141" i="11"/>
  <c r="K141" i="11"/>
  <c r="E141" i="11"/>
  <c r="A141" i="11"/>
  <c r="V140" i="11"/>
  <c r="U140" i="11"/>
  <c r="Z140" i="11" s="1"/>
  <c r="T140" i="11"/>
  <c r="R140" i="11"/>
  <c r="P140" i="11"/>
  <c r="O140" i="11"/>
  <c r="M140" i="11"/>
  <c r="N140" i="11" s="1"/>
  <c r="AC140" i="11" s="1"/>
  <c r="L140" i="11"/>
  <c r="K140" i="11"/>
  <c r="E140" i="11"/>
  <c r="Q166" i="12" s="1"/>
  <c r="A140" i="11"/>
  <c r="V139" i="11"/>
  <c r="U139" i="11"/>
  <c r="Z139" i="11" s="1"/>
  <c r="T139" i="11"/>
  <c r="R139" i="11"/>
  <c r="P139" i="11"/>
  <c r="O139" i="11"/>
  <c r="M139" i="11"/>
  <c r="N139" i="11" s="1"/>
  <c r="AC139" i="11" s="1"/>
  <c r="L139" i="11"/>
  <c r="K139" i="11"/>
  <c r="E139" i="11"/>
  <c r="Q165" i="12" s="1"/>
  <c r="A139" i="11"/>
  <c r="V138" i="11"/>
  <c r="U138" i="11"/>
  <c r="Z138" i="11" s="1"/>
  <c r="T138" i="11"/>
  <c r="R138" i="11"/>
  <c r="S138" i="11" s="1"/>
  <c r="P138" i="11"/>
  <c r="O138" i="11"/>
  <c r="M138" i="11"/>
  <c r="N138" i="11" s="1"/>
  <c r="AC138" i="11" s="1"/>
  <c r="L138" i="11"/>
  <c r="K138" i="11"/>
  <c r="E138" i="11"/>
  <c r="Q163" i="12" s="1"/>
  <c r="A138" i="11"/>
  <c r="V137" i="11"/>
  <c r="U137" i="11"/>
  <c r="Z137" i="11" s="1"/>
  <c r="T137" i="11"/>
  <c r="R137" i="11"/>
  <c r="S137" i="11" s="1"/>
  <c r="P137" i="11"/>
  <c r="O137" i="11"/>
  <c r="M137" i="11"/>
  <c r="N137" i="11" s="1"/>
  <c r="AC137" i="11" s="1"/>
  <c r="L137" i="11"/>
  <c r="K137" i="11"/>
  <c r="E137" i="11"/>
  <c r="Q162" i="12" s="1"/>
  <c r="A137" i="11"/>
  <c r="V136" i="11"/>
  <c r="U136" i="11"/>
  <c r="Z136" i="11" s="1"/>
  <c r="T136" i="11"/>
  <c r="R136" i="11"/>
  <c r="S136" i="11" s="1"/>
  <c r="P136" i="11"/>
  <c r="O136" i="11"/>
  <c r="M136" i="11"/>
  <c r="N136" i="11" s="1"/>
  <c r="AC136" i="11" s="1"/>
  <c r="L136" i="11"/>
  <c r="K136" i="11"/>
  <c r="E136" i="11"/>
  <c r="A136" i="11"/>
  <c r="V135" i="11"/>
  <c r="U135" i="11"/>
  <c r="Z135" i="11" s="1"/>
  <c r="T135" i="11"/>
  <c r="R135" i="11"/>
  <c r="P135" i="11"/>
  <c r="O135" i="11"/>
  <c r="M135" i="11"/>
  <c r="N135" i="11" s="1"/>
  <c r="AC135" i="11" s="1"/>
  <c r="L135" i="11"/>
  <c r="K135" i="11"/>
  <c r="E135" i="11"/>
  <c r="Q160" i="12" s="1"/>
  <c r="A135" i="11"/>
  <c r="V134" i="11"/>
  <c r="U134" i="11"/>
  <c r="Z134" i="11" s="1"/>
  <c r="T134" i="11"/>
  <c r="R134" i="11"/>
  <c r="P134" i="11"/>
  <c r="O134" i="11"/>
  <c r="M134" i="11"/>
  <c r="N134" i="11" s="1"/>
  <c r="AC134" i="11" s="1"/>
  <c r="L134" i="11"/>
  <c r="K134" i="11"/>
  <c r="E134" i="11"/>
  <c r="Q159" i="12" s="1"/>
  <c r="A134" i="11"/>
  <c r="V133" i="11"/>
  <c r="U133" i="11"/>
  <c r="Z133" i="11" s="1"/>
  <c r="T133" i="11"/>
  <c r="R133" i="11"/>
  <c r="S133" i="11" s="1"/>
  <c r="P133" i="11"/>
  <c r="O133" i="11"/>
  <c r="M133" i="11"/>
  <c r="N133" i="11" s="1"/>
  <c r="AC133" i="11" s="1"/>
  <c r="L133" i="11"/>
  <c r="K133" i="11"/>
  <c r="E133" i="11"/>
  <c r="A133" i="11"/>
  <c r="V132" i="11"/>
  <c r="U132" i="11"/>
  <c r="Z132" i="11" s="1"/>
  <c r="T132" i="11"/>
  <c r="R132" i="11"/>
  <c r="S132" i="11" s="1"/>
  <c r="P132" i="11"/>
  <c r="O132" i="11"/>
  <c r="M132" i="11"/>
  <c r="N132" i="11" s="1"/>
  <c r="AC132" i="11" s="1"/>
  <c r="L132" i="11"/>
  <c r="K132" i="11"/>
  <c r="E132" i="11"/>
  <c r="Q157" i="12" s="1"/>
  <c r="A132" i="11"/>
  <c r="V131" i="11"/>
  <c r="U131" i="11"/>
  <c r="Z131" i="11" s="1"/>
  <c r="T131" i="11"/>
  <c r="R131" i="11"/>
  <c r="S131" i="11" s="1"/>
  <c r="P131" i="11"/>
  <c r="O131" i="11"/>
  <c r="M131" i="11"/>
  <c r="N131" i="11" s="1"/>
  <c r="AC131" i="11" s="1"/>
  <c r="L131" i="11"/>
  <c r="K131" i="11"/>
  <c r="E131" i="11"/>
  <c r="Q156" i="12" s="1"/>
  <c r="A131" i="11"/>
  <c r="V130" i="11"/>
  <c r="U130" i="11"/>
  <c r="Z130" i="11" s="1"/>
  <c r="T130" i="11"/>
  <c r="R130" i="11"/>
  <c r="S130" i="11" s="1"/>
  <c r="P130" i="11"/>
  <c r="O130" i="11"/>
  <c r="M130" i="11"/>
  <c r="N130" i="11" s="1"/>
  <c r="AC130" i="11" s="1"/>
  <c r="L130" i="11"/>
  <c r="K130" i="11"/>
  <c r="E130" i="11"/>
  <c r="Q155" i="12" s="1"/>
  <c r="A130" i="11"/>
  <c r="V129" i="11"/>
  <c r="U129" i="11"/>
  <c r="Z129" i="11" s="1"/>
  <c r="T129" i="11"/>
  <c r="R129" i="11"/>
  <c r="P129" i="11"/>
  <c r="O129" i="11"/>
  <c r="M129" i="11"/>
  <c r="N129" i="11" s="1"/>
  <c r="AC129" i="11" s="1"/>
  <c r="L129" i="11"/>
  <c r="K129" i="11"/>
  <c r="A129" i="11"/>
  <c r="V128" i="11"/>
  <c r="U128" i="11"/>
  <c r="Z128" i="11" s="1"/>
  <c r="T128" i="11"/>
  <c r="R128" i="11"/>
  <c r="P128" i="11"/>
  <c r="O128" i="11"/>
  <c r="N128" i="11"/>
  <c r="AC128" i="11" s="1"/>
  <c r="M128" i="11"/>
  <c r="L128" i="11"/>
  <c r="K128" i="11"/>
  <c r="A128" i="11"/>
  <c r="V127" i="11"/>
  <c r="U127" i="11"/>
  <c r="Z127" i="11" s="1"/>
  <c r="T127" i="11"/>
  <c r="R127" i="11"/>
  <c r="S127" i="11" s="1"/>
  <c r="P127" i="11"/>
  <c r="O127" i="11"/>
  <c r="M127" i="11"/>
  <c r="N127" i="11" s="1"/>
  <c r="AC127" i="11" s="1"/>
  <c r="L127" i="11"/>
  <c r="K127" i="11"/>
  <c r="A127" i="11"/>
  <c r="AC126" i="11"/>
  <c r="Z126" i="11"/>
  <c r="V126" i="11"/>
  <c r="U126" i="11"/>
  <c r="T126" i="11"/>
  <c r="R126" i="11"/>
  <c r="P126" i="11"/>
  <c r="O126" i="11"/>
  <c r="N126" i="11"/>
  <c r="M126" i="11"/>
  <c r="L126" i="11"/>
  <c r="K126" i="11"/>
  <c r="A126" i="11"/>
  <c r="Z125" i="11"/>
  <c r="V125" i="11"/>
  <c r="U125" i="11"/>
  <c r="T125" i="11"/>
  <c r="S125" i="11"/>
  <c r="R125" i="11"/>
  <c r="P125" i="11"/>
  <c r="O125" i="11"/>
  <c r="N125" i="11"/>
  <c r="AC125" i="11" s="1"/>
  <c r="M125" i="11"/>
  <c r="L125" i="11"/>
  <c r="K125" i="11"/>
  <c r="A125" i="11"/>
  <c r="V124" i="11"/>
  <c r="U124" i="11"/>
  <c r="Z124" i="11" s="1"/>
  <c r="T124" i="11"/>
  <c r="R124" i="11"/>
  <c r="S124" i="11" s="1"/>
  <c r="P124" i="11"/>
  <c r="O124" i="11"/>
  <c r="M124" i="11"/>
  <c r="N124" i="11" s="1"/>
  <c r="AC124" i="11" s="1"/>
  <c r="L124" i="11"/>
  <c r="K124" i="11"/>
  <c r="A124" i="11"/>
  <c r="V123" i="11"/>
  <c r="U123" i="11"/>
  <c r="Z123" i="11" s="1"/>
  <c r="T123" i="11"/>
  <c r="S123" i="11"/>
  <c r="R123" i="11"/>
  <c r="P123" i="11"/>
  <c r="O123" i="11"/>
  <c r="M123" i="11"/>
  <c r="N123" i="11" s="1"/>
  <c r="AC123" i="11" s="1"/>
  <c r="L123" i="11"/>
  <c r="K123" i="11"/>
  <c r="A123" i="11"/>
  <c r="V122" i="11"/>
  <c r="U122" i="11"/>
  <c r="Z122" i="11" s="1"/>
  <c r="T122" i="11"/>
  <c r="S122" i="11"/>
  <c r="R122" i="11"/>
  <c r="P122" i="11"/>
  <c r="O122" i="11"/>
  <c r="M122" i="11"/>
  <c r="N122" i="11" s="1"/>
  <c r="AC122" i="11" s="1"/>
  <c r="L122" i="11"/>
  <c r="K122" i="11"/>
  <c r="A122" i="11"/>
  <c r="V121" i="11"/>
  <c r="U121" i="11"/>
  <c r="Z121" i="11" s="1"/>
  <c r="T121" i="11"/>
  <c r="R121" i="11"/>
  <c r="S121" i="11" s="1"/>
  <c r="P121" i="11"/>
  <c r="O121" i="11"/>
  <c r="M121" i="11"/>
  <c r="N121" i="11" s="1"/>
  <c r="AC121" i="11" s="1"/>
  <c r="L121" i="11"/>
  <c r="K121" i="11"/>
  <c r="A121" i="11"/>
  <c r="V120" i="11"/>
  <c r="U120" i="11"/>
  <c r="Z120" i="11" s="1"/>
  <c r="T120" i="11"/>
  <c r="R120" i="11"/>
  <c r="S120" i="11" s="1"/>
  <c r="P120" i="11"/>
  <c r="O120" i="11"/>
  <c r="N120" i="11"/>
  <c r="AC120" i="11" s="1"/>
  <c r="M120" i="11"/>
  <c r="L120" i="11"/>
  <c r="K120" i="11"/>
  <c r="A120" i="11"/>
  <c r="V119" i="11"/>
  <c r="U119" i="11"/>
  <c r="Z119" i="11" s="1"/>
  <c r="T119" i="11"/>
  <c r="R119" i="11"/>
  <c r="P119" i="11"/>
  <c r="O119" i="11"/>
  <c r="M119" i="11"/>
  <c r="N119" i="11" s="1"/>
  <c r="AC119" i="11" s="1"/>
  <c r="L119" i="11"/>
  <c r="K119" i="11"/>
  <c r="A119" i="11"/>
  <c r="AC118" i="11"/>
  <c r="Z118" i="11"/>
  <c r="V118" i="11"/>
  <c r="U118" i="11"/>
  <c r="T118" i="11"/>
  <c r="R118" i="11"/>
  <c r="S118" i="11" s="1"/>
  <c r="P118" i="11"/>
  <c r="O118" i="11"/>
  <c r="N118" i="11"/>
  <c r="M118" i="11"/>
  <c r="L118" i="11"/>
  <c r="K118" i="11"/>
  <c r="A118" i="11"/>
  <c r="Z117" i="11"/>
  <c r="V117" i="11"/>
  <c r="U117" i="11"/>
  <c r="T117" i="11"/>
  <c r="S117" i="11"/>
  <c r="R117" i="11"/>
  <c r="P117" i="11"/>
  <c r="O117" i="11"/>
  <c r="N117" i="11"/>
  <c r="AC117" i="11" s="1"/>
  <c r="M117" i="11"/>
  <c r="L117" i="11"/>
  <c r="K117" i="11"/>
  <c r="A117" i="11"/>
  <c r="AB116" i="11"/>
  <c r="Z116" i="11"/>
  <c r="Y116" i="11"/>
  <c r="V116" i="11"/>
  <c r="U116" i="11"/>
  <c r="X116" i="11" s="1"/>
  <c r="AA116" i="11" s="1"/>
  <c r="T116" i="11"/>
  <c r="W116" i="11" s="1"/>
  <c r="R116" i="11"/>
  <c r="S116" i="11" s="1"/>
  <c r="P116" i="11"/>
  <c r="O116" i="11"/>
  <c r="M116" i="11"/>
  <c r="N116" i="11" s="1"/>
  <c r="AC116" i="11" s="1"/>
  <c r="L116" i="11"/>
  <c r="K116" i="11"/>
  <c r="A116" i="11"/>
  <c r="V115" i="11"/>
  <c r="U115" i="11"/>
  <c r="Z115" i="11" s="1"/>
  <c r="T115" i="11"/>
  <c r="R115" i="11"/>
  <c r="S115" i="11" s="1"/>
  <c r="P115" i="11"/>
  <c r="O115" i="11"/>
  <c r="N115" i="11"/>
  <c r="AC115" i="11" s="1"/>
  <c r="M115" i="11"/>
  <c r="L115" i="11"/>
  <c r="K115" i="11"/>
  <c r="A115" i="11"/>
  <c r="W114" i="11"/>
  <c r="V114" i="11"/>
  <c r="Y114" i="11" s="1"/>
  <c r="AB114" i="11" s="1"/>
  <c r="U114" i="11"/>
  <c r="Z114" i="11" s="1"/>
  <c r="T114" i="11"/>
  <c r="R114" i="11"/>
  <c r="S114" i="11" s="1"/>
  <c r="P114" i="11"/>
  <c r="O114" i="11"/>
  <c r="M114" i="11"/>
  <c r="N114" i="11" s="1"/>
  <c r="AC114" i="11" s="1"/>
  <c r="L114" i="11"/>
  <c r="K114" i="11"/>
  <c r="A114" i="11"/>
  <c r="V113" i="11"/>
  <c r="U113" i="11"/>
  <c r="Z113" i="11" s="1"/>
  <c r="T113" i="11"/>
  <c r="S113" i="11"/>
  <c r="R113" i="11"/>
  <c r="P113" i="11"/>
  <c r="O113" i="11"/>
  <c r="M113" i="11"/>
  <c r="N113" i="11" s="1"/>
  <c r="AC113" i="11" s="1"/>
  <c r="L113" i="11"/>
  <c r="K113" i="11"/>
  <c r="A113" i="11"/>
  <c r="Z112" i="11"/>
  <c r="Y112" i="11"/>
  <c r="AB112" i="11" s="1"/>
  <c r="X112" i="11"/>
  <c r="AA112" i="11" s="1"/>
  <c r="W112" i="11"/>
  <c r="V112" i="11"/>
  <c r="U112" i="11"/>
  <c r="T112" i="11"/>
  <c r="R112" i="11"/>
  <c r="S112" i="11" s="1"/>
  <c r="P112" i="11"/>
  <c r="O112" i="11"/>
  <c r="M112" i="11"/>
  <c r="N112" i="11" s="1"/>
  <c r="AC112" i="11" s="1"/>
  <c r="L112" i="11"/>
  <c r="K112" i="11"/>
  <c r="A112" i="11"/>
  <c r="AC111" i="11"/>
  <c r="Z111" i="11"/>
  <c r="V111" i="11"/>
  <c r="U111" i="11"/>
  <c r="T111" i="11"/>
  <c r="R111" i="11"/>
  <c r="S111" i="11" s="1"/>
  <c r="P111" i="11"/>
  <c r="O111" i="11"/>
  <c r="N111" i="11"/>
  <c r="M111" i="11"/>
  <c r="L111" i="11"/>
  <c r="K111" i="11"/>
  <c r="A111" i="11"/>
  <c r="Z110" i="11"/>
  <c r="V110" i="11"/>
  <c r="U110" i="11"/>
  <c r="T110" i="11"/>
  <c r="S110" i="11"/>
  <c r="R110" i="11"/>
  <c r="P110" i="11"/>
  <c r="O110" i="11"/>
  <c r="N110" i="11"/>
  <c r="AC110" i="11" s="1"/>
  <c r="M110" i="11"/>
  <c r="L110" i="11"/>
  <c r="K110" i="11"/>
  <c r="A110" i="11"/>
  <c r="AB109" i="11"/>
  <c r="Z109" i="11"/>
  <c r="Y109" i="11"/>
  <c r="V109" i="11"/>
  <c r="U109" i="11"/>
  <c r="X109" i="11" s="1"/>
  <c r="AA109" i="11" s="1"/>
  <c r="T109" i="11"/>
  <c r="W109" i="11" s="1"/>
  <c r="R109" i="11"/>
  <c r="S109" i="11" s="1"/>
  <c r="P109" i="11"/>
  <c r="O109" i="11"/>
  <c r="M109" i="11"/>
  <c r="N109" i="11" s="1"/>
  <c r="AC109" i="11" s="1"/>
  <c r="L109" i="11"/>
  <c r="K109" i="11"/>
  <c r="A109" i="11"/>
  <c r="V108" i="11"/>
  <c r="U108" i="11"/>
  <c r="Z108" i="11" s="1"/>
  <c r="T108" i="11"/>
  <c r="R108" i="11"/>
  <c r="S108" i="11" s="1"/>
  <c r="Q108" i="11"/>
  <c r="P108" i="11"/>
  <c r="O108" i="11"/>
  <c r="N108" i="11"/>
  <c r="AC108" i="11" s="1"/>
  <c r="M108" i="11"/>
  <c r="L108" i="11"/>
  <c r="K108" i="11"/>
  <c r="A108" i="11"/>
  <c r="W107" i="11"/>
  <c r="V107" i="11"/>
  <c r="Y107" i="11" s="1"/>
  <c r="AB107" i="11" s="1"/>
  <c r="U107" i="11"/>
  <c r="Z107" i="11" s="1"/>
  <c r="T107" i="11"/>
  <c r="R107" i="11"/>
  <c r="S107" i="11" s="1"/>
  <c r="P107" i="11"/>
  <c r="O107" i="11"/>
  <c r="M107" i="11"/>
  <c r="N107" i="11" s="1"/>
  <c r="AC107" i="11" s="1"/>
  <c r="L107" i="11"/>
  <c r="K107" i="11"/>
  <c r="A107" i="11"/>
  <c r="V106" i="11"/>
  <c r="U106" i="11"/>
  <c r="Z106" i="11" s="1"/>
  <c r="T106" i="11"/>
  <c r="S106" i="11"/>
  <c r="R106" i="11"/>
  <c r="P106" i="11"/>
  <c r="O106" i="11"/>
  <c r="M106" i="11"/>
  <c r="N106" i="11" s="1"/>
  <c r="AC106" i="11" s="1"/>
  <c r="L106" i="11"/>
  <c r="K106" i="11"/>
  <c r="A106" i="11"/>
  <c r="V105" i="11"/>
  <c r="U105" i="11"/>
  <c r="Z105" i="11" s="1"/>
  <c r="T105" i="11"/>
  <c r="S105" i="11"/>
  <c r="R105" i="11"/>
  <c r="P105" i="11"/>
  <c r="O105" i="11"/>
  <c r="M105" i="11"/>
  <c r="N105" i="11" s="1"/>
  <c r="AC105" i="11" s="1"/>
  <c r="L105" i="11"/>
  <c r="K105" i="11"/>
  <c r="A105" i="11"/>
  <c r="V104" i="11"/>
  <c r="U104" i="11"/>
  <c r="Z104" i="11" s="1"/>
  <c r="T104" i="11"/>
  <c r="R104" i="11"/>
  <c r="S104" i="11" s="1"/>
  <c r="P104" i="11"/>
  <c r="O104" i="11"/>
  <c r="M104" i="11"/>
  <c r="N104" i="11" s="1"/>
  <c r="AC104" i="11" s="1"/>
  <c r="L104" i="11"/>
  <c r="K104" i="11"/>
  <c r="A104" i="11"/>
  <c r="V103" i="11"/>
  <c r="U103" i="11"/>
  <c r="Z103" i="11" s="1"/>
  <c r="T103" i="11"/>
  <c r="R103" i="11"/>
  <c r="S103" i="11" s="1"/>
  <c r="P103" i="11"/>
  <c r="O103" i="11"/>
  <c r="N103" i="11"/>
  <c r="AC103" i="11" s="1"/>
  <c r="M103" i="11"/>
  <c r="L103" i="11"/>
  <c r="K103" i="11"/>
  <c r="A103" i="11"/>
  <c r="W102" i="11"/>
  <c r="V102" i="11"/>
  <c r="Y102" i="11" s="1"/>
  <c r="AB102" i="11" s="1"/>
  <c r="U102" i="11"/>
  <c r="Z102" i="11" s="1"/>
  <c r="T102" i="11"/>
  <c r="R102" i="11"/>
  <c r="S102" i="11" s="1"/>
  <c r="P102" i="11"/>
  <c r="O102" i="11"/>
  <c r="M102" i="11"/>
  <c r="N102" i="11" s="1"/>
  <c r="AC102" i="11" s="1"/>
  <c r="L102" i="11"/>
  <c r="K102" i="11"/>
  <c r="A102" i="11"/>
  <c r="AA101" i="11"/>
  <c r="Z101" i="11"/>
  <c r="Y101" i="11"/>
  <c r="AB101" i="11" s="1"/>
  <c r="X101" i="11"/>
  <c r="V101" i="11"/>
  <c r="U101" i="11"/>
  <c r="T101" i="11"/>
  <c r="W101" i="11" s="1"/>
  <c r="R101" i="11"/>
  <c r="S101" i="11" s="1"/>
  <c r="P101" i="11"/>
  <c r="O101" i="11"/>
  <c r="N101" i="11"/>
  <c r="AC101" i="11" s="1"/>
  <c r="M101" i="11"/>
  <c r="L101" i="11"/>
  <c r="K101" i="11"/>
  <c r="A101" i="11"/>
  <c r="V100" i="11"/>
  <c r="U100" i="11"/>
  <c r="Z100" i="11" s="1"/>
  <c r="T100" i="11"/>
  <c r="R100" i="11"/>
  <c r="S100" i="11" s="1"/>
  <c r="P100" i="11"/>
  <c r="O100" i="11"/>
  <c r="M100" i="11"/>
  <c r="N100" i="11" s="1"/>
  <c r="AC100" i="11" s="1"/>
  <c r="L100" i="11"/>
  <c r="K100" i="11"/>
  <c r="A100" i="11"/>
  <c r="V99" i="11"/>
  <c r="Y99" i="11" s="1"/>
  <c r="AB99" i="11" s="1"/>
  <c r="U99" i="11"/>
  <c r="Z99" i="11" s="1"/>
  <c r="T99" i="11"/>
  <c r="W99" i="11" s="1"/>
  <c r="S99" i="11"/>
  <c r="R99" i="11"/>
  <c r="P99" i="11"/>
  <c r="O99" i="11"/>
  <c r="M99" i="11"/>
  <c r="N99" i="11" s="1"/>
  <c r="AC99" i="11" s="1"/>
  <c r="L99" i="11"/>
  <c r="K99" i="11"/>
  <c r="A99" i="11"/>
  <c r="V98" i="11"/>
  <c r="U98" i="11"/>
  <c r="Z98" i="11" s="1"/>
  <c r="T98" i="11"/>
  <c r="S98" i="11"/>
  <c r="R98" i="11"/>
  <c r="P98" i="11"/>
  <c r="O98" i="11"/>
  <c r="M98" i="11"/>
  <c r="N98" i="11" s="1"/>
  <c r="AC98" i="11" s="1"/>
  <c r="L98" i="11"/>
  <c r="K98" i="11"/>
  <c r="A98" i="11"/>
  <c r="V97" i="11"/>
  <c r="U97" i="11"/>
  <c r="Z97" i="11" s="1"/>
  <c r="T97" i="11"/>
  <c r="R97" i="11"/>
  <c r="S97" i="11" s="1"/>
  <c r="P97" i="11"/>
  <c r="O97" i="11"/>
  <c r="M97" i="11"/>
  <c r="N97" i="11" s="1"/>
  <c r="AC97" i="11" s="1"/>
  <c r="L97" i="11"/>
  <c r="K97" i="11"/>
  <c r="A97" i="11"/>
  <c r="V96" i="11"/>
  <c r="U96" i="11"/>
  <c r="Z96" i="11" s="1"/>
  <c r="T96" i="11"/>
  <c r="R96" i="11"/>
  <c r="S96" i="11" s="1"/>
  <c r="P96" i="11"/>
  <c r="O96" i="11"/>
  <c r="N96" i="11"/>
  <c r="AC96" i="11" s="1"/>
  <c r="M96" i="11"/>
  <c r="L96" i="11"/>
  <c r="K96" i="11"/>
  <c r="A96" i="11"/>
  <c r="V95" i="11"/>
  <c r="U95" i="11"/>
  <c r="Z95" i="11" s="1"/>
  <c r="T95" i="11"/>
  <c r="R95" i="11"/>
  <c r="P95" i="11"/>
  <c r="O95" i="11"/>
  <c r="M95" i="11"/>
  <c r="N95" i="11" s="1"/>
  <c r="AC95" i="11" s="1"/>
  <c r="L95" i="11"/>
  <c r="K95" i="11"/>
  <c r="A95" i="11"/>
  <c r="AC94" i="11"/>
  <c r="Z94" i="11"/>
  <c r="V94" i="11"/>
  <c r="U94" i="11"/>
  <c r="T94" i="11"/>
  <c r="R94" i="11"/>
  <c r="S94" i="11" s="1"/>
  <c r="P94" i="11"/>
  <c r="O94" i="11"/>
  <c r="N94" i="11"/>
  <c r="M94" i="11"/>
  <c r="L94" i="11"/>
  <c r="K94" i="11"/>
  <c r="A94" i="11"/>
  <c r="Z93" i="11"/>
  <c r="V93" i="11"/>
  <c r="U93" i="11"/>
  <c r="T93" i="11"/>
  <c r="R93" i="11"/>
  <c r="P93" i="11"/>
  <c r="O93" i="11"/>
  <c r="N93" i="11"/>
  <c r="AC93" i="11" s="1"/>
  <c r="M93" i="11"/>
  <c r="L93" i="11"/>
  <c r="K93" i="11"/>
  <c r="A93" i="11"/>
  <c r="AB92" i="11"/>
  <c r="Z92" i="11"/>
  <c r="Y92" i="11"/>
  <c r="V92" i="11"/>
  <c r="U92" i="11"/>
  <c r="X92" i="11" s="1"/>
  <c r="AA92" i="11" s="1"/>
  <c r="T92" i="11"/>
  <c r="W92" i="11" s="1"/>
  <c r="R92" i="11"/>
  <c r="S92" i="11" s="1"/>
  <c r="P92" i="11"/>
  <c r="O92" i="11"/>
  <c r="M92" i="11"/>
  <c r="N92" i="11" s="1"/>
  <c r="AC92" i="11" s="1"/>
  <c r="L92" i="11"/>
  <c r="K92" i="11"/>
  <c r="A92" i="11"/>
  <c r="V91" i="11"/>
  <c r="U91" i="11"/>
  <c r="Z91" i="11" s="1"/>
  <c r="T91" i="11"/>
  <c r="R91" i="11"/>
  <c r="P91" i="11"/>
  <c r="O91" i="11"/>
  <c r="N91" i="11"/>
  <c r="AC91" i="11" s="1"/>
  <c r="M91" i="11"/>
  <c r="L91" i="11"/>
  <c r="K91" i="11"/>
  <c r="A91" i="11"/>
  <c r="V90" i="11"/>
  <c r="U90" i="11"/>
  <c r="Z90" i="11" s="1"/>
  <c r="T90" i="11"/>
  <c r="R90" i="11"/>
  <c r="S90" i="11" s="1"/>
  <c r="P90" i="11"/>
  <c r="O90" i="11"/>
  <c r="M90" i="11"/>
  <c r="N90" i="11" s="1"/>
  <c r="AC90" i="11" s="1"/>
  <c r="L90" i="11"/>
  <c r="K90" i="11"/>
  <c r="A90" i="11"/>
  <c r="V89" i="11"/>
  <c r="Y89" i="11" s="1"/>
  <c r="AB89" i="11" s="1"/>
  <c r="U89" i="11"/>
  <c r="Z89" i="11" s="1"/>
  <c r="T89" i="11"/>
  <c r="W89" i="11" s="1"/>
  <c r="S89" i="11"/>
  <c r="R89" i="11"/>
  <c r="P89" i="11"/>
  <c r="O89" i="11"/>
  <c r="M89" i="11"/>
  <c r="N89" i="11" s="1"/>
  <c r="AC89" i="11" s="1"/>
  <c r="L89" i="11"/>
  <c r="K89" i="11"/>
  <c r="A89" i="11"/>
  <c r="V88" i="11"/>
  <c r="U88" i="11"/>
  <c r="Z88" i="11" s="1"/>
  <c r="T88" i="11"/>
  <c r="S88" i="11"/>
  <c r="R88" i="11"/>
  <c r="P88" i="11"/>
  <c r="O88" i="11"/>
  <c r="M88" i="11"/>
  <c r="N88" i="11" s="1"/>
  <c r="AC88" i="11" s="1"/>
  <c r="L88" i="11"/>
  <c r="K88" i="11"/>
  <c r="A88" i="11"/>
  <c r="V87" i="11"/>
  <c r="U87" i="11"/>
  <c r="Z87" i="11" s="1"/>
  <c r="T87" i="11"/>
  <c r="R87" i="11"/>
  <c r="S87" i="11" s="1"/>
  <c r="P87" i="11"/>
  <c r="O87" i="11"/>
  <c r="M87" i="11"/>
  <c r="N87" i="11" s="1"/>
  <c r="AC87" i="11" s="1"/>
  <c r="L87" i="11"/>
  <c r="K87" i="11"/>
  <c r="A87" i="11"/>
  <c r="V86" i="11"/>
  <c r="U86" i="11"/>
  <c r="Z86" i="11" s="1"/>
  <c r="T86" i="11"/>
  <c r="R86" i="11"/>
  <c r="S86" i="11" s="1"/>
  <c r="P86" i="11"/>
  <c r="O86" i="11"/>
  <c r="N86" i="11"/>
  <c r="AC86" i="11" s="1"/>
  <c r="M86" i="11"/>
  <c r="L86" i="11"/>
  <c r="K86" i="11"/>
  <c r="A86" i="11"/>
  <c r="V85" i="11"/>
  <c r="U85" i="11"/>
  <c r="Z85" i="11" s="1"/>
  <c r="T85" i="11"/>
  <c r="R85" i="11"/>
  <c r="S85" i="11" s="1"/>
  <c r="P85" i="11"/>
  <c r="O85" i="11"/>
  <c r="M85" i="11"/>
  <c r="N85" i="11" s="1"/>
  <c r="AC85" i="11" s="1"/>
  <c r="L85" i="11"/>
  <c r="K85" i="11"/>
  <c r="A85" i="11"/>
  <c r="AC84" i="11"/>
  <c r="Z84" i="11"/>
  <c r="V84" i="11"/>
  <c r="U84" i="11"/>
  <c r="T84" i="11"/>
  <c r="R84" i="11"/>
  <c r="S84" i="11" s="1"/>
  <c r="P84" i="11"/>
  <c r="O84" i="11"/>
  <c r="N84" i="11"/>
  <c r="M84" i="11"/>
  <c r="L84" i="11"/>
  <c r="K84" i="11"/>
  <c r="A84" i="11"/>
  <c r="Z83" i="11"/>
  <c r="V83" i="11"/>
  <c r="U83" i="11"/>
  <c r="T83" i="11"/>
  <c r="S83" i="11"/>
  <c r="R83" i="11"/>
  <c r="P83" i="11"/>
  <c r="O83" i="11"/>
  <c r="N83" i="11"/>
  <c r="AC83" i="11" s="1"/>
  <c r="M83" i="11"/>
  <c r="L83" i="11"/>
  <c r="K83" i="11"/>
  <c r="A83" i="11"/>
  <c r="V82" i="11"/>
  <c r="U82" i="11"/>
  <c r="Z82" i="11" s="1"/>
  <c r="T82" i="11"/>
  <c r="R82" i="11"/>
  <c r="S82" i="11" s="1"/>
  <c r="P82" i="11"/>
  <c r="O82" i="11"/>
  <c r="M82" i="11"/>
  <c r="N82" i="11" s="1"/>
  <c r="AC82" i="11" s="1"/>
  <c r="L82" i="11"/>
  <c r="K82" i="11"/>
  <c r="A82" i="11"/>
  <c r="V81" i="11"/>
  <c r="U81" i="11"/>
  <c r="Z81" i="11" s="1"/>
  <c r="T81" i="11"/>
  <c r="S81" i="11"/>
  <c r="R81" i="11"/>
  <c r="P81" i="11"/>
  <c r="O81" i="11"/>
  <c r="M81" i="11"/>
  <c r="N81" i="11" s="1"/>
  <c r="AC81" i="11" s="1"/>
  <c r="L81" i="11"/>
  <c r="K81" i="11"/>
  <c r="A81" i="11"/>
  <c r="V80" i="11"/>
  <c r="U80" i="11"/>
  <c r="Z80" i="11" s="1"/>
  <c r="R93" i="12" s="1"/>
  <c r="T80" i="11"/>
  <c r="S80" i="11"/>
  <c r="R80" i="11"/>
  <c r="P80" i="11"/>
  <c r="O80" i="11"/>
  <c r="M80" i="11"/>
  <c r="N80" i="11" s="1"/>
  <c r="AC80" i="11" s="1"/>
  <c r="L80" i="11"/>
  <c r="K80" i="11"/>
  <c r="A80" i="11"/>
  <c r="V79" i="11"/>
  <c r="U79" i="11"/>
  <c r="Z79" i="11" s="1"/>
  <c r="T79" i="11"/>
  <c r="R79" i="11"/>
  <c r="S79" i="11" s="1"/>
  <c r="P79" i="11"/>
  <c r="O79" i="11"/>
  <c r="M79" i="11"/>
  <c r="N79" i="11" s="1"/>
  <c r="AC79" i="11" s="1"/>
  <c r="L79" i="11"/>
  <c r="K79" i="11"/>
  <c r="A79" i="11"/>
  <c r="V78" i="11"/>
  <c r="U78" i="11"/>
  <c r="Z78" i="11" s="1"/>
  <c r="T78" i="11"/>
  <c r="R78" i="11"/>
  <c r="S78" i="11" s="1"/>
  <c r="Q78" i="11"/>
  <c r="P78" i="11"/>
  <c r="O78" i="11"/>
  <c r="N78" i="11"/>
  <c r="AC78" i="11" s="1"/>
  <c r="M78" i="11"/>
  <c r="L78" i="11"/>
  <c r="K78" i="11"/>
  <c r="A78" i="11"/>
  <c r="V77" i="11"/>
  <c r="U77" i="11"/>
  <c r="Z77" i="11" s="1"/>
  <c r="T77" i="11"/>
  <c r="R77" i="11"/>
  <c r="S77" i="11" s="1"/>
  <c r="Q77" i="11"/>
  <c r="P77" i="11"/>
  <c r="O77" i="11"/>
  <c r="M77" i="11"/>
  <c r="N77" i="11" s="1"/>
  <c r="AC77" i="11" s="1"/>
  <c r="L77" i="11"/>
  <c r="K77" i="11"/>
  <c r="A77" i="11"/>
  <c r="AC76" i="11"/>
  <c r="Z76" i="11"/>
  <c r="V76" i="11"/>
  <c r="U76" i="11"/>
  <c r="T76" i="11"/>
  <c r="R76" i="11"/>
  <c r="S76" i="11" s="1"/>
  <c r="Q76" i="11"/>
  <c r="P76" i="11"/>
  <c r="O76" i="11"/>
  <c r="N76" i="11"/>
  <c r="M76" i="11"/>
  <c r="L76" i="11"/>
  <c r="K76" i="11"/>
  <c r="A76" i="11"/>
  <c r="Z75" i="11"/>
  <c r="V75" i="11"/>
  <c r="U75" i="11"/>
  <c r="T75" i="11"/>
  <c r="S75" i="11"/>
  <c r="R75" i="11"/>
  <c r="P75" i="11"/>
  <c r="O75" i="11"/>
  <c r="N75" i="11"/>
  <c r="AC75" i="11" s="1"/>
  <c r="M75" i="11"/>
  <c r="L75" i="11"/>
  <c r="K75" i="11"/>
  <c r="A75" i="11"/>
  <c r="V74" i="11"/>
  <c r="U74" i="11"/>
  <c r="Z74" i="11" s="1"/>
  <c r="T74" i="11"/>
  <c r="R74" i="11"/>
  <c r="S74" i="11" s="1"/>
  <c r="P74" i="11"/>
  <c r="O74" i="11"/>
  <c r="M74" i="11"/>
  <c r="N74" i="11" s="1"/>
  <c r="AC74" i="11" s="1"/>
  <c r="L74" i="11"/>
  <c r="K74" i="11"/>
  <c r="A74" i="11"/>
  <c r="V73" i="11"/>
  <c r="U73" i="11"/>
  <c r="Z73" i="11" s="1"/>
  <c r="T73" i="11"/>
  <c r="S73" i="11"/>
  <c r="R73" i="11"/>
  <c r="P73" i="11"/>
  <c r="O73" i="11"/>
  <c r="M73" i="11"/>
  <c r="N73" i="11" s="1"/>
  <c r="AC73" i="11" s="1"/>
  <c r="L73" i="11"/>
  <c r="K73" i="11"/>
  <c r="A73" i="11"/>
  <c r="Z72" i="11"/>
  <c r="Y72" i="11"/>
  <c r="AB72" i="11" s="1"/>
  <c r="X72" i="11"/>
  <c r="AA72" i="11" s="1"/>
  <c r="W72" i="11"/>
  <c r="V72" i="11"/>
  <c r="U72" i="11"/>
  <c r="T72" i="11"/>
  <c r="R72" i="11"/>
  <c r="S72" i="11" s="1"/>
  <c r="P72" i="11"/>
  <c r="O72" i="11"/>
  <c r="M72" i="11"/>
  <c r="N72" i="11" s="1"/>
  <c r="AC72" i="11" s="1"/>
  <c r="L72" i="11"/>
  <c r="K72" i="11"/>
  <c r="A72" i="11"/>
  <c r="AC71" i="11"/>
  <c r="Z71" i="11"/>
  <c r="V71" i="11"/>
  <c r="U71" i="11"/>
  <c r="T71" i="11"/>
  <c r="R71" i="11"/>
  <c r="S71" i="11" s="1"/>
  <c r="P71" i="11"/>
  <c r="O71" i="11"/>
  <c r="N71" i="11"/>
  <c r="M71" i="11"/>
  <c r="L71" i="11"/>
  <c r="K71" i="11"/>
  <c r="A71" i="11"/>
  <c r="Z70" i="11"/>
  <c r="V70" i="11"/>
  <c r="U70" i="11"/>
  <c r="T70" i="11"/>
  <c r="S70" i="11"/>
  <c r="R70" i="11"/>
  <c r="P70" i="11"/>
  <c r="O70" i="11"/>
  <c r="N70" i="11"/>
  <c r="AC70" i="11" s="1"/>
  <c r="M70" i="11"/>
  <c r="L70" i="11"/>
  <c r="K70" i="11"/>
  <c r="A70" i="11"/>
  <c r="Z69" i="11"/>
  <c r="V69" i="11"/>
  <c r="Y69" i="11" s="1"/>
  <c r="AB69" i="11" s="1"/>
  <c r="U69" i="11"/>
  <c r="X69" i="11" s="1"/>
  <c r="AA69" i="11" s="1"/>
  <c r="T69" i="11"/>
  <c r="W69" i="11" s="1"/>
  <c r="R69" i="11"/>
  <c r="S69" i="11" s="1"/>
  <c r="P69" i="11"/>
  <c r="O69" i="11"/>
  <c r="M69" i="11"/>
  <c r="N69" i="11" s="1"/>
  <c r="AC69" i="11" s="1"/>
  <c r="L69" i="11"/>
  <c r="K69" i="11"/>
  <c r="A69" i="11"/>
  <c r="V68" i="11"/>
  <c r="U68" i="11"/>
  <c r="Z68" i="11" s="1"/>
  <c r="T68" i="11"/>
  <c r="R68" i="11"/>
  <c r="S68" i="11" s="1"/>
  <c r="P68" i="11"/>
  <c r="O68" i="11"/>
  <c r="N68" i="11"/>
  <c r="AC68" i="11" s="1"/>
  <c r="M68" i="11"/>
  <c r="L68" i="11"/>
  <c r="K68" i="11"/>
  <c r="A68" i="11"/>
  <c r="W67" i="11"/>
  <c r="V67" i="11"/>
  <c r="Y67" i="11" s="1"/>
  <c r="AB67" i="11" s="1"/>
  <c r="U67" i="11"/>
  <c r="Z67" i="11" s="1"/>
  <c r="T67" i="11"/>
  <c r="R67" i="11"/>
  <c r="S67" i="11" s="1"/>
  <c r="P67" i="11"/>
  <c r="O67" i="11"/>
  <c r="M67" i="11"/>
  <c r="N67" i="11" s="1"/>
  <c r="AC67" i="11" s="1"/>
  <c r="L67" i="11"/>
  <c r="K67" i="11"/>
  <c r="A67" i="11"/>
  <c r="V66" i="11"/>
  <c r="U66" i="11"/>
  <c r="Z66" i="11" s="1"/>
  <c r="T66" i="11"/>
  <c r="S66" i="11"/>
  <c r="R66" i="11"/>
  <c r="P66" i="11"/>
  <c r="O66" i="11"/>
  <c r="M66" i="11"/>
  <c r="N66" i="11" s="1"/>
  <c r="AC66" i="11" s="1"/>
  <c r="L66" i="11"/>
  <c r="K66" i="11"/>
  <c r="A66" i="11"/>
  <c r="V65" i="11"/>
  <c r="U65" i="11"/>
  <c r="Z65" i="11" s="1"/>
  <c r="T65" i="11"/>
  <c r="S65" i="11"/>
  <c r="R65" i="11"/>
  <c r="P65" i="11"/>
  <c r="O65" i="11"/>
  <c r="M65" i="11"/>
  <c r="N65" i="11" s="1"/>
  <c r="AC65" i="11" s="1"/>
  <c r="L65" i="11"/>
  <c r="K65" i="11"/>
  <c r="A65" i="11"/>
  <c r="Z64" i="11"/>
  <c r="Y64" i="11"/>
  <c r="AB64" i="11" s="1"/>
  <c r="X64" i="11"/>
  <c r="AA64" i="11" s="1"/>
  <c r="W64" i="11"/>
  <c r="V64" i="11"/>
  <c r="U64" i="11"/>
  <c r="T64" i="11"/>
  <c r="R64" i="11"/>
  <c r="S64" i="11" s="1"/>
  <c r="P64" i="11"/>
  <c r="O64" i="11"/>
  <c r="N64" i="11"/>
  <c r="AC64" i="11" s="1"/>
  <c r="M64" i="11"/>
  <c r="L64" i="11"/>
  <c r="K64" i="11"/>
  <c r="A64" i="11"/>
  <c r="Z63" i="11"/>
  <c r="V63" i="11"/>
  <c r="U63" i="11"/>
  <c r="T63" i="11"/>
  <c r="S63" i="11"/>
  <c r="R63" i="11"/>
  <c r="P63" i="11"/>
  <c r="O63" i="11"/>
  <c r="N63" i="11"/>
  <c r="AC63" i="11" s="1"/>
  <c r="M63" i="11"/>
  <c r="L63" i="11"/>
  <c r="K63" i="11"/>
  <c r="A63" i="11"/>
  <c r="Z62" i="11"/>
  <c r="V62" i="11"/>
  <c r="Y62" i="11" s="1"/>
  <c r="AB62" i="11" s="1"/>
  <c r="U62" i="11"/>
  <c r="X62" i="11" s="1"/>
  <c r="AA62" i="11" s="1"/>
  <c r="T62" i="11"/>
  <c r="W62" i="11" s="1"/>
  <c r="R62" i="11"/>
  <c r="S62" i="11" s="1"/>
  <c r="P62" i="11"/>
  <c r="O62" i="11"/>
  <c r="M62" i="11"/>
  <c r="N62" i="11" s="1"/>
  <c r="AC62" i="11" s="1"/>
  <c r="L62" i="11"/>
  <c r="K62" i="11"/>
  <c r="A62" i="11"/>
  <c r="V61" i="11"/>
  <c r="U61" i="11"/>
  <c r="Z61" i="11" s="1"/>
  <c r="T61" i="11"/>
  <c r="R61" i="11"/>
  <c r="S61" i="11" s="1"/>
  <c r="P61" i="11"/>
  <c r="O61" i="11"/>
  <c r="N61" i="11"/>
  <c r="AC61" i="11" s="1"/>
  <c r="M61" i="11"/>
  <c r="L61" i="11"/>
  <c r="K61" i="11"/>
  <c r="A61" i="11"/>
  <c r="W60" i="11"/>
  <c r="V60" i="11"/>
  <c r="Y60" i="11" s="1"/>
  <c r="AB60" i="11" s="1"/>
  <c r="U60" i="11"/>
  <c r="X60" i="11" s="1"/>
  <c r="AA60" i="11" s="1"/>
  <c r="T60" i="11"/>
  <c r="R60" i="11"/>
  <c r="S60" i="11" s="1"/>
  <c r="P60" i="11"/>
  <c r="O60" i="11"/>
  <c r="M60" i="11"/>
  <c r="N60" i="11" s="1"/>
  <c r="AC60" i="11" s="1"/>
  <c r="L60" i="11"/>
  <c r="K60" i="11"/>
  <c r="A60" i="11"/>
  <c r="V59" i="11"/>
  <c r="U59" i="11"/>
  <c r="Z59" i="11" s="1"/>
  <c r="T59" i="11"/>
  <c r="S59" i="11"/>
  <c r="R59" i="11"/>
  <c r="P59" i="11"/>
  <c r="O59" i="11"/>
  <c r="M59" i="11"/>
  <c r="N59" i="11" s="1"/>
  <c r="AC59" i="11" s="1"/>
  <c r="L59" i="11"/>
  <c r="K59" i="11"/>
  <c r="A59" i="11"/>
  <c r="V58" i="11"/>
  <c r="U58" i="11"/>
  <c r="Z58" i="11" s="1"/>
  <c r="T58" i="11"/>
  <c r="S58" i="11"/>
  <c r="R58" i="11"/>
  <c r="P58" i="11"/>
  <c r="O58" i="11"/>
  <c r="M58" i="11"/>
  <c r="N58" i="11" s="1"/>
  <c r="AC58" i="11" s="1"/>
  <c r="L58" i="11"/>
  <c r="K58" i="11"/>
  <c r="A58" i="11"/>
  <c r="V57" i="11"/>
  <c r="U57" i="11"/>
  <c r="T57" i="11"/>
  <c r="R57" i="11"/>
  <c r="S57" i="11" s="1"/>
  <c r="P57" i="11"/>
  <c r="O57" i="11"/>
  <c r="N57" i="11"/>
  <c r="AC57" i="11" s="1"/>
  <c r="M57" i="11"/>
  <c r="L57" i="11"/>
  <c r="K57" i="11"/>
  <c r="A57" i="11"/>
  <c r="W56" i="11"/>
  <c r="V56" i="11"/>
  <c r="Y56" i="11" s="1"/>
  <c r="AB56" i="11" s="1"/>
  <c r="U56" i="11"/>
  <c r="X56" i="11" s="1"/>
  <c r="AA56" i="11" s="1"/>
  <c r="T56" i="11"/>
  <c r="R56" i="11"/>
  <c r="S56" i="11" s="1"/>
  <c r="P56" i="11"/>
  <c r="O56" i="11"/>
  <c r="M56" i="11"/>
  <c r="N56" i="11" s="1"/>
  <c r="AC56" i="11" s="1"/>
  <c r="L56" i="11"/>
  <c r="K56" i="11"/>
  <c r="A56" i="11"/>
  <c r="V55" i="11"/>
  <c r="U55" i="11"/>
  <c r="Z55" i="11" s="1"/>
  <c r="T55" i="11"/>
  <c r="S55" i="11"/>
  <c r="R55" i="11"/>
  <c r="P55" i="11"/>
  <c r="O55" i="11"/>
  <c r="M55" i="11"/>
  <c r="N55" i="11" s="1"/>
  <c r="AC55" i="11" s="1"/>
  <c r="L55" i="11"/>
  <c r="K55" i="11"/>
  <c r="A55" i="11"/>
  <c r="V54" i="11"/>
  <c r="U54" i="11"/>
  <c r="Z54" i="11" s="1"/>
  <c r="T54" i="11"/>
  <c r="S54" i="11"/>
  <c r="R54" i="11"/>
  <c r="P54" i="11"/>
  <c r="O54" i="11"/>
  <c r="M54" i="11"/>
  <c r="N54" i="11" s="1"/>
  <c r="AC54" i="11" s="1"/>
  <c r="L54" i="11"/>
  <c r="K54" i="11"/>
  <c r="A54" i="11"/>
  <c r="V53" i="11"/>
  <c r="U53" i="11"/>
  <c r="Z53" i="11" s="1"/>
  <c r="T53" i="11"/>
  <c r="R53" i="11"/>
  <c r="S53" i="11" s="1"/>
  <c r="P53" i="11"/>
  <c r="O53" i="11"/>
  <c r="M53" i="11"/>
  <c r="N53" i="11" s="1"/>
  <c r="AC53" i="11" s="1"/>
  <c r="L53" i="11"/>
  <c r="K53" i="11"/>
  <c r="A53" i="11"/>
  <c r="V52" i="11"/>
  <c r="U52" i="11"/>
  <c r="Z52" i="11" s="1"/>
  <c r="T52" i="11"/>
  <c r="R52" i="11"/>
  <c r="S52" i="11" s="1"/>
  <c r="Q52" i="11"/>
  <c r="P52" i="11"/>
  <c r="O52" i="11"/>
  <c r="N52" i="11"/>
  <c r="AC52" i="11" s="1"/>
  <c r="M52" i="11"/>
  <c r="L52" i="11"/>
  <c r="K52" i="11"/>
  <c r="A52" i="11"/>
  <c r="V51" i="11"/>
  <c r="U51" i="11"/>
  <c r="Z51" i="11" s="1"/>
  <c r="T51" i="11"/>
  <c r="R51" i="11"/>
  <c r="S51" i="11" s="1"/>
  <c r="P51" i="11"/>
  <c r="O51" i="11"/>
  <c r="M51" i="11"/>
  <c r="N51" i="11" s="1"/>
  <c r="AC51" i="11" s="1"/>
  <c r="L51" i="11"/>
  <c r="K51" i="11"/>
  <c r="A51" i="11"/>
  <c r="AC50" i="11"/>
  <c r="Z50" i="11"/>
  <c r="V50" i="11"/>
  <c r="U50" i="11"/>
  <c r="T50" i="11"/>
  <c r="R50" i="11"/>
  <c r="S50" i="11" s="1"/>
  <c r="P50" i="11"/>
  <c r="O50" i="11"/>
  <c r="N50" i="11"/>
  <c r="M50" i="11"/>
  <c r="L50" i="11"/>
  <c r="K50" i="11"/>
  <c r="A50" i="11"/>
  <c r="Z49" i="11"/>
  <c r="V49" i="11"/>
  <c r="U49" i="11"/>
  <c r="T49" i="11"/>
  <c r="S49" i="11"/>
  <c r="R49" i="11"/>
  <c r="P49" i="11"/>
  <c r="O49" i="11"/>
  <c r="N49" i="11"/>
  <c r="AC49" i="11" s="1"/>
  <c r="M49" i="11"/>
  <c r="L49" i="11"/>
  <c r="K49" i="11"/>
  <c r="A49" i="11"/>
  <c r="V48" i="11"/>
  <c r="U48" i="11"/>
  <c r="Z48" i="11" s="1"/>
  <c r="T48" i="11"/>
  <c r="R48" i="11"/>
  <c r="S48" i="11" s="1"/>
  <c r="P48" i="11"/>
  <c r="O48" i="11"/>
  <c r="M48" i="11"/>
  <c r="N48" i="11" s="1"/>
  <c r="AC48" i="11" s="1"/>
  <c r="L48" i="11"/>
  <c r="K48" i="11"/>
  <c r="A48" i="11"/>
  <c r="Z47" i="11"/>
  <c r="Y47" i="11"/>
  <c r="AB47" i="11" s="1"/>
  <c r="V47" i="11"/>
  <c r="U47" i="11"/>
  <c r="X47" i="11" s="1"/>
  <c r="AA47" i="11" s="1"/>
  <c r="T47" i="11"/>
  <c r="W47" i="11" s="1"/>
  <c r="R47" i="11"/>
  <c r="S47" i="11" s="1"/>
  <c r="P47" i="11"/>
  <c r="O47" i="11"/>
  <c r="N47" i="11"/>
  <c r="AC47" i="11" s="1"/>
  <c r="M47" i="11"/>
  <c r="L47" i="11"/>
  <c r="K47" i="11"/>
  <c r="A47" i="11"/>
  <c r="V46" i="11"/>
  <c r="U46" i="11"/>
  <c r="Z46" i="11" s="1"/>
  <c r="T46" i="11"/>
  <c r="R46" i="11"/>
  <c r="S46" i="11" s="1"/>
  <c r="P46" i="11"/>
  <c r="O46" i="11"/>
  <c r="M46" i="11"/>
  <c r="N46" i="11" s="1"/>
  <c r="AC46" i="11" s="1"/>
  <c r="L46" i="11"/>
  <c r="K46" i="11"/>
  <c r="A46" i="11"/>
  <c r="AC45" i="11"/>
  <c r="Z45" i="11"/>
  <c r="R54" i="12" s="1"/>
  <c r="V45" i="11"/>
  <c r="U45" i="11"/>
  <c r="T45" i="11"/>
  <c r="R45" i="11"/>
  <c r="S45" i="11" s="1"/>
  <c r="P45" i="11"/>
  <c r="O45" i="11"/>
  <c r="N45" i="11"/>
  <c r="M45" i="11"/>
  <c r="L45" i="11"/>
  <c r="K45" i="11"/>
  <c r="A45" i="11"/>
  <c r="Z44" i="11"/>
  <c r="V44" i="11"/>
  <c r="U44" i="11"/>
  <c r="T44" i="11"/>
  <c r="S44" i="11"/>
  <c r="R44" i="11"/>
  <c r="P44" i="11"/>
  <c r="O44" i="11"/>
  <c r="N44" i="11"/>
  <c r="AC44" i="11" s="1"/>
  <c r="M44" i="11"/>
  <c r="L44" i="11"/>
  <c r="K44" i="11"/>
  <c r="A44" i="11"/>
  <c r="V43" i="11"/>
  <c r="U43" i="11"/>
  <c r="Z43" i="11" s="1"/>
  <c r="T43" i="11"/>
  <c r="R43" i="11"/>
  <c r="S43" i="11" s="1"/>
  <c r="P43" i="11"/>
  <c r="O43" i="11"/>
  <c r="M43" i="11"/>
  <c r="N43" i="11" s="1"/>
  <c r="AC43" i="11" s="1"/>
  <c r="L43" i="11"/>
  <c r="K43" i="11"/>
  <c r="A43" i="11"/>
  <c r="Z42" i="11"/>
  <c r="Y42" i="11"/>
  <c r="AB42" i="11" s="1"/>
  <c r="V42" i="11"/>
  <c r="U42" i="11"/>
  <c r="X42" i="11" s="1"/>
  <c r="AA42" i="11" s="1"/>
  <c r="T42" i="11"/>
  <c r="W42" i="11" s="1"/>
  <c r="R42" i="11"/>
  <c r="S42" i="11" s="1"/>
  <c r="P42" i="11"/>
  <c r="O42" i="11"/>
  <c r="N42" i="11"/>
  <c r="AC42" i="11" s="1"/>
  <c r="M42" i="11"/>
  <c r="L42" i="11"/>
  <c r="K42" i="11"/>
  <c r="A42" i="11"/>
  <c r="V41" i="11"/>
  <c r="U41" i="11"/>
  <c r="Z41" i="11" s="1"/>
  <c r="T41" i="11"/>
  <c r="R41" i="11"/>
  <c r="S41" i="11" s="1"/>
  <c r="P41" i="11"/>
  <c r="O41" i="11"/>
  <c r="M41" i="11"/>
  <c r="N41" i="11" s="1"/>
  <c r="AC41" i="11" s="1"/>
  <c r="L41" i="11"/>
  <c r="K41" i="11"/>
  <c r="A41" i="11"/>
  <c r="AC40" i="11"/>
  <c r="Z40" i="11"/>
  <c r="V40" i="11"/>
  <c r="U40" i="11"/>
  <c r="T40" i="11"/>
  <c r="R40" i="11"/>
  <c r="S40" i="11" s="1"/>
  <c r="P40" i="11"/>
  <c r="O40" i="11"/>
  <c r="N40" i="11"/>
  <c r="M40" i="11"/>
  <c r="L40" i="11"/>
  <c r="K40" i="11"/>
  <c r="A40" i="11"/>
  <c r="Z39" i="11"/>
  <c r="V39" i="11"/>
  <c r="U39" i="11"/>
  <c r="T39" i="11"/>
  <c r="S39" i="11"/>
  <c r="R39" i="11"/>
  <c r="P39" i="11"/>
  <c r="O39" i="11"/>
  <c r="N39" i="11"/>
  <c r="AC39" i="11" s="1"/>
  <c r="M39" i="11"/>
  <c r="L39" i="11"/>
  <c r="K39" i="11"/>
  <c r="A39" i="11"/>
  <c r="V38" i="11"/>
  <c r="U38" i="11"/>
  <c r="Z38" i="11" s="1"/>
  <c r="T38" i="11"/>
  <c r="R38" i="11"/>
  <c r="S38" i="11" s="1"/>
  <c r="P38" i="11"/>
  <c r="O38" i="11"/>
  <c r="M38" i="11"/>
  <c r="N38" i="11" s="1"/>
  <c r="AC38" i="11" s="1"/>
  <c r="L38" i="11"/>
  <c r="K38" i="11"/>
  <c r="A38" i="11"/>
  <c r="V37" i="11"/>
  <c r="U37" i="11"/>
  <c r="Z37" i="11" s="1"/>
  <c r="T37" i="11"/>
  <c r="S37" i="11"/>
  <c r="R37" i="11"/>
  <c r="P37" i="11"/>
  <c r="O37" i="11"/>
  <c r="M37" i="11"/>
  <c r="N37" i="11" s="1"/>
  <c r="AC37" i="11" s="1"/>
  <c r="L37" i="11"/>
  <c r="K37" i="11"/>
  <c r="A37" i="11"/>
  <c r="Z36" i="11"/>
  <c r="Y36" i="11"/>
  <c r="AB36" i="11" s="1"/>
  <c r="X36" i="11"/>
  <c r="AA36" i="11" s="1"/>
  <c r="V36" i="11"/>
  <c r="U36" i="11"/>
  <c r="T36" i="11"/>
  <c r="W36" i="11" s="1"/>
  <c r="R36" i="11"/>
  <c r="S36" i="11" s="1"/>
  <c r="P36" i="11"/>
  <c r="O36" i="11"/>
  <c r="M36" i="11"/>
  <c r="N36" i="11" s="1"/>
  <c r="AC36" i="11" s="1"/>
  <c r="L36" i="11"/>
  <c r="K36" i="11"/>
  <c r="A36" i="11"/>
  <c r="AC35" i="11"/>
  <c r="Z35" i="11"/>
  <c r="V35" i="11"/>
  <c r="U35" i="11"/>
  <c r="T35" i="11"/>
  <c r="R35" i="11"/>
  <c r="S35" i="11" s="1"/>
  <c r="P35" i="11"/>
  <c r="O35" i="11"/>
  <c r="N35" i="11"/>
  <c r="M35" i="11"/>
  <c r="L35" i="11"/>
  <c r="K35" i="11"/>
  <c r="A35" i="11"/>
  <c r="Z34" i="11"/>
  <c r="V34" i="11"/>
  <c r="U34" i="11"/>
  <c r="T34" i="11"/>
  <c r="S34" i="11"/>
  <c r="R34" i="11"/>
  <c r="P34" i="11"/>
  <c r="O34" i="11"/>
  <c r="N34" i="11"/>
  <c r="AC34" i="11" s="1"/>
  <c r="M34" i="11"/>
  <c r="L34" i="11"/>
  <c r="K34" i="11"/>
  <c r="A34" i="11"/>
  <c r="V33" i="11"/>
  <c r="U33" i="11"/>
  <c r="Z33" i="11" s="1"/>
  <c r="T33" i="11"/>
  <c r="R33" i="11"/>
  <c r="S33" i="11" s="1"/>
  <c r="P33" i="11"/>
  <c r="O33" i="11"/>
  <c r="M33" i="11"/>
  <c r="N33" i="11" s="1"/>
  <c r="AC33" i="11" s="1"/>
  <c r="L33" i="11"/>
  <c r="K33" i="11"/>
  <c r="A33" i="11"/>
  <c r="V32" i="11"/>
  <c r="U32" i="11"/>
  <c r="Z32" i="11" s="1"/>
  <c r="T32" i="11"/>
  <c r="S32" i="11"/>
  <c r="R32" i="11"/>
  <c r="P32" i="11"/>
  <c r="O32" i="11"/>
  <c r="M32" i="11"/>
  <c r="N32" i="11" s="1"/>
  <c r="AC32" i="11" s="1"/>
  <c r="L32" i="11"/>
  <c r="K32" i="11"/>
  <c r="A32" i="11"/>
  <c r="V31" i="11"/>
  <c r="U31" i="11"/>
  <c r="Z31" i="11" s="1"/>
  <c r="T31" i="11"/>
  <c r="R31" i="11"/>
  <c r="P31" i="11"/>
  <c r="O31" i="11"/>
  <c r="M31" i="11"/>
  <c r="N31" i="11" s="1"/>
  <c r="AC31" i="11" s="1"/>
  <c r="L31" i="11"/>
  <c r="K31" i="11"/>
  <c r="A31" i="11"/>
  <c r="Z30" i="11"/>
  <c r="Y30" i="11"/>
  <c r="AB30" i="11" s="1"/>
  <c r="X30" i="11"/>
  <c r="AA30" i="11" s="1"/>
  <c r="W30" i="11"/>
  <c r="V30" i="11"/>
  <c r="U30" i="11"/>
  <c r="T30" i="11"/>
  <c r="R30" i="11"/>
  <c r="S30" i="11" s="1"/>
  <c r="Q30" i="11"/>
  <c r="P30" i="11"/>
  <c r="O30" i="11"/>
  <c r="N30" i="11"/>
  <c r="AC30" i="11" s="1"/>
  <c r="M30" i="11"/>
  <c r="L30" i="11"/>
  <c r="K30" i="11"/>
  <c r="A30" i="11"/>
  <c r="Z29" i="11"/>
  <c r="V29" i="11"/>
  <c r="U29" i="11"/>
  <c r="T29" i="11"/>
  <c r="R29" i="11"/>
  <c r="P29" i="11"/>
  <c r="O29" i="11"/>
  <c r="N29" i="11"/>
  <c r="AC29" i="11" s="1"/>
  <c r="M29" i="11"/>
  <c r="L29" i="11"/>
  <c r="K29" i="11"/>
  <c r="A29" i="11"/>
  <c r="V28" i="11"/>
  <c r="U28" i="11"/>
  <c r="Z28" i="11" s="1"/>
  <c r="T28" i="11"/>
  <c r="R28" i="11"/>
  <c r="S28" i="11" s="1"/>
  <c r="P28" i="11"/>
  <c r="O28" i="11"/>
  <c r="M28" i="11"/>
  <c r="N28" i="11" s="1"/>
  <c r="AC28" i="11" s="1"/>
  <c r="L28" i="11"/>
  <c r="K28" i="11"/>
  <c r="A28" i="11"/>
  <c r="AA27" i="11"/>
  <c r="Z27" i="11"/>
  <c r="Y27" i="11"/>
  <c r="AB27" i="11" s="1"/>
  <c r="X27" i="11"/>
  <c r="V27" i="11"/>
  <c r="U27" i="11"/>
  <c r="T27" i="11"/>
  <c r="W27" i="11" s="1"/>
  <c r="R27" i="11"/>
  <c r="S27" i="11" s="1"/>
  <c r="P27" i="11"/>
  <c r="O27" i="11"/>
  <c r="N27" i="11"/>
  <c r="AC27" i="11" s="1"/>
  <c r="M27" i="11"/>
  <c r="L27" i="11"/>
  <c r="K27" i="11"/>
  <c r="A27" i="11"/>
  <c r="V26" i="11"/>
  <c r="U26" i="11"/>
  <c r="Z26" i="11" s="1"/>
  <c r="T26" i="11"/>
  <c r="R26" i="11"/>
  <c r="S26" i="11" s="1"/>
  <c r="P26" i="11"/>
  <c r="O26" i="11"/>
  <c r="M26" i="11"/>
  <c r="N26" i="11" s="1"/>
  <c r="AC26" i="11" s="1"/>
  <c r="L26" i="11"/>
  <c r="K26" i="11"/>
  <c r="A26" i="11"/>
  <c r="AC25" i="11"/>
  <c r="Z25" i="11"/>
  <c r="V25" i="11"/>
  <c r="U25" i="11"/>
  <c r="T25" i="11"/>
  <c r="R25" i="11"/>
  <c r="S25" i="11" s="1"/>
  <c r="P25" i="11"/>
  <c r="O25" i="11"/>
  <c r="N25" i="11"/>
  <c r="M25" i="11"/>
  <c r="L25" i="11"/>
  <c r="K25" i="11"/>
  <c r="A25" i="11"/>
  <c r="Z24" i="11"/>
  <c r="V24" i="11"/>
  <c r="U24" i="11"/>
  <c r="T24" i="11"/>
  <c r="S24" i="11"/>
  <c r="R24" i="11"/>
  <c r="P24" i="11"/>
  <c r="O24" i="11"/>
  <c r="N24" i="11"/>
  <c r="AC24" i="11" s="1"/>
  <c r="M24" i="11"/>
  <c r="L24" i="11"/>
  <c r="K24" i="11"/>
  <c r="A24" i="11"/>
  <c r="V23" i="11"/>
  <c r="U23" i="11"/>
  <c r="Z23" i="11" s="1"/>
  <c r="T23" i="11"/>
  <c r="R23" i="11"/>
  <c r="S23" i="11" s="1"/>
  <c r="P23" i="11"/>
  <c r="O23" i="11"/>
  <c r="M23" i="11"/>
  <c r="N23" i="11" s="1"/>
  <c r="AC23" i="11" s="1"/>
  <c r="L23" i="11"/>
  <c r="K23" i="11"/>
  <c r="A23" i="11"/>
  <c r="V22" i="11"/>
  <c r="U22" i="11"/>
  <c r="Z22" i="11" s="1"/>
  <c r="T22" i="11"/>
  <c r="S22" i="11"/>
  <c r="R22" i="11"/>
  <c r="P22" i="11"/>
  <c r="O22" i="11"/>
  <c r="M22" i="11"/>
  <c r="N22" i="11" s="1"/>
  <c r="AC22" i="11" s="1"/>
  <c r="L22" i="11"/>
  <c r="K22" i="11"/>
  <c r="A22" i="11"/>
  <c r="V21" i="11"/>
  <c r="U21" i="11"/>
  <c r="Z21" i="11" s="1"/>
  <c r="T21" i="11"/>
  <c r="S21" i="11"/>
  <c r="R21" i="11"/>
  <c r="P21" i="11"/>
  <c r="O21" i="11"/>
  <c r="M21" i="11"/>
  <c r="N21" i="11" s="1"/>
  <c r="AC21" i="11" s="1"/>
  <c r="L21" i="11"/>
  <c r="K21" i="11"/>
  <c r="A21" i="11"/>
  <c r="V20" i="11"/>
  <c r="U20" i="11"/>
  <c r="Z20" i="11" s="1"/>
  <c r="T20" i="11"/>
  <c r="R20" i="11"/>
  <c r="S20" i="11" s="1"/>
  <c r="P20" i="11"/>
  <c r="O20" i="11"/>
  <c r="M20" i="11"/>
  <c r="N20" i="11" s="1"/>
  <c r="AC20" i="11" s="1"/>
  <c r="L20" i="11"/>
  <c r="K20" i="11"/>
  <c r="A20" i="11"/>
  <c r="AC19" i="11"/>
  <c r="V19" i="11"/>
  <c r="U19" i="11"/>
  <c r="Z19" i="11" s="1"/>
  <c r="T19" i="11"/>
  <c r="R19" i="11"/>
  <c r="S19" i="11" s="1"/>
  <c r="P19" i="11"/>
  <c r="O19" i="11"/>
  <c r="N19" i="11"/>
  <c r="M19" i="11"/>
  <c r="L19" i="11"/>
  <c r="K19" i="11"/>
  <c r="A19" i="11"/>
  <c r="Z18" i="11"/>
  <c r="V18" i="11"/>
  <c r="U18" i="11"/>
  <c r="T18" i="11"/>
  <c r="R18" i="11"/>
  <c r="S18" i="11" s="1"/>
  <c r="P18" i="11"/>
  <c r="O18" i="11"/>
  <c r="M18" i="11"/>
  <c r="N18" i="11" s="1"/>
  <c r="AC18" i="11" s="1"/>
  <c r="L18" i="11"/>
  <c r="K18" i="11"/>
  <c r="A18" i="11"/>
  <c r="AC17" i="11"/>
  <c r="Z17" i="11"/>
  <c r="V17" i="11"/>
  <c r="U17" i="11"/>
  <c r="T17" i="11"/>
  <c r="R17" i="11"/>
  <c r="S17" i="11" s="1"/>
  <c r="P17" i="11"/>
  <c r="O17" i="11"/>
  <c r="N17" i="11"/>
  <c r="M17" i="11"/>
  <c r="L17" i="11"/>
  <c r="K17" i="11"/>
  <c r="A17" i="11"/>
  <c r="Z16" i="11"/>
  <c r="V16" i="11"/>
  <c r="U16" i="11"/>
  <c r="T16" i="11"/>
  <c r="R16" i="11"/>
  <c r="S16" i="11" s="1"/>
  <c r="P16" i="11"/>
  <c r="O16" i="11"/>
  <c r="N16" i="11"/>
  <c r="AC16" i="11" s="1"/>
  <c r="M16" i="11"/>
  <c r="L16" i="11"/>
  <c r="K16" i="11"/>
  <c r="A16" i="11"/>
  <c r="AB15" i="11"/>
  <c r="Z15" i="11"/>
  <c r="Y15" i="11"/>
  <c r="V15" i="11"/>
  <c r="U15" i="11"/>
  <c r="X15" i="11" s="1"/>
  <c r="AA15" i="11" s="1"/>
  <c r="T15" i="11"/>
  <c r="W15" i="11" s="1"/>
  <c r="R15" i="11"/>
  <c r="S15" i="11" s="1"/>
  <c r="P15" i="11"/>
  <c r="O15" i="11"/>
  <c r="M15" i="11"/>
  <c r="N15" i="11" s="1"/>
  <c r="AC15" i="11" s="1"/>
  <c r="L15" i="11"/>
  <c r="K15" i="11"/>
  <c r="A15" i="11"/>
  <c r="V14" i="11"/>
  <c r="U14" i="11"/>
  <c r="Z14" i="11" s="1"/>
  <c r="T14" i="11"/>
  <c r="R14" i="11"/>
  <c r="S14" i="11" s="1"/>
  <c r="P14" i="11"/>
  <c r="O14" i="11"/>
  <c r="M14" i="11"/>
  <c r="N14" i="11" s="1"/>
  <c r="AC14" i="11" s="1"/>
  <c r="L14" i="11"/>
  <c r="K14" i="11"/>
  <c r="A14" i="11"/>
  <c r="Z13" i="11"/>
  <c r="V13" i="11"/>
  <c r="U13" i="11"/>
  <c r="T13" i="11"/>
  <c r="R13" i="11"/>
  <c r="S13" i="11" s="1"/>
  <c r="P13" i="11"/>
  <c r="O13" i="11"/>
  <c r="M13" i="11"/>
  <c r="N13" i="11" s="1"/>
  <c r="AC13" i="11" s="1"/>
  <c r="L13" i="11"/>
  <c r="K13" i="11"/>
  <c r="A13" i="11"/>
  <c r="AC12" i="11"/>
  <c r="Z12" i="11"/>
  <c r="V12" i="11"/>
  <c r="U12" i="11"/>
  <c r="T12" i="11"/>
  <c r="R12" i="11"/>
  <c r="S12" i="11" s="1"/>
  <c r="P12" i="11"/>
  <c r="O12" i="11"/>
  <c r="N12" i="11"/>
  <c r="M12" i="11"/>
  <c r="L12" i="11"/>
  <c r="K12" i="11"/>
  <c r="A12" i="11"/>
  <c r="Z11" i="11"/>
  <c r="V11" i="11"/>
  <c r="U11" i="11"/>
  <c r="T11" i="11"/>
  <c r="R11" i="11"/>
  <c r="S11" i="11" s="1"/>
  <c r="P11" i="11"/>
  <c r="O11" i="11"/>
  <c r="N11" i="11"/>
  <c r="AC11" i="11" s="1"/>
  <c r="M11" i="11"/>
  <c r="L11" i="11"/>
  <c r="K11" i="11"/>
  <c r="A11" i="11"/>
  <c r="V10" i="11"/>
  <c r="U10" i="11"/>
  <c r="Z10" i="11" s="1"/>
  <c r="T10" i="11"/>
  <c r="R10" i="11"/>
  <c r="S10" i="11" s="1"/>
  <c r="P10" i="11"/>
  <c r="O10" i="11"/>
  <c r="M10" i="11"/>
  <c r="N10" i="11" s="1"/>
  <c r="AC10" i="11" s="1"/>
  <c r="L10" i="11"/>
  <c r="K10" i="11"/>
  <c r="A10" i="11"/>
  <c r="V9" i="11"/>
  <c r="U9" i="11"/>
  <c r="Z9" i="11" s="1"/>
  <c r="T9" i="11"/>
  <c r="S9" i="11"/>
  <c r="R9" i="11"/>
  <c r="P9" i="11"/>
  <c r="O9" i="11"/>
  <c r="M9" i="11"/>
  <c r="N9" i="11" s="1"/>
  <c r="AC9" i="11" s="1"/>
  <c r="L9" i="11"/>
  <c r="K9" i="11"/>
  <c r="A9" i="11"/>
  <c r="V8" i="11"/>
  <c r="U8" i="11"/>
  <c r="Z8" i="11" s="1"/>
  <c r="T8" i="11"/>
  <c r="S8" i="11"/>
  <c r="R8" i="11"/>
  <c r="P8" i="11"/>
  <c r="O8" i="11"/>
  <c r="M8" i="11"/>
  <c r="N8" i="11" s="1"/>
  <c r="AC8" i="11" s="1"/>
  <c r="L8" i="11"/>
  <c r="K8" i="11"/>
  <c r="A8" i="11"/>
  <c r="V7" i="11"/>
  <c r="U7" i="11"/>
  <c r="Z7" i="11" s="1"/>
  <c r="T7" i="11"/>
  <c r="R7" i="11"/>
  <c r="S7" i="11" s="1"/>
  <c r="P7" i="11"/>
  <c r="O7" i="11"/>
  <c r="M7" i="11"/>
  <c r="N7" i="11" s="1"/>
  <c r="AC7" i="11" s="1"/>
  <c r="L7" i="11"/>
  <c r="K7" i="11"/>
  <c r="A7" i="11"/>
  <c r="X6" i="11"/>
  <c r="AA6" i="11" s="1"/>
  <c r="W6" i="11"/>
  <c r="V6" i="11"/>
  <c r="Y6" i="11" s="1"/>
  <c r="AB6" i="11" s="1"/>
  <c r="U6" i="11"/>
  <c r="Z6" i="11" s="1"/>
  <c r="T6" i="11"/>
  <c r="R6" i="11"/>
  <c r="S6" i="11" s="1"/>
  <c r="P6" i="11"/>
  <c r="O6" i="11"/>
  <c r="N6" i="11"/>
  <c r="AC6" i="11" s="1"/>
  <c r="M6" i="11"/>
  <c r="L6" i="11"/>
  <c r="K6" i="11"/>
  <c r="A6" i="11"/>
  <c r="V5" i="11"/>
  <c r="U5" i="11"/>
  <c r="Z5" i="11" s="1"/>
  <c r="T5" i="11"/>
  <c r="R5" i="11"/>
  <c r="S5" i="11" s="1"/>
  <c r="P5" i="11"/>
  <c r="O5" i="11"/>
  <c r="M5" i="11"/>
  <c r="N5" i="11" s="1"/>
  <c r="AC5" i="11" s="1"/>
  <c r="L5" i="11"/>
  <c r="K5" i="11"/>
  <c r="A5" i="11"/>
  <c r="AA4" i="11"/>
  <c r="Z4" i="11"/>
  <c r="Y4" i="11"/>
  <c r="AB4" i="11" s="1"/>
  <c r="X4" i="11"/>
  <c r="V4" i="11"/>
  <c r="U4" i="11"/>
  <c r="T4" i="11"/>
  <c r="W4" i="11" s="1"/>
  <c r="R4" i="11"/>
  <c r="S4" i="11" s="1"/>
  <c r="P4" i="11"/>
  <c r="O4" i="11"/>
  <c r="M4" i="11"/>
  <c r="N4" i="11" s="1"/>
  <c r="AC4" i="11" s="1"/>
  <c r="L4" i="11"/>
  <c r="K4" i="11"/>
  <c r="A4" i="11"/>
  <c r="Z3" i="11"/>
  <c r="V3" i="11"/>
  <c r="U3" i="11"/>
  <c r="T3" i="11"/>
  <c r="R3" i="11"/>
  <c r="S3" i="11" s="1"/>
  <c r="P3" i="11"/>
  <c r="O3" i="11"/>
  <c r="M3" i="11"/>
  <c r="N3" i="11" s="1"/>
  <c r="AC3" i="11" s="1"/>
  <c r="L3" i="11"/>
  <c r="K3" i="11"/>
  <c r="A3" i="11"/>
  <c r="AC2" i="11"/>
  <c r="Z2" i="11"/>
  <c r="V2" i="11"/>
  <c r="U2" i="11"/>
  <c r="T2" i="11"/>
  <c r="R2" i="11"/>
  <c r="S2" i="11" s="1"/>
  <c r="P2" i="11"/>
  <c r="O2" i="11"/>
  <c r="N2" i="11"/>
  <c r="M2" i="11"/>
  <c r="L2" i="11"/>
  <c r="K2" i="11"/>
  <c r="A2" i="11"/>
  <c r="V21" i="12" l="1"/>
  <c r="R95" i="12"/>
  <c r="V189" i="12"/>
  <c r="AB10" i="12"/>
  <c r="V113" i="12"/>
  <c r="V182" i="12"/>
  <c r="AB203" i="12"/>
  <c r="R224" i="12"/>
  <c r="R151" i="12"/>
  <c r="R182" i="12"/>
  <c r="R225" i="12"/>
  <c r="R236" i="12"/>
  <c r="R92" i="12"/>
  <c r="R119" i="12"/>
  <c r="AB206" i="12"/>
  <c r="AB264" i="12"/>
  <c r="S139" i="11"/>
  <c r="S91" i="11"/>
  <c r="S95" i="11"/>
  <c r="S119" i="11"/>
  <c r="S135" i="11"/>
  <c r="S156" i="11"/>
  <c r="S161" i="11"/>
  <c r="S175" i="11"/>
  <c r="Q12" i="11"/>
  <c r="Q16" i="11"/>
  <c r="Q13" i="11"/>
  <c r="Q15" i="11"/>
  <c r="Q14" i="11"/>
  <c r="Q115" i="11"/>
  <c r="Q113" i="11"/>
  <c r="Q114" i="11"/>
  <c r="Q111" i="11"/>
  <c r="Q112" i="11"/>
  <c r="Q116" i="11"/>
  <c r="Q117" i="11"/>
  <c r="Q170" i="11"/>
  <c r="Q168" i="11"/>
  <c r="Q169" i="11"/>
  <c r="Q178" i="11"/>
  <c r="Q179" i="11"/>
  <c r="Q180" i="11"/>
  <c r="Q177" i="11"/>
  <c r="Q157" i="11"/>
  <c r="Q158" i="11"/>
  <c r="Q156" i="11"/>
  <c r="Q183" i="11"/>
  <c r="Q184" i="11"/>
  <c r="Q181" i="11"/>
  <c r="Q182" i="11"/>
  <c r="Q185" i="11"/>
  <c r="U104" i="12"/>
  <c r="Q65" i="11"/>
  <c r="Q64" i="11"/>
  <c r="Q59" i="11"/>
  <c r="Q63" i="11"/>
  <c r="Q61" i="11"/>
  <c r="Q60" i="11"/>
  <c r="Q62" i="11"/>
  <c r="Q88" i="11"/>
  <c r="Q85" i="11"/>
  <c r="Q89" i="11"/>
  <c r="Q86" i="11"/>
  <c r="Q82" i="11"/>
  <c r="Q90" i="11"/>
  <c r="Q87" i="11"/>
  <c r="Q83" i="11"/>
  <c r="Q84" i="11"/>
  <c r="Q95" i="11"/>
  <c r="Q93" i="11"/>
  <c r="Q94" i="11"/>
  <c r="Q91" i="11"/>
  <c r="Q96" i="11"/>
  <c r="Q92" i="11"/>
  <c r="Q105" i="11"/>
  <c r="Q98" i="11"/>
  <c r="Q99" i="11"/>
  <c r="Q102" i="11"/>
  <c r="Q100" i="11"/>
  <c r="Q103" i="11"/>
  <c r="Q104" i="11"/>
  <c r="Q97" i="11"/>
  <c r="Q101" i="11"/>
  <c r="Q143" i="11"/>
  <c r="Q142" i="11"/>
  <c r="Q175" i="11"/>
  <c r="Q176" i="11"/>
  <c r="Q174" i="11"/>
  <c r="Q199" i="11"/>
  <c r="Q200" i="11"/>
  <c r="R7" i="12"/>
  <c r="S7" i="12" s="1"/>
  <c r="Q44" i="11"/>
  <c r="Q47" i="11"/>
  <c r="Q48" i="11"/>
  <c r="Q45" i="11"/>
  <c r="Q46" i="11"/>
  <c r="Q148" i="11"/>
  <c r="Q149" i="11"/>
  <c r="Q163" i="11"/>
  <c r="Q165" i="11"/>
  <c r="Q164" i="11"/>
  <c r="Q191" i="11"/>
  <c r="Q192" i="11"/>
  <c r="Q193" i="11"/>
  <c r="Q197" i="11"/>
  <c r="Q198" i="11"/>
  <c r="Q167" i="11"/>
  <c r="Q166" i="11"/>
  <c r="Q206" i="11"/>
  <c r="Q207" i="11"/>
  <c r="Q208" i="11"/>
  <c r="Q18" i="11"/>
  <c r="Q19" i="11"/>
  <c r="Q17" i="11"/>
  <c r="Q24" i="11"/>
  <c r="Q26" i="11"/>
  <c r="Q28" i="11"/>
  <c r="Q27" i="11"/>
  <c r="Q25" i="11"/>
  <c r="Q58" i="11"/>
  <c r="Q55" i="11"/>
  <c r="Q56" i="11"/>
  <c r="Q57" i="11"/>
  <c r="Q144" i="11"/>
  <c r="Q145" i="11"/>
  <c r="S126" i="11"/>
  <c r="S134" i="11"/>
  <c r="S158" i="11"/>
  <c r="S172" i="11"/>
  <c r="Q37" i="11"/>
  <c r="Q32" i="11"/>
  <c r="Q34" i="11"/>
  <c r="Q35" i="11"/>
  <c r="Q36" i="11"/>
  <c r="Q33" i="11"/>
  <c r="Q40" i="11"/>
  <c r="Q41" i="11"/>
  <c r="Q39" i="11"/>
  <c r="Q43" i="11"/>
  <c r="Q38" i="11"/>
  <c r="Q42" i="11"/>
  <c r="Q128" i="11"/>
  <c r="Q129" i="11"/>
  <c r="Q141" i="11"/>
  <c r="Q140" i="11"/>
  <c r="Q139" i="11"/>
  <c r="Q162" i="11"/>
  <c r="Q161" i="11"/>
  <c r="Q123" i="11"/>
  <c r="Q125" i="11"/>
  <c r="Q124" i="11"/>
  <c r="Q201" i="11"/>
  <c r="Q202" i="11"/>
  <c r="Q8" i="11"/>
  <c r="Q5" i="11"/>
  <c r="Q6" i="11"/>
  <c r="Q3" i="11"/>
  <c r="Q4" i="11"/>
  <c r="Q7" i="11"/>
  <c r="Q2" i="11"/>
  <c r="S160" i="11"/>
  <c r="Q73" i="11"/>
  <c r="Q66" i="11"/>
  <c r="Q71" i="11"/>
  <c r="Q67" i="11"/>
  <c r="Q70" i="11"/>
  <c r="Q72" i="11"/>
  <c r="Q68" i="11"/>
  <c r="Q69" i="11"/>
  <c r="W111" i="12"/>
  <c r="W110" i="12"/>
  <c r="S140" i="11"/>
  <c r="S205" i="11"/>
  <c r="Q9" i="11"/>
  <c r="Q11" i="11"/>
  <c r="Q10" i="11"/>
  <c r="Q21" i="11"/>
  <c r="Q22" i="11"/>
  <c r="Q23" i="11"/>
  <c r="Q20" i="11"/>
  <c r="Q49" i="11"/>
  <c r="Q51" i="11"/>
  <c r="Q50" i="11"/>
  <c r="Q127" i="11"/>
  <c r="Q126" i="11"/>
  <c r="Q190" i="11"/>
  <c r="Q186" i="11"/>
  <c r="Q187" i="11"/>
  <c r="Q188" i="11"/>
  <c r="Q189" i="11"/>
  <c r="R155" i="12"/>
  <c r="R159" i="12"/>
  <c r="Q173" i="11"/>
  <c r="Q53" i="11"/>
  <c r="Q79" i="11"/>
  <c r="Q109" i="11"/>
  <c r="Q121" i="11"/>
  <c r="S145" i="11"/>
  <c r="Z157" i="11"/>
  <c r="R189" i="12" s="1"/>
  <c r="S189" i="12" s="1"/>
  <c r="S163" i="11"/>
  <c r="S171" i="11"/>
  <c r="S184" i="11"/>
  <c r="Q194" i="11"/>
  <c r="S204" i="11"/>
  <c r="Z2" i="10"/>
  <c r="X8" i="10"/>
  <c r="X24" i="10"/>
  <c r="L41" i="10"/>
  <c r="K79" i="15"/>
  <c r="K66" i="15"/>
  <c r="K78" i="15"/>
  <c r="K77" i="15"/>
  <c r="K65" i="15"/>
  <c r="K74" i="15"/>
  <c r="K67" i="15"/>
  <c r="H11" i="13"/>
  <c r="H21" i="13"/>
  <c r="D4" i="15"/>
  <c r="C4" i="15"/>
  <c r="H4" i="15"/>
  <c r="D9" i="15"/>
  <c r="C9" i="15"/>
  <c r="H9" i="15"/>
  <c r="F11" i="15"/>
  <c r="M11" i="15" s="1"/>
  <c r="K19" i="15"/>
  <c r="R169" i="12"/>
  <c r="X60" i="10"/>
  <c r="S144" i="11" s="1"/>
  <c r="X76" i="10"/>
  <c r="X92" i="10"/>
  <c r="X100" i="10"/>
  <c r="X108" i="10"/>
  <c r="H9" i="13"/>
  <c r="AA168" i="12"/>
  <c r="AA161" i="12"/>
  <c r="AA162" i="12"/>
  <c r="H12" i="13"/>
  <c r="AB243" i="12"/>
  <c r="AB230" i="12"/>
  <c r="G3" i="15"/>
  <c r="F3" i="15"/>
  <c r="N3" i="15" s="1"/>
  <c r="H30" i="15"/>
  <c r="C30" i="15"/>
  <c r="L30" i="15"/>
  <c r="K30" i="15"/>
  <c r="I30" i="15"/>
  <c r="E44" i="15"/>
  <c r="G44" i="15"/>
  <c r="F44" i="15"/>
  <c r="M44" i="15" s="1"/>
  <c r="K48" i="15"/>
  <c r="K43" i="15"/>
  <c r="N43" i="15" s="1"/>
  <c r="K37" i="15"/>
  <c r="K34" i="15"/>
  <c r="K5" i="15"/>
  <c r="N5" i="15" s="1"/>
  <c r="O5" i="15" s="1"/>
  <c r="K33" i="15"/>
  <c r="K28" i="15"/>
  <c r="K53" i="15"/>
  <c r="N53" i="15" s="1"/>
  <c r="O53" i="15" s="1"/>
  <c r="K52" i="15"/>
  <c r="K16" i="15"/>
  <c r="K11" i="15"/>
  <c r="K23" i="15"/>
  <c r="L7" i="10"/>
  <c r="L84" i="10"/>
  <c r="AB151" i="12"/>
  <c r="AB150" i="12"/>
  <c r="AB193" i="12"/>
  <c r="AB189" i="12"/>
  <c r="M10" i="15"/>
  <c r="O10" i="15" s="1"/>
  <c r="I17" i="15"/>
  <c r="D17" i="15"/>
  <c r="C17" i="15"/>
  <c r="K17" i="15"/>
  <c r="K20" i="15"/>
  <c r="N20" i="15" s="1"/>
  <c r="O20" i="15" s="1"/>
  <c r="F27" i="15"/>
  <c r="M27" i="15" s="1"/>
  <c r="E27" i="15"/>
  <c r="G27" i="15"/>
  <c r="D30" i="15"/>
  <c r="G57" i="15"/>
  <c r="E57" i="15"/>
  <c r="F57" i="15"/>
  <c r="N57" i="15" s="1"/>
  <c r="Z194" i="12"/>
  <c r="Z193" i="12"/>
  <c r="Z191" i="12"/>
  <c r="Z190" i="12"/>
  <c r="Y5" i="12"/>
  <c r="F5" i="12"/>
  <c r="I5" i="12"/>
  <c r="Z5" i="12"/>
  <c r="AA5" i="12"/>
  <c r="AB5" i="12" s="1"/>
  <c r="AC5" i="12" s="1"/>
  <c r="AA6" i="12"/>
  <c r="AB6" i="12" s="1"/>
  <c r="AC6" i="12" s="1"/>
  <c r="Z6" i="12"/>
  <c r="Q6" i="12"/>
  <c r="F6" i="12"/>
  <c r="I6" i="12"/>
  <c r="Y6" i="12"/>
  <c r="R35" i="12"/>
  <c r="S35" i="12" s="1"/>
  <c r="H2" i="13"/>
  <c r="H3" i="13"/>
  <c r="H6" i="13"/>
  <c r="D2" i="15"/>
  <c r="L2" i="15"/>
  <c r="I2" i="15"/>
  <c r="C2" i="15"/>
  <c r="F7" i="15"/>
  <c r="G7" i="15"/>
  <c r="E7" i="15"/>
  <c r="E15" i="15"/>
  <c r="F16" i="15"/>
  <c r="M16" i="15" s="1"/>
  <c r="G16" i="15"/>
  <c r="K18" i="15"/>
  <c r="N22" i="15"/>
  <c r="M22" i="15"/>
  <c r="E24" i="15"/>
  <c r="G24" i="15"/>
  <c r="F24" i="15"/>
  <c r="N24" i="15" s="1"/>
  <c r="K27" i="15"/>
  <c r="N27" i="15" s="1"/>
  <c r="I55" i="15"/>
  <c r="D55" i="15"/>
  <c r="C55" i="15"/>
  <c r="L55" i="15"/>
  <c r="K55" i="15"/>
  <c r="H55" i="15"/>
  <c r="Z243" i="12"/>
  <c r="Z230" i="12"/>
  <c r="R166" i="12"/>
  <c r="X67" i="11"/>
  <c r="AA67" i="11" s="1"/>
  <c r="Q75" i="11"/>
  <c r="X107" i="11"/>
  <c r="AA107" i="11" s="1"/>
  <c r="Q110" i="11"/>
  <c r="L52" i="10"/>
  <c r="L53" i="10"/>
  <c r="L54" i="10"/>
  <c r="L55" i="10"/>
  <c r="L56" i="10"/>
  <c r="L74" i="10"/>
  <c r="H28" i="13"/>
  <c r="M3" i="15"/>
  <c r="L6" i="15"/>
  <c r="C6" i="15"/>
  <c r="K6" i="15"/>
  <c r="I6" i="15"/>
  <c r="D14" i="15"/>
  <c r="I14" i="15"/>
  <c r="H14" i="15"/>
  <c r="F37" i="15"/>
  <c r="G37" i="15"/>
  <c r="N4" i="12"/>
  <c r="AE3" i="12"/>
  <c r="AF3" i="12" s="1"/>
  <c r="H4" i="12"/>
  <c r="T4" i="12" s="1"/>
  <c r="J4" i="12"/>
  <c r="E4" i="12"/>
  <c r="V4" i="12"/>
  <c r="M4" i="12"/>
  <c r="L4" i="12"/>
  <c r="R156" i="12"/>
  <c r="R163" i="12"/>
  <c r="S163" i="12" s="1"/>
  <c r="X114" i="11"/>
  <c r="AA114" i="11" s="1"/>
  <c r="X192" i="11"/>
  <c r="AA192" i="11" s="1"/>
  <c r="Q74" i="11"/>
  <c r="X89" i="11"/>
  <c r="AA89" i="11" s="1"/>
  <c r="X99" i="11"/>
  <c r="AA99" i="11" s="1"/>
  <c r="Q107" i="11"/>
  <c r="X153" i="11"/>
  <c r="AA153" i="11" s="1"/>
  <c r="Q172" i="11"/>
  <c r="X184" i="11"/>
  <c r="AA184" i="11" s="1"/>
  <c r="H23" i="13"/>
  <c r="H15" i="13"/>
  <c r="X3" i="10"/>
  <c r="H22" i="13"/>
  <c r="H26" i="13"/>
  <c r="H27" i="13"/>
  <c r="D6" i="15"/>
  <c r="K8" i="15"/>
  <c r="D12" i="15"/>
  <c r="C12" i="15"/>
  <c r="H12" i="15"/>
  <c r="C14" i="15"/>
  <c r="F15" i="15"/>
  <c r="N15" i="15" s="1"/>
  <c r="E16" i="15"/>
  <c r="L17" i="15"/>
  <c r="E21" i="15"/>
  <c r="F21" i="15"/>
  <c r="G21" i="15"/>
  <c r="G28" i="15"/>
  <c r="F28" i="15"/>
  <c r="E28" i="15"/>
  <c r="E31" i="15"/>
  <c r="G31" i="15"/>
  <c r="F31" i="15"/>
  <c r="N31" i="15" s="1"/>
  <c r="O54" i="15"/>
  <c r="E77" i="15"/>
  <c r="G77" i="15"/>
  <c r="F77" i="15"/>
  <c r="F16" i="12"/>
  <c r="AA16" i="12"/>
  <c r="AB16" i="12" s="1"/>
  <c r="AC16" i="12" s="1"/>
  <c r="Y16" i="12"/>
  <c r="I16" i="12"/>
  <c r="Z16" i="12"/>
  <c r="R157" i="12"/>
  <c r="R160" i="12"/>
  <c r="R165" i="12"/>
  <c r="Q29" i="11"/>
  <c r="X102" i="11"/>
  <c r="AA102" i="11" s="1"/>
  <c r="Z56" i="11"/>
  <c r="Z60" i="11"/>
  <c r="Q81" i="11"/>
  <c r="S93" i="11"/>
  <c r="Q153" i="11"/>
  <c r="S165" i="11"/>
  <c r="S173" i="11"/>
  <c r="S181" i="11"/>
  <c r="S188" i="11"/>
  <c r="Q196" i="11"/>
  <c r="S198" i="11"/>
  <c r="S206" i="11"/>
  <c r="X49" i="10"/>
  <c r="S129" i="11" s="1"/>
  <c r="X71" i="10"/>
  <c r="X79" i="10"/>
  <c r="AA164" i="12"/>
  <c r="AB164" i="12" s="1"/>
  <c r="AA157" i="12"/>
  <c r="C61" i="15"/>
  <c r="O9" i="13"/>
  <c r="H2" i="15"/>
  <c r="E5" i="15"/>
  <c r="M7" i="15"/>
  <c r="E10" i="15"/>
  <c r="G15" i="15"/>
  <c r="G19" i="15"/>
  <c r="E19" i="15"/>
  <c r="K21" i="15"/>
  <c r="E37" i="15"/>
  <c r="H41" i="15"/>
  <c r="K41" i="15"/>
  <c r="I41" i="15"/>
  <c r="C41" i="15"/>
  <c r="L41" i="15"/>
  <c r="M77" i="15"/>
  <c r="AE19" i="12"/>
  <c r="AF19" i="12" s="1"/>
  <c r="D19" i="12"/>
  <c r="Q19" i="12"/>
  <c r="G19" i="12"/>
  <c r="P19" i="12"/>
  <c r="R162" i="12"/>
  <c r="AA165" i="12"/>
  <c r="AB165" i="12" s="1"/>
  <c r="AA160" i="12"/>
  <c r="AB160" i="12" s="1"/>
  <c r="AA159" i="12"/>
  <c r="AB159" i="12" s="1"/>
  <c r="O11" i="13"/>
  <c r="H19" i="13"/>
  <c r="H6" i="15"/>
  <c r="K7" i="15"/>
  <c r="N7" i="15" s="1"/>
  <c r="E11" i="15"/>
  <c r="I12" i="15"/>
  <c r="L14" i="15"/>
  <c r="F19" i="15"/>
  <c r="O25" i="15"/>
  <c r="M28" i="15"/>
  <c r="M37" i="15"/>
  <c r="H39" i="15"/>
  <c r="D39" i="15"/>
  <c r="C39" i="15"/>
  <c r="L39" i="15"/>
  <c r="I39" i="15"/>
  <c r="D41" i="15"/>
  <c r="R4" i="12"/>
  <c r="Q9" i="12"/>
  <c r="R9" i="12" s="1"/>
  <c r="P9" i="12"/>
  <c r="G9" i="12"/>
  <c r="O9" i="12" s="1"/>
  <c r="D9" i="12"/>
  <c r="R43" i="12"/>
  <c r="M29" i="15"/>
  <c r="O29" i="15" s="1"/>
  <c r="L49" i="15"/>
  <c r="C49" i="15"/>
  <c r="H49" i="15"/>
  <c r="I58" i="15"/>
  <c r="K63" i="15"/>
  <c r="L67" i="15"/>
  <c r="C67" i="15"/>
  <c r="H67" i="15"/>
  <c r="H73" i="15"/>
  <c r="I73" i="15"/>
  <c r="AE7" i="12"/>
  <c r="AF7" i="12" s="1"/>
  <c r="F12" i="12"/>
  <c r="Z12" i="12"/>
  <c r="I12" i="12"/>
  <c r="Y12" i="12" s="1"/>
  <c r="AB15" i="12"/>
  <c r="H17" i="12"/>
  <c r="L17" i="12"/>
  <c r="M17" i="12"/>
  <c r="E17" i="12"/>
  <c r="AE22" i="12"/>
  <c r="AF22" i="12" s="1"/>
  <c r="O24" i="12"/>
  <c r="P24" i="12"/>
  <c r="D24" i="12"/>
  <c r="G24" i="12"/>
  <c r="H25" i="12"/>
  <c r="E25" i="12"/>
  <c r="U25" i="12" s="1"/>
  <c r="J25" i="12"/>
  <c r="L25" i="12"/>
  <c r="M31" i="12"/>
  <c r="AE30" i="12"/>
  <c r="AF30" i="12" s="1"/>
  <c r="N31" i="12"/>
  <c r="E31" i="12"/>
  <c r="U31" i="12" s="1"/>
  <c r="H31" i="12"/>
  <c r="Y33" i="12"/>
  <c r="Z33" i="12"/>
  <c r="F33" i="12"/>
  <c r="AA33" i="12"/>
  <c r="AB33" i="12" s="1"/>
  <c r="AC33" i="12" s="1"/>
  <c r="I33" i="12"/>
  <c r="O36" i="12"/>
  <c r="Q36" i="12"/>
  <c r="R36" i="12" s="1"/>
  <c r="G36" i="12"/>
  <c r="D36" i="12"/>
  <c r="R72" i="12"/>
  <c r="AE91" i="12"/>
  <c r="AF91" i="12" s="1"/>
  <c r="L8" i="15"/>
  <c r="L18" i="15"/>
  <c r="H19" i="15"/>
  <c r="H21" i="15"/>
  <c r="L23" i="15"/>
  <c r="E25" i="15"/>
  <c r="H27" i="15"/>
  <c r="D34" i="15"/>
  <c r="C34" i="15"/>
  <c r="I46" i="15"/>
  <c r="K46" i="15"/>
  <c r="H46" i="15"/>
  <c r="D49" i="15"/>
  <c r="K58" i="15"/>
  <c r="M59" i="15"/>
  <c r="L63" i="15"/>
  <c r="D67" i="15"/>
  <c r="F71" i="15"/>
  <c r="F72" i="15"/>
  <c r="N72" i="15" s="1"/>
  <c r="E72" i="15"/>
  <c r="C73" i="15"/>
  <c r="I74" i="15"/>
  <c r="E74" i="15"/>
  <c r="G74" i="15"/>
  <c r="F74" i="15"/>
  <c r="J3" i="12"/>
  <c r="H5" i="12"/>
  <c r="L5" i="12"/>
  <c r="AE4" i="12"/>
  <c r="AF4" i="12" s="1"/>
  <c r="N5" i="12"/>
  <c r="T5" i="12" s="1"/>
  <c r="J6" i="12"/>
  <c r="U6" i="12" s="1"/>
  <c r="AE5" i="12"/>
  <c r="AF5" i="12" s="1"/>
  <c r="H6" i="12"/>
  <c r="M6" i="12"/>
  <c r="AE8" i="12"/>
  <c r="AF8" i="12" s="1"/>
  <c r="R23" i="12"/>
  <c r="F24" i="12"/>
  <c r="I24" i="12"/>
  <c r="Z24" i="12"/>
  <c r="AA24" i="12"/>
  <c r="AB24" i="12" s="1"/>
  <c r="AC24" i="12" s="1"/>
  <c r="Y24" i="12"/>
  <c r="Q25" i="12"/>
  <c r="R25" i="12" s="1"/>
  <c r="P25" i="12"/>
  <c r="G25" i="12"/>
  <c r="D25" i="12"/>
  <c r="AE25" i="12"/>
  <c r="AF25" i="12" s="1"/>
  <c r="AE28" i="12"/>
  <c r="AF28" i="12" s="1"/>
  <c r="U44" i="12"/>
  <c r="L44" i="12"/>
  <c r="T44" i="12" s="1"/>
  <c r="H44" i="12"/>
  <c r="AE43" i="12"/>
  <c r="AF43" i="12" s="1"/>
  <c r="E44" i="12"/>
  <c r="N44" i="12"/>
  <c r="M67" i="12"/>
  <c r="V67" i="12"/>
  <c r="J67" i="12"/>
  <c r="H67" i="12"/>
  <c r="N67" i="12"/>
  <c r="L67" i="12"/>
  <c r="T67" i="12" s="1"/>
  <c r="E67" i="12"/>
  <c r="W76" i="12"/>
  <c r="H20" i="13"/>
  <c r="C8" i="15"/>
  <c r="L11" i="15"/>
  <c r="C18" i="15"/>
  <c r="I19" i="15"/>
  <c r="M19" i="15" s="1"/>
  <c r="I21" i="15"/>
  <c r="E22" i="15"/>
  <c r="C23" i="15"/>
  <c r="I24" i="15"/>
  <c r="M24" i="15" s="1"/>
  <c r="C26" i="15"/>
  <c r="H28" i="15"/>
  <c r="H32" i="15"/>
  <c r="C35" i="15"/>
  <c r="K44" i="15"/>
  <c r="N44" i="15" s="1"/>
  <c r="O44" i="15" s="1"/>
  <c r="E45" i="15"/>
  <c r="C46" i="15"/>
  <c r="D47" i="15"/>
  <c r="C47" i="15"/>
  <c r="L58" i="15"/>
  <c r="C65" i="15"/>
  <c r="D73" i="15"/>
  <c r="D74" i="15"/>
  <c r="D77" i="15"/>
  <c r="H77" i="15"/>
  <c r="L3" i="12"/>
  <c r="N6" i="12"/>
  <c r="T6" i="12" s="1"/>
  <c r="M7" i="12"/>
  <c r="L7" i="12"/>
  <c r="O7" i="12" s="1"/>
  <c r="E7" i="12"/>
  <c r="U7" i="12" s="1"/>
  <c r="AE6" i="12"/>
  <c r="AF6" i="12" s="1"/>
  <c r="T7" i="12"/>
  <c r="H7" i="12"/>
  <c r="H9" i="12"/>
  <c r="T9" i="12" s="1"/>
  <c r="E9" i="12"/>
  <c r="U9" i="12" s="1"/>
  <c r="J9" i="12"/>
  <c r="D16" i="12"/>
  <c r="P16" i="12" s="1"/>
  <c r="Q16" i="12"/>
  <c r="R16" i="12" s="1"/>
  <c r="J22" i="12"/>
  <c r="P22" i="12" s="1"/>
  <c r="E22" i="12"/>
  <c r="N22" i="12"/>
  <c r="V22" i="12"/>
  <c r="H22" i="12"/>
  <c r="AE21" i="12"/>
  <c r="AF21" i="12" s="1"/>
  <c r="M22" i="12"/>
  <c r="T22" i="12" s="1"/>
  <c r="Y25" i="12"/>
  <c r="Z25" i="12"/>
  <c r="F25" i="12"/>
  <c r="I25" i="12"/>
  <c r="J26" i="12"/>
  <c r="V26" i="12"/>
  <c r="M26" i="12"/>
  <c r="O26" i="12" s="1"/>
  <c r="E26" i="12"/>
  <c r="U26" i="12" s="1"/>
  <c r="H26" i="12"/>
  <c r="N26" i="12"/>
  <c r="H29" i="12"/>
  <c r="N29" i="12"/>
  <c r="AE29" i="12"/>
  <c r="AF29" i="12" s="1"/>
  <c r="T29" i="12"/>
  <c r="M29" i="12"/>
  <c r="O29" i="12" s="1"/>
  <c r="E29" i="12"/>
  <c r="U29" i="12" s="1"/>
  <c r="H37" i="12"/>
  <c r="N37" i="12"/>
  <c r="J37" i="12"/>
  <c r="U37" i="12"/>
  <c r="E37" i="12"/>
  <c r="T37" i="12"/>
  <c r="AA42" i="12"/>
  <c r="AB42" i="12" s="1"/>
  <c r="AC42" i="12" s="1"/>
  <c r="Z42" i="12"/>
  <c r="Q42" i="12"/>
  <c r="R42" i="12" s="1"/>
  <c r="S42" i="12" s="1"/>
  <c r="F42" i="12"/>
  <c r="I42" i="12"/>
  <c r="Y42" i="12"/>
  <c r="R44" i="12"/>
  <c r="S44" i="12" s="1"/>
  <c r="J62" i="12"/>
  <c r="E62" i="12"/>
  <c r="M62" i="12"/>
  <c r="AE61" i="12"/>
  <c r="AF61" i="12" s="1"/>
  <c r="L62" i="12"/>
  <c r="T62" i="12" s="1"/>
  <c r="H62" i="12"/>
  <c r="N62" i="12"/>
  <c r="P64" i="12"/>
  <c r="Z65" i="12"/>
  <c r="F65" i="12"/>
  <c r="U65" i="12" s="1"/>
  <c r="I65" i="12"/>
  <c r="Y65" i="12" s="1"/>
  <c r="R102" i="12"/>
  <c r="S102" i="12" s="1"/>
  <c r="R26" i="12"/>
  <c r="I27" i="12"/>
  <c r="AA27" i="12"/>
  <c r="AB27" i="12" s="1"/>
  <c r="AC27" i="12" s="1"/>
  <c r="F27" i="12"/>
  <c r="Z27" i="12"/>
  <c r="Y27" i="12"/>
  <c r="R30" i="12"/>
  <c r="S30" i="12" s="1"/>
  <c r="AE37" i="12"/>
  <c r="AF37" i="12" s="1"/>
  <c r="R50" i="12"/>
  <c r="AE51" i="12"/>
  <c r="AF51" i="12" s="1"/>
  <c r="J58" i="12"/>
  <c r="E58" i="12"/>
  <c r="P58" i="12" s="1"/>
  <c r="N58" i="12"/>
  <c r="T58" i="12" s="1"/>
  <c r="H58" i="12"/>
  <c r="M58" i="12"/>
  <c r="O58" i="12" s="1"/>
  <c r="AB65" i="12"/>
  <c r="Z71" i="12"/>
  <c r="AA71" i="12"/>
  <c r="AB71" i="12" s="1"/>
  <c r="AC71" i="12" s="1"/>
  <c r="Y71" i="12"/>
  <c r="F71" i="12"/>
  <c r="I71" i="12"/>
  <c r="L19" i="15"/>
  <c r="L21" i="15"/>
  <c r="D27" i="15"/>
  <c r="L27" i="15"/>
  <c r="I31" i="15"/>
  <c r="M31" i="15" s="1"/>
  <c r="H31" i="15"/>
  <c r="C42" i="15"/>
  <c r="D42" i="15"/>
  <c r="O45" i="15"/>
  <c r="K49" i="15"/>
  <c r="I57" i="15"/>
  <c r="M57" i="15" s="1"/>
  <c r="L57" i="15"/>
  <c r="AE207" i="12"/>
  <c r="AF207" i="12" s="1"/>
  <c r="O4" i="12"/>
  <c r="D4" i="12"/>
  <c r="P4" i="12" s="1"/>
  <c r="G4" i="12"/>
  <c r="P6" i="12"/>
  <c r="Z7" i="12"/>
  <c r="I7" i="12"/>
  <c r="Y9" i="12"/>
  <c r="Z9" i="12"/>
  <c r="F9" i="12"/>
  <c r="I9" i="12"/>
  <c r="AA19" i="12"/>
  <c r="AB19" i="12" s="1"/>
  <c r="AC19" i="12" s="1"/>
  <c r="F19" i="12"/>
  <c r="Z19" i="12"/>
  <c r="Y19" i="12"/>
  <c r="I19" i="12"/>
  <c r="Q24" i="12"/>
  <c r="R24" i="12" s="1"/>
  <c r="S24" i="12" s="1"/>
  <c r="N25" i="12"/>
  <c r="T25" i="12" s="1"/>
  <c r="L31" i="12"/>
  <c r="M35" i="12"/>
  <c r="E35" i="12"/>
  <c r="J35" i="12"/>
  <c r="H35" i="12"/>
  <c r="L35" i="12"/>
  <c r="T35" i="12" s="1"/>
  <c r="AE34" i="12"/>
  <c r="AF34" i="12" s="1"/>
  <c r="U47" i="12"/>
  <c r="Q47" i="12"/>
  <c r="R47" i="12" s="1"/>
  <c r="I47" i="12"/>
  <c r="AA47" i="12"/>
  <c r="AB47" i="12" s="1"/>
  <c r="AC47" i="12" s="1"/>
  <c r="Z47" i="12"/>
  <c r="P49" i="12"/>
  <c r="D59" i="12"/>
  <c r="Q59" i="12"/>
  <c r="R59" i="12" s="1"/>
  <c r="G59" i="12"/>
  <c r="O64" i="12"/>
  <c r="G64" i="12"/>
  <c r="D64" i="12"/>
  <c r="AE72" i="12"/>
  <c r="AF72" i="12" s="1"/>
  <c r="Z206" i="12"/>
  <c r="Z207" i="12"/>
  <c r="M72" i="15"/>
  <c r="D2" i="12"/>
  <c r="P2" i="12"/>
  <c r="O2" i="12"/>
  <c r="M3" i="12"/>
  <c r="AE171" i="12"/>
  <c r="AF171" i="12" s="1"/>
  <c r="AE205" i="12"/>
  <c r="AF205" i="12" s="1"/>
  <c r="AE159" i="12"/>
  <c r="AF159" i="12" s="1"/>
  <c r="AE119" i="12"/>
  <c r="AF119" i="12" s="1"/>
  <c r="AE146" i="12"/>
  <c r="AF146" i="12" s="1"/>
  <c r="AE143" i="12"/>
  <c r="AF143" i="12" s="1"/>
  <c r="AE136" i="12"/>
  <c r="AF136" i="12" s="1"/>
  <c r="AE110" i="12"/>
  <c r="AF110" i="12" s="1"/>
  <c r="AE50" i="12"/>
  <c r="AF50" i="12" s="1"/>
  <c r="AE166" i="12"/>
  <c r="AF166" i="12" s="1"/>
  <c r="AE156" i="12"/>
  <c r="AF156" i="12" s="1"/>
  <c r="AE130" i="12"/>
  <c r="AF130" i="12" s="1"/>
  <c r="AE155" i="12"/>
  <c r="AF155" i="12" s="1"/>
  <c r="AE116" i="12"/>
  <c r="AF116" i="12" s="1"/>
  <c r="AE93" i="12"/>
  <c r="AF93" i="12" s="1"/>
  <c r="AE85" i="12"/>
  <c r="AF85" i="12" s="1"/>
  <c r="AE117" i="12"/>
  <c r="AF117" i="12" s="1"/>
  <c r="AE102" i="12"/>
  <c r="AF102" i="12" s="1"/>
  <c r="AE70" i="12"/>
  <c r="AF70" i="12" s="1"/>
  <c r="E3" i="12"/>
  <c r="U3" i="12" s="1"/>
  <c r="AE88" i="12"/>
  <c r="AF88" i="12" s="1"/>
  <c r="AE87" i="12"/>
  <c r="AF87" i="12" s="1"/>
  <c r="AE69" i="12"/>
  <c r="AF69" i="12" s="1"/>
  <c r="AE40" i="12"/>
  <c r="AF40" i="12" s="1"/>
  <c r="AE53" i="12"/>
  <c r="AF53" i="12" s="1"/>
  <c r="AE92" i="12"/>
  <c r="AF92" i="12" s="1"/>
  <c r="AE100" i="12"/>
  <c r="AF100" i="12" s="1"/>
  <c r="AE80" i="12"/>
  <c r="AF80" i="12" s="1"/>
  <c r="AE68" i="12"/>
  <c r="AF68" i="12" s="1"/>
  <c r="H3" i="12"/>
  <c r="AE74" i="12"/>
  <c r="AF74" i="12" s="1"/>
  <c r="AE49" i="12"/>
  <c r="AF49" i="12" s="1"/>
  <c r="T3" i="12"/>
  <c r="F4" i="12"/>
  <c r="I4" i="12"/>
  <c r="D35" i="12"/>
  <c r="P35" i="12"/>
  <c r="G35" i="12"/>
  <c r="O35" i="12" s="1"/>
  <c r="O38" i="12"/>
  <c r="P62" i="12"/>
  <c r="Q68" i="12"/>
  <c r="R68" i="12" s="1"/>
  <c r="G68" i="12"/>
  <c r="H73" i="12"/>
  <c r="T73" i="12" s="1"/>
  <c r="L73" i="12"/>
  <c r="N73" i="12"/>
  <c r="M73" i="12"/>
  <c r="E73" i="12"/>
  <c r="U73" i="12" s="1"/>
  <c r="L7" i="15"/>
  <c r="D24" i="15"/>
  <c r="D31" i="15"/>
  <c r="I33" i="15"/>
  <c r="H33" i="15"/>
  <c r="H42" i="15"/>
  <c r="I51" i="15"/>
  <c r="K51" i="15"/>
  <c r="H51" i="15"/>
  <c r="E54" i="15"/>
  <c r="D57" i="15"/>
  <c r="C58" i="15"/>
  <c r="E59" i="15"/>
  <c r="E60" i="15"/>
  <c r="G60" i="15"/>
  <c r="F60" i="15"/>
  <c r="L62" i="15"/>
  <c r="I62" i="15"/>
  <c r="C63" i="15"/>
  <c r="M64" i="15"/>
  <c r="O64" i="15" s="1"/>
  <c r="I69" i="15"/>
  <c r="H69" i="15"/>
  <c r="L73" i="15"/>
  <c r="G80" i="15"/>
  <c r="E80" i="15"/>
  <c r="I80" i="15"/>
  <c r="M80" i="15" s="1"/>
  <c r="L80" i="15"/>
  <c r="K80" i="15"/>
  <c r="Z2" i="12"/>
  <c r="I2" i="12"/>
  <c r="AA2" i="12"/>
  <c r="AB2" i="12" s="1"/>
  <c r="F2" i="12"/>
  <c r="Y2" i="12"/>
  <c r="Q2" i="12"/>
  <c r="D3" i="12"/>
  <c r="P3" i="12" s="1"/>
  <c r="Q3" i="12"/>
  <c r="R3" i="12" s="1"/>
  <c r="G3" i="12"/>
  <c r="Y4" i="12"/>
  <c r="AA7" i="12"/>
  <c r="AB7" i="12" s="1"/>
  <c r="AC7" i="12" s="1"/>
  <c r="E12" i="12"/>
  <c r="J12" i="12"/>
  <c r="U12" i="12"/>
  <c r="H12" i="12"/>
  <c r="T12" i="12" s="1"/>
  <c r="AA12" i="12"/>
  <c r="AB12" i="12" s="1"/>
  <c r="AC12" i="12" s="1"/>
  <c r="J17" i="12"/>
  <c r="L20" i="12"/>
  <c r="M20" i="12"/>
  <c r="E20" i="12"/>
  <c r="U20" i="12" s="1"/>
  <c r="T20" i="12"/>
  <c r="N20" i="12"/>
  <c r="W21" i="12"/>
  <c r="Q28" i="12"/>
  <c r="R28" i="12" s="1"/>
  <c r="G28" i="12"/>
  <c r="Z39" i="12"/>
  <c r="F39" i="12"/>
  <c r="AA39" i="12"/>
  <c r="AB39" i="12" s="1"/>
  <c r="H45" i="12"/>
  <c r="T45" i="12" s="1"/>
  <c r="AE44" i="12"/>
  <c r="AF44" i="12" s="1"/>
  <c r="U45" i="12"/>
  <c r="J45" i="12"/>
  <c r="N45" i="12"/>
  <c r="E45" i="12"/>
  <c r="P45" i="12" s="1"/>
  <c r="Y61" i="12"/>
  <c r="I61" i="12"/>
  <c r="F61" i="12"/>
  <c r="AA61" i="12"/>
  <c r="AB61" i="12" s="1"/>
  <c r="AC61" i="12" s="1"/>
  <c r="U61" i="12"/>
  <c r="Z61" i="12"/>
  <c r="AA70" i="12"/>
  <c r="AB70" i="12" s="1"/>
  <c r="AC70" i="12" s="1"/>
  <c r="I70" i="12"/>
  <c r="Y70" i="12"/>
  <c r="Z70" i="12"/>
  <c r="Q70" i="12"/>
  <c r="F70" i="12"/>
  <c r="D87" i="12"/>
  <c r="P87" i="12" s="1"/>
  <c r="Q87" i="12"/>
  <c r="G87" i="12"/>
  <c r="P89" i="12"/>
  <c r="L5" i="15"/>
  <c r="H8" i="15"/>
  <c r="I18" i="15"/>
  <c r="I26" i="15"/>
  <c r="C32" i="15"/>
  <c r="C33" i="15"/>
  <c r="L34" i="15"/>
  <c r="L35" i="15"/>
  <c r="I42" i="15"/>
  <c r="M43" i="15"/>
  <c r="M45" i="15"/>
  <c r="C51" i="15"/>
  <c r="E52" i="15"/>
  <c r="D52" i="15"/>
  <c r="G52" i="15"/>
  <c r="F52" i="15"/>
  <c r="M52" i="15" s="1"/>
  <c r="G54" i="15"/>
  <c r="H58" i="15"/>
  <c r="F59" i="15"/>
  <c r="N59" i="15" s="1"/>
  <c r="C62" i="15"/>
  <c r="I63" i="15"/>
  <c r="C69" i="15"/>
  <c r="D70" i="15"/>
  <c r="C70" i="15"/>
  <c r="D80" i="15"/>
  <c r="Z3" i="12"/>
  <c r="AA3" i="12"/>
  <c r="AB3" i="12" s="1"/>
  <c r="AC3" i="12" s="1"/>
  <c r="F3" i="12"/>
  <c r="Z4" i="12"/>
  <c r="J5" i="12"/>
  <c r="P5" i="12" s="1"/>
  <c r="O12" i="12"/>
  <c r="Q12" i="12"/>
  <c r="R12" i="12" s="1"/>
  <c r="S12" i="12" s="1"/>
  <c r="G12" i="12"/>
  <c r="D12" i="12"/>
  <c r="AE16" i="12"/>
  <c r="AF16" i="12" s="1"/>
  <c r="N17" i="12"/>
  <c r="T17" i="12" s="1"/>
  <c r="H24" i="12"/>
  <c r="T24" i="12" s="1"/>
  <c r="J24" i="12"/>
  <c r="U24" i="12" s="1"/>
  <c r="M24" i="12"/>
  <c r="L24" i="12"/>
  <c r="O27" i="12"/>
  <c r="F28" i="12"/>
  <c r="Z28" i="12"/>
  <c r="I28" i="12"/>
  <c r="AA28" i="12"/>
  <c r="AB28" i="12" s="1"/>
  <c r="AC28" i="12" s="1"/>
  <c r="Y28" i="12"/>
  <c r="H36" i="12"/>
  <c r="T36" i="12"/>
  <c r="E36" i="12"/>
  <c r="J36" i="12"/>
  <c r="P36" i="12" s="1"/>
  <c r="AE35" i="12"/>
  <c r="AF35" i="12" s="1"/>
  <c r="U43" i="12"/>
  <c r="M43" i="12"/>
  <c r="E43" i="12"/>
  <c r="H43" i="12"/>
  <c r="J43" i="12"/>
  <c r="AE42" i="12"/>
  <c r="AF42" i="12" s="1"/>
  <c r="V43" i="12"/>
  <c r="T43" i="12"/>
  <c r="J44" i="12"/>
  <c r="P61" i="12"/>
  <c r="D68" i="12"/>
  <c r="P68" i="12" s="1"/>
  <c r="AE82" i="12"/>
  <c r="AF82" i="12" s="1"/>
  <c r="AE90" i="12"/>
  <c r="AF90" i="12" s="1"/>
  <c r="C36" i="15"/>
  <c r="K38" i="15"/>
  <c r="L43" i="15"/>
  <c r="L48" i="15"/>
  <c r="C50" i="15"/>
  <c r="D53" i="15"/>
  <c r="L59" i="15"/>
  <c r="L66" i="15"/>
  <c r="C68" i="15"/>
  <c r="F75" i="15"/>
  <c r="M75" i="15" s="1"/>
  <c r="E75" i="15"/>
  <c r="Q8" i="12"/>
  <c r="J10" i="12"/>
  <c r="V10" i="12"/>
  <c r="M10" i="12"/>
  <c r="U10" i="12"/>
  <c r="D11" i="12"/>
  <c r="G11" i="12"/>
  <c r="O11" i="12"/>
  <c r="N18" i="12"/>
  <c r="R21" i="12"/>
  <c r="P26" i="12"/>
  <c r="M27" i="12"/>
  <c r="T27" i="12" s="1"/>
  <c r="J27" i="12"/>
  <c r="U27" i="12" s="1"/>
  <c r="AE26" i="12"/>
  <c r="AF26" i="12" s="1"/>
  <c r="AE32" i="12"/>
  <c r="AF32" i="12" s="1"/>
  <c r="U39" i="12"/>
  <c r="M39" i="12"/>
  <c r="T39" i="12" s="1"/>
  <c r="E39" i="12"/>
  <c r="J39" i="12"/>
  <c r="AE38" i="12"/>
  <c r="AF38" i="12" s="1"/>
  <c r="D40" i="12"/>
  <c r="P40" i="12" s="1"/>
  <c r="Q40" i="12"/>
  <c r="M41" i="12"/>
  <c r="Y43" i="12"/>
  <c r="AA46" i="12"/>
  <c r="I46" i="12"/>
  <c r="Y46" i="12"/>
  <c r="F46" i="12"/>
  <c r="M47" i="12"/>
  <c r="L47" i="12"/>
  <c r="H47" i="12"/>
  <c r="E47" i="12"/>
  <c r="P47" i="12" s="1"/>
  <c r="Q48" i="12"/>
  <c r="AE58" i="12"/>
  <c r="AF58" i="12" s="1"/>
  <c r="P60" i="12"/>
  <c r="H61" i="12"/>
  <c r="E61" i="12"/>
  <c r="J61" i="12"/>
  <c r="M61" i="12"/>
  <c r="L61" i="12"/>
  <c r="O61" i="12" s="1"/>
  <c r="J78" i="12"/>
  <c r="P78" i="12" s="1"/>
  <c r="E78" i="12"/>
  <c r="T78" i="12"/>
  <c r="H78" i="12"/>
  <c r="AE77" i="12"/>
  <c r="AF77" i="12" s="1"/>
  <c r="L78" i="12"/>
  <c r="O78" i="12" s="1"/>
  <c r="G80" i="12"/>
  <c r="Q80" i="12"/>
  <c r="P80" i="12"/>
  <c r="F102" i="12"/>
  <c r="I102" i="12"/>
  <c r="Y102" i="12"/>
  <c r="Z102" i="12"/>
  <c r="AA108" i="12"/>
  <c r="AB108" i="12" s="1"/>
  <c r="Z108" i="12"/>
  <c r="I108" i="12"/>
  <c r="F108" i="12"/>
  <c r="F109" i="12"/>
  <c r="Y109" i="12"/>
  <c r="I109" i="12"/>
  <c r="AA109" i="12"/>
  <c r="AB109" i="12" s="1"/>
  <c r="N133" i="12"/>
  <c r="H133" i="12"/>
  <c r="E133" i="12"/>
  <c r="AE132" i="12"/>
  <c r="AF132" i="12" s="1"/>
  <c r="M133" i="12"/>
  <c r="O133" i="12" s="1"/>
  <c r="L133" i="12"/>
  <c r="J133" i="12"/>
  <c r="AE133" i="12"/>
  <c r="AF133" i="12" s="1"/>
  <c r="D36" i="15"/>
  <c r="C38" i="15"/>
  <c r="C40" i="15"/>
  <c r="C48" i="15"/>
  <c r="D50" i="15"/>
  <c r="E53" i="15"/>
  <c r="C56" i="15"/>
  <c r="C66" i="15"/>
  <c r="D68" i="15"/>
  <c r="Z238" i="12"/>
  <c r="Z224" i="12"/>
  <c r="Z223" i="12"/>
  <c r="D75" i="15"/>
  <c r="L79" i="15"/>
  <c r="C79" i="15"/>
  <c r="H79" i="15"/>
  <c r="F8" i="12"/>
  <c r="I8" i="12"/>
  <c r="AA8" i="12"/>
  <c r="AB8" i="12" s="1"/>
  <c r="AC8" i="12" s="1"/>
  <c r="P8" i="12"/>
  <c r="L10" i="12"/>
  <c r="P11" i="12"/>
  <c r="AA11" i="12"/>
  <c r="AA18" i="12"/>
  <c r="AB18" i="12" s="1"/>
  <c r="AC18" i="12" s="1"/>
  <c r="Z18" i="12"/>
  <c r="Q18" i="12"/>
  <c r="R18" i="12" s="1"/>
  <c r="Y18" i="12"/>
  <c r="D27" i="12"/>
  <c r="Q27" i="12"/>
  <c r="R27" i="12" s="1"/>
  <c r="S27" i="12" s="1"/>
  <c r="P27" i="12"/>
  <c r="AA30" i="12"/>
  <c r="AB30" i="12" s="1"/>
  <c r="AC30" i="12" s="1"/>
  <c r="I30" i="12"/>
  <c r="Z30" i="12"/>
  <c r="I37" i="12"/>
  <c r="D39" i="12"/>
  <c r="P39" i="12" s="1"/>
  <c r="Q39" i="12"/>
  <c r="G39" i="12"/>
  <c r="O39" i="12" s="1"/>
  <c r="Y41" i="12"/>
  <c r="AA41" i="12"/>
  <c r="AB41" i="12" s="1"/>
  <c r="AC41" i="12" s="1"/>
  <c r="I43" i="12"/>
  <c r="Z43" i="12"/>
  <c r="Q49" i="12"/>
  <c r="R49" i="12" s="1"/>
  <c r="G49" i="12"/>
  <c r="M59" i="12"/>
  <c r="O59" i="12" s="1"/>
  <c r="E59" i="12"/>
  <c r="H59" i="12"/>
  <c r="T59" i="12" s="1"/>
  <c r="N59" i="12"/>
  <c r="R75" i="12"/>
  <c r="S75" i="12" s="1"/>
  <c r="V75" i="12"/>
  <c r="F80" i="12"/>
  <c r="I80" i="12"/>
  <c r="AA80" i="12"/>
  <c r="AB80" i="12" s="1"/>
  <c r="AC80" i="12" s="1"/>
  <c r="Z80" i="12"/>
  <c r="Y80" i="12"/>
  <c r="W113" i="12"/>
  <c r="R109" i="12"/>
  <c r="AA111" i="12"/>
  <c r="AB111" i="12" s="1"/>
  <c r="I111" i="12"/>
  <c r="Y111" i="12" s="1"/>
  <c r="Z111" i="12"/>
  <c r="F111" i="12"/>
  <c r="Q111" i="12"/>
  <c r="R111" i="12" s="1"/>
  <c r="S111" i="12" s="1"/>
  <c r="Q117" i="12"/>
  <c r="G117" i="12"/>
  <c r="D117" i="12"/>
  <c r="P117" i="12" s="1"/>
  <c r="V108" i="12"/>
  <c r="R108" i="12"/>
  <c r="R112" i="12"/>
  <c r="R115" i="12"/>
  <c r="F117" i="12"/>
  <c r="I117" i="12"/>
  <c r="AA117" i="12"/>
  <c r="AB117" i="12" s="1"/>
  <c r="AC117" i="12" s="1"/>
  <c r="Y117" i="12"/>
  <c r="Z117" i="12"/>
  <c r="M79" i="12"/>
  <c r="L79" i="12"/>
  <c r="T79" i="12" s="1"/>
  <c r="E79" i="12"/>
  <c r="U79" i="12" s="1"/>
  <c r="H79" i="12"/>
  <c r="N79" i="12"/>
  <c r="Y81" i="12"/>
  <c r="Z81" i="12"/>
  <c r="F81" i="12"/>
  <c r="I81" i="12"/>
  <c r="AA81" i="12"/>
  <c r="AB81" i="12" s="1"/>
  <c r="AC81" i="12" s="1"/>
  <c r="J90" i="12"/>
  <c r="AE89" i="12"/>
  <c r="AF89" i="12" s="1"/>
  <c r="M90" i="12"/>
  <c r="L90" i="12"/>
  <c r="T90" i="12" s="1"/>
  <c r="E90" i="12"/>
  <c r="P90" i="12" s="1"/>
  <c r="H90" i="12"/>
  <c r="R97" i="12"/>
  <c r="H99" i="12"/>
  <c r="N99" i="12"/>
  <c r="T99" i="12"/>
  <c r="AE99" i="12"/>
  <c r="AF99" i="12" s="1"/>
  <c r="E99" i="12"/>
  <c r="J99" i="12"/>
  <c r="U99" i="12"/>
  <c r="AE98" i="12"/>
  <c r="AF98" i="12" s="1"/>
  <c r="R120" i="12"/>
  <c r="N56" i="12"/>
  <c r="E56" i="12"/>
  <c r="H56" i="12"/>
  <c r="L56" i="12"/>
  <c r="T56" i="12" s="1"/>
  <c r="AE55" i="12"/>
  <c r="AF55" i="12" s="1"/>
  <c r="J56" i="12"/>
  <c r="N72" i="12"/>
  <c r="M72" i="12"/>
  <c r="O72" i="12" s="1"/>
  <c r="E72" i="12"/>
  <c r="U72" i="12" s="1"/>
  <c r="J72" i="12"/>
  <c r="H77" i="12"/>
  <c r="AE76" i="12"/>
  <c r="AF76" i="12" s="1"/>
  <c r="E77" i="12"/>
  <c r="U77" i="12" s="1"/>
  <c r="L77" i="12"/>
  <c r="T77" i="12" s="1"/>
  <c r="I83" i="12"/>
  <c r="Y83" i="12"/>
  <c r="F83" i="12"/>
  <c r="AA83" i="12"/>
  <c r="AB83" i="12" s="1"/>
  <c r="AC83" i="12" s="1"/>
  <c r="R86" i="12"/>
  <c r="S86" i="12" s="1"/>
  <c r="Y91" i="12"/>
  <c r="AA91" i="12"/>
  <c r="AB91" i="12" s="1"/>
  <c r="AC91" i="12" s="1"/>
  <c r="Q91" i="12"/>
  <c r="F91" i="12"/>
  <c r="Z91" i="12"/>
  <c r="U97" i="12"/>
  <c r="M97" i="12"/>
  <c r="J97" i="12"/>
  <c r="AE96" i="12"/>
  <c r="AF96" i="12" s="1"/>
  <c r="V97" i="12"/>
  <c r="H97" i="12"/>
  <c r="L97" i="12"/>
  <c r="T97" i="12" s="1"/>
  <c r="Q99" i="12"/>
  <c r="R99" i="12" s="1"/>
  <c r="D99" i="12"/>
  <c r="P99" i="12" s="1"/>
  <c r="G99" i="12"/>
  <c r="J104" i="12"/>
  <c r="N104" i="12"/>
  <c r="M104" i="12"/>
  <c r="T104" i="12" s="1"/>
  <c r="E104" i="12"/>
  <c r="L104" i="12"/>
  <c r="M105" i="12"/>
  <c r="E105" i="12"/>
  <c r="H105" i="12"/>
  <c r="N105" i="12"/>
  <c r="T105" i="12" s="1"/>
  <c r="L105" i="12"/>
  <c r="AB107" i="12"/>
  <c r="H13" i="12"/>
  <c r="T13" i="12" s="1"/>
  <c r="N13" i="12"/>
  <c r="U13" i="12"/>
  <c r="J13" i="12"/>
  <c r="M13" i="12"/>
  <c r="M15" i="12"/>
  <c r="T15" i="12" s="1"/>
  <c r="J15" i="12"/>
  <c r="U15" i="12" s="1"/>
  <c r="N15" i="12"/>
  <c r="Y17" i="12"/>
  <c r="AA17" i="12"/>
  <c r="AB17" i="12" s="1"/>
  <c r="AC17" i="12" s="1"/>
  <c r="R22" i="12"/>
  <c r="S22" i="12" s="1"/>
  <c r="Y29" i="12"/>
  <c r="I29" i="12"/>
  <c r="Z31" i="12"/>
  <c r="I31" i="12"/>
  <c r="N32" i="12"/>
  <c r="J32" i="12"/>
  <c r="U32" i="12" s="1"/>
  <c r="M32" i="12"/>
  <c r="T32" i="12" s="1"/>
  <c r="Y37" i="12"/>
  <c r="F37" i="12"/>
  <c r="AA37" i="12"/>
  <c r="AB37" i="12" s="1"/>
  <c r="J46" i="12"/>
  <c r="E46" i="12"/>
  <c r="N46" i="12"/>
  <c r="T46" i="12" s="1"/>
  <c r="O54" i="12"/>
  <c r="S54" i="12" s="1"/>
  <c r="AA58" i="12"/>
  <c r="AB58" i="12" s="1"/>
  <c r="AC58" i="12" s="1"/>
  <c r="Z58" i="12"/>
  <c r="Q58" i="12"/>
  <c r="R58" i="12" s="1"/>
  <c r="Y58" i="12"/>
  <c r="U58" i="12"/>
  <c r="M63" i="12"/>
  <c r="L63" i="12"/>
  <c r="T63" i="12"/>
  <c r="N63" i="12"/>
  <c r="AE62" i="12"/>
  <c r="AF62" i="12" s="1"/>
  <c r="J63" i="12"/>
  <c r="O70" i="12"/>
  <c r="V72" i="12"/>
  <c r="J84" i="12"/>
  <c r="P84" i="12" s="1"/>
  <c r="AE84" i="12"/>
  <c r="AF84" i="12" s="1"/>
  <c r="AE83" i="12"/>
  <c r="AF83" i="12" s="1"/>
  <c r="M84" i="12"/>
  <c r="H84" i="12"/>
  <c r="T84" i="12" s="1"/>
  <c r="U90" i="12"/>
  <c r="AA100" i="12"/>
  <c r="AB100" i="12" s="1"/>
  <c r="AC100" i="12" s="1"/>
  <c r="I100" i="12"/>
  <c r="Z100" i="12"/>
  <c r="Q100" i="12"/>
  <c r="Y100" i="12"/>
  <c r="U109" i="12"/>
  <c r="M109" i="12"/>
  <c r="L109" i="12"/>
  <c r="H109" i="12"/>
  <c r="T109" i="12" s="1"/>
  <c r="AE108" i="12"/>
  <c r="AF108" i="12" s="1"/>
  <c r="E109" i="12"/>
  <c r="P109" i="12" s="1"/>
  <c r="J109" i="12"/>
  <c r="N109" i="12"/>
  <c r="M112" i="12"/>
  <c r="E112" i="12"/>
  <c r="N112" i="12"/>
  <c r="H112" i="12"/>
  <c r="T112" i="12" s="1"/>
  <c r="V112" i="12"/>
  <c r="J112" i="12"/>
  <c r="AE111" i="12"/>
  <c r="AE112" i="12"/>
  <c r="AF112" i="12" s="1"/>
  <c r="J115" i="12"/>
  <c r="E115" i="12"/>
  <c r="U115" i="12" s="1"/>
  <c r="H115" i="12"/>
  <c r="AE114" i="12"/>
  <c r="AF114" i="12" s="1"/>
  <c r="N115" i="12"/>
  <c r="M115" i="12"/>
  <c r="L115" i="12"/>
  <c r="AE115" i="12"/>
  <c r="AF115" i="12" s="1"/>
  <c r="Y126" i="12"/>
  <c r="Z126" i="12"/>
  <c r="F126" i="12"/>
  <c r="I126" i="12"/>
  <c r="H78" i="15"/>
  <c r="C78" i="15"/>
  <c r="M8" i="12"/>
  <c r="T8" i="12" s="1"/>
  <c r="H10" i="12"/>
  <c r="T10" i="12"/>
  <c r="U11" i="12"/>
  <c r="M11" i="12"/>
  <c r="Y11" i="12" s="1"/>
  <c r="N11" i="12"/>
  <c r="Q13" i="12"/>
  <c r="D13" i="12"/>
  <c r="O13" i="12"/>
  <c r="P13" i="12"/>
  <c r="D15" i="12"/>
  <c r="Q15" i="12"/>
  <c r="R15" i="12" s="1"/>
  <c r="S15" i="12" s="1"/>
  <c r="G15" i="12"/>
  <c r="O15" i="12"/>
  <c r="P15" i="12"/>
  <c r="P17" i="12"/>
  <c r="J18" i="12"/>
  <c r="P18" i="12" s="1"/>
  <c r="AE17" i="12"/>
  <c r="AF17" i="12" s="1"/>
  <c r="L18" i="12"/>
  <c r="E18" i="12"/>
  <c r="U18" i="12" s="1"/>
  <c r="M18" i="12"/>
  <c r="F20" i="12"/>
  <c r="AA20" i="12"/>
  <c r="AB20" i="12" s="1"/>
  <c r="AC20" i="12" s="1"/>
  <c r="Q20" i="12"/>
  <c r="R20" i="12" s="1"/>
  <c r="H21" i="12"/>
  <c r="AE20" i="12"/>
  <c r="AF20" i="12" s="1"/>
  <c r="N21" i="12"/>
  <c r="O21" i="12" s="1"/>
  <c r="L21" i="12"/>
  <c r="M23" i="12"/>
  <c r="V23" i="12"/>
  <c r="L23" i="12"/>
  <c r="J23" i="12"/>
  <c r="P23" i="12" s="1"/>
  <c r="O32" i="12"/>
  <c r="D32" i="12"/>
  <c r="Q32" i="12"/>
  <c r="AA34" i="12"/>
  <c r="AB34" i="12" s="1"/>
  <c r="AC34" i="12" s="1"/>
  <c r="Z34" i="12"/>
  <c r="Q34" i="12"/>
  <c r="I34" i="12"/>
  <c r="AA38" i="12"/>
  <c r="AB38" i="12" s="1"/>
  <c r="AC38" i="12" s="1"/>
  <c r="I38" i="12"/>
  <c r="Y38" i="12" s="1"/>
  <c r="Z38" i="12"/>
  <c r="Q38" i="12"/>
  <c r="N40" i="12"/>
  <c r="H40" i="12"/>
  <c r="L40" i="12"/>
  <c r="O40" i="12" s="1"/>
  <c r="H41" i="12"/>
  <c r="U41" i="12"/>
  <c r="L41" i="12"/>
  <c r="T41" i="12"/>
  <c r="J41" i="12"/>
  <c r="F43" i="12"/>
  <c r="P44" i="12"/>
  <c r="Y45" i="12"/>
  <c r="I45" i="12"/>
  <c r="Z45" i="12"/>
  <c r="J48" i="12"/>
  <c r="AE47" i="12"/>
  <c r="AF47" i="12" s="1"/>
  <c r="L48" i="12"/>
  <c r="N48" i="12"/>
  <c r="AE48" i="12"/>
  <c r="AF48" i="12" s="1"/>
  <c r="U51" i="12"/>
  <c r="I51" i="12"/>
  <c r="AA51" i="12"/>
  <c r="AB51" i="12" s="1"/>
  <c r="AC51" i="12" s="1"/>
  <c r="Q51" i="12"/>
  <c r="H53" i="12"/>
  <c r="T53" i="12" s="1"/>
  <c r="N53" i="12"/>
  <c r="M53" i="12"/>
  <c r="J53" i="12"/>
  <c r="M55" i="12"/>
  <c r="T55" i="12" s="1"/>
  <c r="N55" i="12"/>
  <c r="J55" i="12"/>
  <c r="AE54" i="12"/>
  <c r="AF54" i="12" s="1"/>
  <c r="H57" i="12"/>
  <c r="T57" i="12" s="1"/>
  <c r="L57" i="12"/>
  <c r="O57" i="12" s="1"/>
  <c r="E57" i="12"/>
  <c r="P57" i="12" s="1"/>
  <c r="J57" i="12"/>
  <c r="AE56" i="12"/>
  <c r="AF56" i="12" s="1"/>
  <c r="N57" i="12"/>
  <c r="F60" i="12"/>
  <c r="U60" i="12"/>
  <c r="AA60" i="12"/>
  <c r="AB60" i="12" s="1"/>
  <c r="AC60" i="12" s="1"/>
  <c r="Q60" i="12"/>
  <c r="Z60" i="12"/>
  <c r="Y60" i="12"/>
  <c r="I60" i="12"/>
  <c r="L76" i="12"/>
  <c r="T76" i="12" s="1"/>
  <c r="X76" i="12" s="1"/>
  <c r="N76" i="12"/>
  <c r="O76" i="12" s="1"/>
  <c r="H76" i="12"/>
  <c r="AE75" i="12"/>
  <c r="AF75" i="12" s="1"/>
  <c r="M76" i="12"/>
  <c r="L92" i="12"/>
  <c r="T92" i="12" s="1"/>
  <c r="N92" i="12"/>
  <c r="M92" i="12"/>
  <c r="E92" i="12"/>
  <c r="P92" i="12" s="1"/>
  <c r="S92" i="12" s="1"/>
  <c r="U92" i="12"/>
  <c r="J92" i="12"/>
  <c r="J96" i="12"/>
  <c r="V96" i="12"/>
  <c r="M96" i="12"/>
  <c r="N96" i="12"/>
  <c r="O96" i="12" s="1"/>
  <c r="E96" i="12"/>
  <c r="P96" i="12" s="1"/>
  <c r="U96" i="12"/>
  <c r="H96" i="12"/>
  <c r="T96" i="12" s="1"/>
  <c r="AE95" i="12"/>
  <c r="AF95" i="12" s="1"/>
  <c r="R96" i="12"/>
  <c r="AE97" i="12"/>
  <c r="AF97" i="12" s="1"/>
  <c r="L99" i="12"/>
  <c r="O99" i="12" s="1"/>
  <c r="D102" i="12"/>
  <c r="P102" i="12" s="1"/>
  <c r="G102" i="12"/>
  <c r="P107" i="12"/>
  <c r="F121" i="12"/>
  <c r="Z121" i="12"/>
  <c r="AA121" i="12"/>
  <c r="AB121" i="12" s="1"/>
  <c r="AC121" i="12" s="1"/>
  <c r="I121" i="12"/>
  <c r="Y121" i="12"/>
  <c r="R123" i="12"/>
  <c r="S123" i="12" s="1"/>
  <c r="Z140" i="12"/>
  <c r="F140" i="12"/>
  <c r="AB152" i="12"/>
  <c r="Y13" i="12"/>
  <c r="Z13" i="12"/>
  <c r="AC13" i="12" s="1"/>
  <c r="AA14" i="12"/>
  <c r="AB14" i="12" s="1"/>
  <c r="I14" i="12"/>
  <c r="Y14" i="12" s="1"/>
  <c r="Z15" i="12"/>
  <c r="L28" i="12"/>
  <c r="T28" i="12" s="1"/>
  <c r="Q29" i="12"/>
  <c r="R29" i="12" s="1"/>
  <c r="S29" i="12" s="1"/>
  <c r="D29" i="12"/>
  <c r="P29" i="12" s="1"/>
  <c r="D31" i="12"/>
  <c r="P31" i="12" s="1"/>
  <c r="Q31" i="12"/>
  <c r="R31" i="12" s="1"/>
  <c r="G31" i="12"/>
  <c r="Z32" i="12"/>
  <c r="AA35" i="12"/>
  <c r="AB35" i="12" s="1"/>
  <c r="AC35" i="12" s="1"/>
  <c r="Q37" i="12"/>
  <c r="R37" i="12" s="1"/>
  <c r="D37" i="12"/>
  <c r="P37" i="12" s="1"/>
  <c r="O37" i="12"/>
  <c r="J42" i="12"/>
  <c r="AE41" i="12"/>
  <c r="AF41" i="12" s="1"/>
  <c r="D43" i="12"/>
  <c r="P43" i="12" s="1"/>
  <c r="O43" i="12"/>
  <c r="Q45" i="12"/>
  <c r="R45" i="12" s="1"/>
  <c r="F48" i="12"/>
  <c r="I48" i="12"/>
  <c r="U48" i="12"/>
  <c r="AA48" i="12"/>
  <c r="AB48" i="12" s="1"/>
  <c r="AC48" i="12" s="1"/>
  <c r="D56" i="12"/>
  <c r="P56" i="12" s="1"/>
  <c r="Q56" i="12"/>
  <c r="R56" i="12" s="1"/>
  <c r="S56" i="12" s="1"/>
  <c r="Y57" i="12"/>
  <c r="U57" i="12"/>
  <c r="AA57" i="12"/>
  <c r="AB57" i="12" s="1"/>
  <c r="AC57" i="12" s="1"/>
  <c r="Z57" i="12"/>
  <c r="L60" i="12"/>
  <c r="T60" i="12" s="1"/>
  <c r="E60" i="12"/>
  <c r="H60" i="12"/>
  <c r="AE59" i="12"/>
  <c r="AF59" i="12" s="1"/>
  <c r="N60" i="12"/>
  <c r="Q61" i="12"/>
  <c r="AA62" i="12"/>
  <c r="AB62" i="12" s="1"/>
  <c r="AC62" i="12" s="1"/>
  <c r="Q62" i="12"/>
  <c r="F62" i="12"/>
  <c r="U62" i="12"/>
  <c r="I62" i="12"/>
  <c r="U63" i="12"/>
  <c r="AA63" i="12"/>
  <c r="AB63" i="12" s="1"/>
  <c r="AC63" i="12" s="1"/>
  <c r="Q63" i="12"/>
  <c r="R63" i="12" s="1"/>
  <c r="F63" i="12"/>
  <c r="I63" i="12"/>
  <c r="F64" i="12"/>
  <c r="I64" i="12"/>
  <c r="U67" i="12"/>
  <c r="I67" i="12"/>
  <c r="M75" i="12"/>
  <c r="O75" i="12" s="1"/>
  <c r="E75" i="12"/>
  <c r="U75" i="12" s="1"/>
  <c r="N75" i="12"/>
  <c r="L75" i="12"/>
  <c r="E80" i="12"/>
  <c r="U80" i="12" s="1"/>
  <c r="J80" i="12"/>
  <c r="AE79" i="12"/>
  <c r="AF79" i="12" s="1"/>
  <c r="Q81" i="12"/>
  <c r="R81" i="12" s="1"/>
  <c r="P81" i="12"/>
  <c r="G81" i="12"/>
  <c r="Y99" i="12"/>
  <c r="F99" i="12"/>
  <c r="I99" i="12"/>
  <c r="N102" i="12"/>
  <c r="H102" i="12"/>
  <c r="T102" i="12" s="1"/>
  <c r="U102" i="12"/>
  <c r="L102" i="12"/>
  <c r="O102" i="12" s="1"/>
  <c r="V102" i="12"/>
  <c r="J102" i="12"/>
  <c r="AE101" i="12"/>
  <c r="AF101" i="12" s="1"/>
  <c r="H107" i="12"/>
  <c r="AE106" i="12"/>
  <c r="AF106" i="12" s="1"/>
  <c r="J107" i="12"/>
  <c r="U107" i="12"/>
  <c r="E107" i="12"/>
  <c r="Y112" i="12"/>
  <c r="F112" i="12"/>
  <c r="Z112" i="12"/>
  <c r="I112" i="12"/>
  <c r="AA115" i="12"/>
  <c r="AB115" i="12" s="1"/>
  <c r="AC115" i="12" s="1"/>
  <c r="Z115" i="12"/>
  <c r="F115" i="12"/>
  <c r="I115" i="12"/>
  <c r="U129" i="12"/>
  <c r="I136" i="12"/>
  <c r="AA136" i="12"/>
  <c r="AB136" i="12" s="1"/>
  <c r="Z136" i="12"/>
  <c r="Q136" i="12"/>
  <c r="Y146" i="12"/>
  <c r="I146" i="12"/>
  <c r="Z146" i="12"/>
  <c r="O147" i="12"/>
  <c r="I140" i="12"/>
  <c r="T152" i="12"/>
  <c r="AE161" i="12"/>
  <c r="AF161" i="12" s="1"/>
  <c r="N162" i="12"/>
  <c r="H162" i="12"/>
  <c r="M162" i="12"/>
  <c r="T162" i="12" s="1"/>
  <c r="J162" i="12"/>
  <c r="V162" i="12"/>
  <c r="E162" i="12"/>
  <c r="U162" i="12" s="1"/>
  <c r="AE162" i="12"/>
  <c r="AF162" i="12" s="1"/>
  <c r="L162" i="12"/>
  <c r="D120" i="12"/>
  <c r="P120" i="12" s="1"/>
  <c r="O120" i="12"/>
  <c r="P126" i="12"/>
  <c r="H134" i="12"/>
  <c r="L134" i="12"/>
  <c r="O134" i="12" s="1"/>
  <c r="N134" i="12"/>
  <c r="E134" i="12"/>
  <c r="U134" i="12" s="1"/>
  <c r="R113" i="12"/>
  <c r="R116" i="12"/>
  <c r="S116" i="12" s="1"/>
  <c r="I120" i="12"/>
  <c r="Z120" i="12"/>
  <c r="Y120" i="12"/>
  <c r="AA120" i="12"/>
  <c r="AB120" i="12" s="1"/>
  <c r="AC120" i="12" s="1"/>
  <c r="M124" i="12"/>
  <c r="L124" i="12"/>
  <c r="H124" i="12"/>
  <c r="J124" i="12"/>
  <c r="P124" i="12" s="1"/>
  <c r="AE124" i="12"/>
  <c r="AF124" i="12" s="1"/>
  <c r="N124" i="12"/>
  <c r="AE123" i="12"/>
  <c r="AF123" i="12" s="1"/>
  <c r="Y69" i="12"/>
  <c r="AA69" i="12"/>
  <c r="AB69" i="12" s="1"/>
  <c r="AC69" i="12" s="1"/>
  <c r="R76" i="12"/>
  <c r="Q77" i="12"/>
  <c r="R77" i="12" s="1"/>
  <c r="S77" i="12" s="1"/>
  <c r="D77" i="12"/>
  <c r="P77" i="12" s="1"/>
  <c r="G77" i="12"/>
  <c r="O77" i="12" s="1"/>
  <c r="AA78" i="12"/>
  <c r="AB78" i="12" s="1"/>
  <c r="AC78" i="12" s="1"/>
  <c r="Q78" i="12"/>
  <c r="R78" i="12" s="1"/>
  <c r="F78" i="12"/>
  <c r="Z78" i="12"/>
  <c r="AA79" i="12"/>
  <c r="AB79" i="12" s="1"/>
  <c r="AC79" i="12" s="1"/>
  <c r="Q79" i="12"/>
  <c r="R79" i="12" s="1"/>
  <c r="F79" i="12"/>
  <c r="Z79" i="12"/>
  <c r="R82" i="12"/>
  <c r="S82" i="12" s="1"/>
  <c r="Q85" i="12"/>
  <c r="R85" i="12" s="1"/>
  <c r="S85" i="12" s="1"/>
  <c r="D85" i="12"/>
  <c r="P85" i="12" s="1"/>
  <c r="H89" i="12"/>
  <c r="U89" i="12"/>
  <c r="L89" i="12"/>
  <c r="N89" i="12"/>
  <c r="M89" i="12"/>
  <c r="E89" i="12"/>
  <c r="V94" i="12"/>
  <c r="D97" i="12"/>
  <c r="P97" i="12" s="1"/>
  <c r="G97" i="12"/>
  <c r="R106" i="12"/>
  <c r="X111" i="12"/>
  <c r="Q114" i="12"/>
  <c r="D114" i="12"/>
  <c r="Q118" i="12"/>
  <c r="P118" i="12"/>
  <c r="G118" i="12"/>
  <c r="D118" i="12"/>
  <c r="F120" i="12"/>
  <c r="I138" i="12"/>
  <c r="Y138" i="12" s="1"/>
  <c r="AA138" i="12"/>
  <c r="AB138" i="12" s="1"/>
  <c r="Z138" i="12"/>
  <c r="F138" i="12"/>
  <c r="Y142" i="12"/>
  <c r="U142" i="12"/>
  <c r="Z142" i="12"/>
  <c r="F142" i="12"/>
  <c r="AA142" i="12"/>
  <c r="I142" i="12"/>
  <c r="J151" i="12"/>
  <c r="V151" i="12"/>
  <c r="M151" i="12"/>
  <c r="AE150" i="12"/>
  <c r="AF150" i="12" s="1"/>
  <c r="H151" i="12"/>
  <c r="N151" i="12"/>
  <c r="U151" i="12"/>
  <c r="E151" i="12"/>
  <c r="L151" i="12"/>
  <c r="T151" i="12" s="1"/>
  <c r="U153" i="12"/>
  <c r="L153" i="12"/>
  <c r="E153" i="12"/>
  <c r="P153" i="12" s="1"/>
  <c r="J153" i="12"/>
  <c r="H153" i="12"/>
  <c r="N153" i="12"/>
  <c r="AE152" i="12"/>
  <c r="AF152" i="12" s="1"/>
  <c r="M153" i="12"/>
  <c r="Z220" i="12"/>
  <c r="Z221" i="12"/>
  <c r="K76" i="15"/>
  <c r="Q5" i="12"/>
  <c r="L16" i="12"/>
  <c r="T16" i="12" s="1"/>
  <c r="M19" i="12"/>
  <c r="E19" i="12"/>
  <c r="U19" i="12" s="1"/>
  <c r="L19" i="12"/>
  <c r="O19" i="12" s="1"/>
  <c r="Y21" i="12"/>
  <c r="I21" i="12"/>
  <c r="Y22" i="12"/>
  <c r="H33" i="12"/>
  <c r="L33" i="12"/>
  <c r="J33" i="12"/>
  <c r="P33" i="12" s="1"/>
  <c r="J34" i="12"/>
  <c r="P34" i="12" s="1"/>
  <c r="AE33" i="12"/>
  <c r="AF33" i="12" s="1"/>
  <c r="F36" i="12"/>
  <c r="Z36" i="12"/>
  <c r="AA36" i="12"/>
  <c r="AB36" i="12" s="1"/>
  <c r="AC36" i="12" s="1"/>
  <c r="Y40" i="12"/>
  <c r="AA44" i="12"/>
  <c r="AB44" i="12" s="1"/>
  <c r="AC44" i="12" s="1"/>
  <c r="G45" i="12"/>
  <c r="O45" i="12" s="1"/>
  <c r="Y49" i="12"/>
  <c r="Z49" i="12"/>
  <c r="F49" i="12"/>
  <c r="F52" i="12"/>
  <c r="Z52" i="12"/>
  <c r="H65" i="12"/>
  <c r="T65" i="12" s="1"/>
  <c r="J65" i="12"/>
  <c r="M65" i="12"/>
  <c r="J66" i="12"/>
  <c r="V66" i="12"/>
  <c r="M66" i="12"/>
  <c r="T66" i="12"/>
  <c r="H66" i="12"/>
  <c r="L66" i="12"/>
  <c r="N66" i="12"/>
  <c r="J74" i="12"/>
  <c r="P74" i="12" s="1"/>
  <c r="AE73" i="12"/>
  <c r="AF73" i="12" s="1"/>
  <c r="N74" i="12"/>
  <c r="M74" i="12"/>
  <c r="O74" i="12" s="1"/>
  <c r="H75" i="12"/>
  <c r="P76" i="12"/>
  <c r="Y77" i="12"/>
  <c r="I77" i="12"/>
  <c r="AA77" i="12"/>
  <c r="AB77" i="12" s="1"/>
  <c r="AC77" i="12" s="1"/>
  <c r="Z77" i="12"/>
  <c r="L80" i="12"/>
  <c r="T80" i="12" s="1"/>
  <c r="D83" i="12"/>
  <c r="P83" i="12" s="1"/>
  <c r="G83" i="12"/>
  <c r="Q83" i="12"/>
  <c r="F84" i="12"/>
  <c r="Z84" i="12"/>
  <c r="I84" i="12"/>
  <c r="F88" i="12"/>
  <c r="Y88" i="12"/>
  <c r="AA88" i="12"/>
  <c r="AB88" i="12" s="1"/>
  <c r="AC88" i="12" s="1"/>
  <c r="Q88" i="12"/>
  <c r="R88" i="12" s="1"/>
  <c r="F94" i="12"/>
  <c r="I94" i="12"/>
  <c r="Y94" i="12"/>
  <c r="R94" i="12"/>
  <c r="W95" i="12"/>
  <c r="F106" i="12"/>
  <c r="AA106" i="12"/>
  <c r="AB106" i="12" s="1"/>
  <c r="I106" i="12"/>
  <c r="L107" i="12"/>
  <c r="Y107" i="12" s="1"/>
  <c r="P113" i="12"/>
  <c r="Y114" i="12"/>
  <c r="I114" i="12"/>
  <c r="Z114" i="12"/>
  <c r="AA114" i="12"/>
  <c r="AB114" i="12" s="1"/>
  <c r="AC114" i="12" s="1"/>
  <c r="Y118" i="12"/>
  <c r="Z118" i="12"/>
  <c r="F118" i="12"/>
  <c r="AA118" i="12"/>
  <c r="AB118" i="12" s="1"/>
  <c r="AC118" i="12" s="1"/>
  <c r="I118" i="12"/>
  <c r="G120" i="12"/>
  <c r="Z124" i="12"/>
  <c r="F124" i="12"/>
  <c r="AA124" i="12"/>
  <c r="AB124" i="12" s="1"/>
  <c r="AC124" i="12" s="1"/>
  <c r="I124" i="12"/>
  <c r="F125" i="12"/>
  <c r="I125" i="12"/>
  <c r="AA125" i="12"/>
  <c r="AB125" i="12" s="1"/>
  <c r="AC125" i="12" s="1"/>
  <c r="Z125" i="12"/>
  <c r="Q125" i="12"/>
  <c r="AA140" i="12"/>
  <c r="AB140" i="12" s="1"/>
  <c r="Q98" i="12"/>
  <c r="G98" i="12"/>
  <c r="O98" i="12" s="1"/>
  <c r="D98" i="12"/>
  <c r="P98" i="12" s="1"/>
  <c r="Z101" i="12"/>
  <c r="F101" i="12"/>
  <c r="Z103" i="12"/>
  <c r="J108" i="12"/>
  <c r="E108" i="12"/>
  <c r="P108" i="12" s="1"/>
  <c r="H108" i="12"/>
  <c r="T108" i="12" s="1"/>
  <c r="AE107" i="12"/>
  <c r="AF107" i="12" s="1"/>
  <c r="N108" i="12"/>
  <c r="Y108" i="12" s="1"/>
  <c r="M108" i="12"/>
  <c r="Q122" i="12"/>
  <c r="D122" i="12"/>
  <c r="P122" i="12"/>
  <c r="H126" i="12"/>
  <c r="T126" i="12" s="1"/>
  <c r="L126" i="12"/>
  <c r="E126" i="12"/>
  <c r="M126" i="12"/>
  <c r="M128" i="12"/>
  <c r="E128" i="12"/>
  <c r="U128" i="12" s="1"/>
  <c r="H128" i="12"/>
  <c r="N128" i="12"/>
  <c r="F129" i="12"/>
  <c r="Z129" i="12"/>
  <c r="Q129" i="12"/>
  <c r="Y129" i="12"/>
  <c r="M132" i="12"/>
  <c r="L132" i="12"/>
  <c r="H132" i="12"/>
  <c r="AE131" i="12"/>
  <c r="AF131" i="12" s="1"/>
  <c r="E132" i="12"/>
  <c r="U132" i="12" s="1"/>
  <c r="U144" i="12"/>
  <c r="I144" i="12"/>
  <c r="AA144" i="12"/>
  <c r="AB144" i="12" s="1"/>
  <c r="AC144" i="12" s="1"/>
  <c r="Z144" i="12"/>
  <c r="U148" i="12"/>
  <c r="Y154" i="12"/>
  <c r="I154" i="12"/>
  <c r="Z154" i="12"/>
  <c r="AA154" i="12"/>
  <c r="AB154" i="12" s="1"/>
  <c r="AC154" i="12" s="1"/>
  <c r="F154" i="12"/>
  <c r="D165" i="12"/>
  <c r="P165" i="12" s="1"/>
  <c r="G165" i="12"/>
  <c r="AA172" i="12"/>
  <c r="AB172" i="12" s="1"/>
  <c r="D172" i="12"/>
  <c r="P172" i="12" s="1"/>
  <c r="Q172" i="12"/>
  <c r="G172" i="12"/>
  <c r="L64" i="12"/>
  <c r="T64" i="12" s="1"/>
  <c r="V64" i="12"/>
  <c r="Q65" i="12"/>
  <c r="P65" i="12"/>
  <c r="F68" i="12"/>
  <c r="Z68" i="12"/>
  <c r="Y68" i="12"/>
  <c r="L81" i="12"/>
  <c r="O81" i="12" s="1"/>
  <c r="J82" i="12"/>
  <c r="P82" i="12" s="1"/>
  <c r="V82" i="12"/>
  <c r="M82" i="12"/>
  <c r="O82" i="12" s="1"/>
  <c r="L83" i="12"/>
  <c r="Q84" i="12"/>
  <c r="R84" i="12" s="1"/>
  <c r="G84" i="12"/>
  <c r="O84" i="12" s="1"/>
  <c r="Z85" i="12"/>
  <c r="AA86" i="12"/>
  <c r="AB86" i="12" s="1"/>
  <c r="AC86" i="12" s="1"/>
  <c r="I86" i="12"/>
  <c r="Y87" i="12"/>
  <c r="L94" i="12"/>
  <c r="P95" i="12"/>
  <c r="F98" i="12"/>
  <c r="Z98" i="12"/>
  <c r="AA98" i="12"/>
  <c r="AB98" i="12" s="1"/>
  <c r="AC98" i="12" s="1"/>
  <c r="AA103" i="12"/>
  <c r="AB103" i="12" s="1"/>
  <c r="AC103" i="12" s="1"/>
  <c r="U106" i="12"/>
  <c r="L106" i="12"/>
  <c r="Y106" i="12" s="1"/>
  <c r="J106" i="12"/>
  <c r="O111" i="12"/>
  <c r="D111" i="12"/>
  <c r="P111" i="12" s="1"/>
  <c r="H114" i="12"/>
  <c r="AE113" i="12"/>
  <c r="AF113" i="12" s="1"/>
  <c r="E114" i="12"/>
  <c r="N114" i="12"/>
  <c r="Z116" i="12"/>
  <c r="Y116" i="12"/>
  <c r="E117" i="12"/>
  <c r="U117" i="12" s="1"/>
  <c r="N117" i="12"/>
  <c r="T117" i="12" s="1"/>
  <c r="U121" i="12"/>
  <c r="L121" i="12"/>
  <c r="T121" i="12" s="1"/>
  <c r="E121" i="12"/>
  <c r="J121" i="12"/>
  <c r="Y122" i="12"/>
  <c r="I122" i="12"/>
  <c r="Z122" i="12"/>
  <c r="AA122" i="12"/>
  <c r="AB122" i="12" s="1"/>
  <c r="AC122" i="12" s="1"/>
  <c r="F144" i="12"/>
  <c r="Y144" i="12"/>
  <c r="Q152" i="12"/>
  <c r="O155" i="12"/>
  <c r="H158" i="12"/>
  <c r="T158" i="12" s="1"/>
  <c r="AE158" i="12"/>
  <c r="AF158" i="12" s="1"/>
  <c r="N158" i="12"/>
  <c r="L158" i="12"/>
  <c r="J158" i="12"/>
  <c r="M158" i="12"/>
  <c r="Q168" i="12"/>
  <c r="R168" i="12" s="1"/>
  <c r="G168" i="12"/>
  <c r="D168" i="12"/>
  <c r="P168" i="12" s="1"/>
  <c r="I152" i="12"/>
  <c r="Z152" i="12"/>
  <c r="F152" i="12"/>
  <c r="N169" i="12"/>
  <c r="E169" i="12"/>
  <c r="L169" i="12"/>
  <c r="Y169" i="12" s="1"/>
  <c r="AE168" i="12"/>
  <c r="AF168" i="12" s="1"/>
  <c r="M169" i="12"/>
  <c r="J169" i="12"/>
  <c r="H169" i="12"/>
  <c r="T169" i="12" s="1"/>
  <c r="R191" i="12"/>
  <c r="S191" i="12" s="1"/>
  <c r="Z166" i="12"/>
  <c r="I166" i="12"/>
  <c r="Y166" i="12" s="1"/>
  <c r="F166" i="12"/>
  <c r="AA166" i="12"/>
  <c r="AB166" i="12" s="1"/>
  <c r="Y188" i="12"/>
  <c r="AA188" i="12"/>
  <c r="AB188" i="12" s="1"/>
  <c r="I188" i="12"/>
  <c r="F188" i="12"/>
  <c r="F149" i="12"/>
  <c r="I149" i="12"/>
  <c r="Z149" i="12"/>
  <c r="Y149" i="12"/>
  <c r="AB153" i="12"/>
  <c r="U158" i="12"/>
  <c r="Z188" i="12"/>
  <c r="L52" i="12"/>
  <c r="T52" i="12" s="1"/>
  <c r="Q53" i="12"/>
  <c r="R53" i="12" s="1"/>
  <c r="D53" i="12"/>
  <c r="P53" i="12" s="1"/>
  <c r="D55" i="12"/>
  <c r="P55" i="12" s="1"/>
  <c r="Q55" i="12"/>
  <c r="R55" i="12" s="1"/>
  <c r="G55" i="12"/>
  <c r="Z56" i="12"/>
  <c r="U59" i="12"/>
  <c r="Z59" i="12"/>
  <c r="H69" i="12"/>
  <c r="N69" i="12"/>
  <c r="L69" i="12"/>
  <c r="U71" i="12"/>
  <c r="M71" i="12"/>
  <c r="L71" i="12"/>
  <c r="D72" i="12"/>
  <c r="AA74" i="12"/>
  <c r="AB74" i="12" s="1"/>
  <c r="AC74" i="12" s="1"/>
  <c r="Z74" i="12"/>
  <c r="Q74" i="12"/>
  <c r="D75" i="12"/>
  <c r="P75" i="12" s="1"/>
  <c r="Y76" i="12"/>
  <c r="L88" i="12"/>
  <c r="U91" i="12"/>
  <c r="M91" i="12"/>
  <c r="E91" i="12"/>
  <c r="L91" i="12"/>
  <c r="AA93" i="12"/>
  <c r="AB93" i="12" s="1"/>
  <c r="AC93" i="12" s="1"/>
  <c r="H95" i="12"/>
  <c r="N95" i="12"/>
  <c r="L95" i="12"/>
  <c r="U101" i="12"/>
  <c r="M101" i="12"/>
  <c r="T101" i="12" s="1"/>
  <c r="N101" i="12"/>
  <c r="Y101" i="12"/>
  <c r="H103" i="12"/>
  <c r="U103" i="12"/>
  <c r="L103" i="12"/>
  <c r="J103" i="12"/>
  <c r="AA104" i="12"/>
  <c r="AB104" i="12" s="1"/>
  <c r="AC104" i="12" s="1"/>
  <c r="Z104" i="12"/>
  <c r="D105" i="12"/>
  <c r="O105" i="12"/>
  <c r="G105" i="12"/>
  <c r="P105" i="12"/>
  <c r="Q107" i="12"/>
  <c r="R107" i="12" s="1"/>
  <c r="S107" i="12" s="1"/>
  <c r="G107" i="12"/>
  <c r="O107" i="12"/>
  <c r="J114" i="12"/>
  <c r="P115" i="12"/>
  <c r="AA116" i="12"/>
  <c r="AB116" i="12" s="1"/>
  <c r="AC116" i="12" s="1"/>
  <c r="J117" i="12"/>
  <c r="J126" i="12"/>
  <c r="L128" i="12"/>
  <c r="T128" i="12" s="1"/>
  <c r="N132" i="12"/>
  <c r="Y134" i="12"/>
  <c r="Z134" i="12"/>
  <c r="F134" i="12"/>
  <c r="I134" i="12"/>
  <c r="AA134" i="12"/>
  <c r="AB134" i="12" s="1"/>
  <c r="AC134" i="12" s="1"/>
  <c r="Q144" i="12"/>
  <c r="P151" i="12"/>
  <c r="Y162" i="12"/>
  <c r="Z162" i="12"/>
  <c r="F162" i="12"/>
  <c r="I162" i="12"/>
  <c r="T14" i="12"/>
  <c r="Q17" i="12"/>
  <c r="R17" i="12" s="1"/>
  <c r="O20" i="12"/>
  <c r="T30" i="12"/>
  <c r="Q33" i="12"/>
  <c r="R33" i="12" s="1"/>
  <c r="L49" i="12"/>
  <c r="T49" i="12" s="1"/>
  <c r="J50" i="12"/>
  <c r="V50" i="12"/>
  <c r="M50" i="12"/>
  <c r="T50" i="12" s="1"/>
  <c r="U50" i="12"/>
  <c r="L51" i="12"/>
  <c r="T51" i="12" s="1"/>
  <c r="Q52" i="12"/>
  <c r="R52" i="12" s="1"/>
  <c r="G52" i="12"/>
  <c r="O53" i="12"/>
  <c r="Z53" i="12"/>
  <c r="AA54" i="12"/>
  <c r="I54" i="12"/>
  <c r="U55" i="12"/>
  <c r="Z55" i="12"/>
  <c r="O55" i="12"/>
  <c r="Y55" i="12"/>
  <c r="AA56" i="12"/>
  <c r="AB56" i="12" s="1"/>
  <c r="AC56" i="12" s="1"/>
  <c r="F59" i="12"/>
  <c r="AA59" i="12"/>
  <c r="AB59" i="12" s="1"/>
  <c r="AC59" i="12" s="1"/>
  <c r="H64" i="12"/>
  <c r="L68" i="12"/>
  <c r="T68" i="12" s="1"/>
  <c r="Q69" i="12"/>
  <c r="R69" i="12" s="1"/>
  <c r="S69" i="12" s="1"/>
  <c r="D69" i="12"/>
  <c r="P69" i="12" s="1"/>
  <c r="M69" i="12"/>
  <c r="D71" i="12"/>
  <c r="P71" i="12" s="1"/>
  <c r="Q71" i="12"/>
  <c r="G71" i="12"/>
  <c r="N71" i="12"/>
  <c r="P72" i="12"/>
  <c r="Z72" i="12"/>
  <c r="Z73" i="12"/>
  <c r="Z76" i="12"/>
  <c r="AE81" i="12"/>
  <c r="AF81" i="12" s="1"/>
  <c r="H83" i="12"/>
  <c r="T83" i="12"/>
  <c r="H85" i="12"/>
  <c r="N85" i="12"/>
  <c r="O85" i="12" s="1"/>
  <c r="L85" i="12"/>
  <c r="U87" i="12"/>
  <c r="M87" i="12"/>
  <c r="L87" i="12"/>
  <c r="O88" i="12"/>
  <c r="D88" i="12"/>
  <c r="P88" i="12" s="1"/>
  <c r="M88" i="12"/>
  <c r="AA90" i="12"/>
  <c r="AB90" i="12" s="1"/>
  <c r="AC90" i="12" s="1"/>
  <c r="Z90" i="12"/>
  <c r="Q90" i="12"/>
  <c r="R90" i="12" s="1"/>
  <c r="D91" i="12"/>
  <c r="P91" i="12" s="1"/>
  <c r="N91" i="12"/>
  <c r="AA92" i="12"/>
  <c r="AB92" i="12" s="1"/>
  <c r="AC92" i="12" s="1"/>
  <c r="F92" i="12"/>
  <c r="Z92" i="12"/>
  <c r="H94" i="12"/>
  <c r="T94" i="12" s="1"/>
  <c r="U94" i="12"/>
  <c r="M95" i="12"/>
  <c r="Y98" i="12"/>
  <c r="D101" i="12"/>
  <c r="P101" i="12" s="1"/>
  <c r="Q101" i="12"/>
  <c r="G101" i="12"/>
  <c r="O101" i="12" s="1"/>
  <c r="AA101" i="12"/>
  <c r="AB101" i="12" s="1"/>
  <c r="AC101" i="12" s="1"/>
  <c r="M103" i="12"/>
  <c r="U105" i="12"/>
  <c r="Q105" i="12"/>
  <c r="H106" i="12"/>
  <c r="T106" i="12"/>
  <c r="I107" i="12"/>
  <c r="L108" i="12"/>
  <c r="F110" i="12"/>
  <c r="I110" i="12"/>
  <c r="Z110" i="12"/>
  <c r="Q110" i="12"/>
  <c r="R110" i="12" s="1"/>
  <c r="L114" i="12"/>
  <c r="T114" i="12" s="1"/>
  <c r="L117" i="12"/>
  <c r="O117" i="12" s="1"/>
  <c r="U118" i="12"/>
  <c r="M121" i="12"/>
  <c r="O122" i="12"/>
  <c r="AE125" i="12"/>
  <c r="AF125" i="12" s="1"/>
  <c r="N126" i="12"/>
  <c r="Y130" i="12"/>
  <c r="I130" i="12"/>
  <c r="AA130" i="12"/>
  <c r="AB130" i="12" s="1"/>
  <c r="AC130" i="12" s="1"/>
  <c r="Z130" i="12"/>
  <c r="F130" i="12"/>
  <c r="F137" i="12"/>
  <c r="Z137" i="12"/>
  <c r="Y137" i="12"/>
  <c r="AA137" i="12"/>
  <c r="AB137" i="12" s="1"/>
  <c r="U141" i="12"/>
  <c r="AA149" i="12"/>
  <c r="AB149" i="12" s="1"/>
  <c r="Q154" i="12"/>
  <c r="D154" i="12"/>
  <c r="G154" i="12"/>
  <c r="V165" i="12"/>
  <c r="N165" i="12"/>
  <c r="E165" i="12"/>
  <c r="M165" i="12"/>
  <c r="L165" i="12"/>
  <c r="J165" i="12"/>
  <c r="H165" i="12"/>
  <c r="T165" i="12" s="1"/>
  <c r="Z167" i="12"/>
  <c r="I167" i="12"/>
  <c r="Y167" i="12"/>
  <c r="F167" i="12"/>
  <c r="AA167" i="12"/>
  <c r="AB167" i="12" s="1"/>
  <c r="AC167" i="12" s="1"/>
  <c r="Q184" i="12"/>
  <c r="G184" i="12"/>
  <c r="O184" i="12" s="1"/>
  <c r="P184" i="12"/>
  <c r="D184" i="12"/>
  <c r="AB208" i="12"/>
  <c r="U110" i="12"/>
  <c r="J110" i="12"/>
  <c r="AE109" i="12"/>
  <c r="AF109" i="12" s="1"/>
  <c r="M110" i="12"/>
  <c r="T110" i="12" s="1"/>
  <c r="L113" i="12"/>
  <c r="N113" i="12"/>
  <c r="O113" i="12" s="1"/>
  <c r="J113" i="12"/>
  <c r="U113" i="12" s="1"/>
  <c r="M116" i="12"/>
  <c r="L116" i="12"/>
  <c r="E116" i="12"/>
  <c r="U116" i="12" s="1"/>
  <c r="N116" i="12"/>
  <c r="H118" i="12"/>
  <c r="L118" i="12"/>
  <c r="T118" i="12" s="1"/>
  <c r="N118" i="12"/>
  <c r="L129" i="12"/>
  <c r="T129" i="12"/>
  <c r="H129" i="12"/>
  <c r="AE128" i="12"/>
  <c r="AF128" i="12" s="1"/>
  <c r="M129" i="12"/>
  <c r="N129" i="12"/>
  <c r="AA131" i="12"/>
  <c r="AB131" i="12" s="1"/>
  <c r="AC131" i="12" s="1"/>
  <c r="I131" i="12"/>
  <c r="F131" i="12"/>
  <c r="Q131" i="12"/>
  <c r="F141" i="12"/>
  <c r="I141" i="12"/>
  <c r="AA141" i="12"/>
  <c r="Z141" i="12"/>
  <c r="F145" i="12"/>
  <c r="Z145" i="12"/>
  <c r="Q145" i="12"/>
  <c r="Z148" i="12"/>
  <c r="O149" i="12"/>
  <c r="D149" i="12"/>
  <c r="Q149" i="12"/>
  <c r="Z150" i="12"/>
  <c r="F150" i="12"/>
  <c r="P158" i="12"/>
  <c r="G158" i="12"/>
  <c r="O158" i="12" s="1"/>
  <c r="Q158" i="12"/>
  <c r="Q161" i="12"/>
  <c r="R161" i="12" s="1"/>
  <c r="G161" i="12"/>
  <c r="D161" i="12"/>
  <c r="J185" i="12"/>
  <c r="P185" i="12" s="1"/>
  <c r="N185" i="12"/>
  <c r="H185" i="12"/>
  <c r="E185" i="12"/>
  <c r="AE184" i="12"/>
  <c r="AF184" i="12" s="1"/>
  <c r="M185" i="12"/>
  <c r="L185" i="12"/>
  <c r="O185" i="12" s="1"/>
  <c r="AE185" i="12"/>
  <c r="AF185" i="12" s="1"/>
  <c r="AA139" i="12"/>
  <c r="I139" i="12"/>
  <c r="Y139" i="12" s="1"/>
  <c r="Z139" i="12"/>
  <c r="T141" i="12"/>
  <c r="J143" i="12"/>
  <c r="M143" i="12"/>
  <c r="U143" i="12"/>
  <c r="H143" i="12"/>
  <c r="N143" i="12"/>
  <c r="L143" i="12"/>
  <c r="AA148" i="12"/>
  <c r="AB148" i="12" s="1"/>
  <c r="F153" i="12"/>
  <c r="Z153" i="12"/>
  <c r="O161" i="12"/>
  <c r="F183" i="12"/>
  <c r="I183" i="12"/>
  <c r="Z183" i="12"/>
  <c r="AA183" i="12"/>
  <c r="Y183" i="12"/>
  <c r="Y192" i="12"/>
  <c r="Z192" i="12"/>
  <c r="F192" i="12"/>
  <c r="AA192" i="12"/>
  <c r="AB192" i="12" s="1"/>
  <c r="I192" i="12"/>
  <c r="Q146" i="12"/>
  <c r="D146" i="12"/>
  <c r="P146" i="12"/>
  <c r="M148" i="12"/>
  <c r="L148" i="12"/>
  <c r="H148" i="12"/>
  <c r="N148" i="12"/>
  <c r="H150" i="12"/>
  <c r="U150" i="12"/>
  <c r="L150" i="12"/>
  <c r="E150" i="12"/>
  <c r="J150" i="12"/>
  <c r="D152" i="12"/>
  <c r="F156" i="12"/>
  <c r="AA156" i="12"/>
  <c r="AB156" i="12" s="1"/>
  <c r="Z156" i="12"/>
  <c r="D159" i="12"/>
  <c r="P159" i="12" s="1"/>
  <c r="O159" i="12"/>
  <c r="P161" i="12"/>
  <c r="Z163" i="12"/>
  <c r="I163" i="12"/>
  <c r="Y163" i="12" s="1"/>
  <c r="AA163" i="12"/>
  <c r="AB163" i="12" s="1"/>
  <c r="F163" i="12"/>
  <c r="R164" i="12"/>
  <c r="S164" i="12" s="1"/>
  <c r="I169" i="12"/>
  <c r="F169" i="12"/>
  <c r="AA169" i="12"/>
  <c r="AB169" i="12" s="1"/>
  <c r="Z170" i="12"/>
  <c r="F170" i="12"/>
  <c r="U170" i="12"/>
  <c r="AA170" i="12"/>
  <c r="AB170" i="12" s="1"/>
  <c r="AC170" i="12" s="1"/>
  <c r="Y170" i="12"/>
  <c r="Z175" i="12"/>
  <c r="I175" i="12"/>
  <c r="Y175" i="12" s="1"/>
  <c r="F175" i="12"/>
  <c r="AA175" i="12"/>
  <c r="L180" i="12"/>
  <c r="J180" i="12"/>
  <c r="U180" i="12" s="1"/>
  <c r="N180" i="12"/>
  <c r="V180" i="12"/>
  <c r="H180" i="12"/>
  <c r="M180" i="12"/>
  <c r="T180" i="12" s="1"/>
  <c r="AA197" i="12"/>
  <c r="I197" i="12"/>
  <c r="F197" i="12"/>
  <c r="Y197" i="12"/>
  <c r="Z197" i="12"/>
  <c r="AE177" i="12"/>
  <c r="AF177" i="12" s="1"/>
  <c r="N178" i="12"/>
  <c r="L178" i="12"/>
  <c r="T178" i="12" s="1"/>
  <c r="E178" i="12"/>
  <c r="U178" i="12"/>
  <c r="W182" i="12"/>
  <c r="AE182" i="12" s="1"/>
  <c r="U189" i="12"/>
  <c r="O191" i="12"/>
  <c r="P191" i="12"/>
  <c r="G191" i="12"/>
  <c r="F204" i="12"/>
  <c r="I204" i="12"/>
  <c r="AA204" i="12"/>
  <c r="AB204" i="12" s="1"/>
  <c r="AC204" i="12" s="1"/>
  <c r="Z204" i="12"/>
  <c r="Y204" i="12"/>
  <c r="O131" i="12"/>
  <c r="Z132" i="12"/>
  <c r="Q132" i="12"/>
  <c r="R132" i="12" s="1"/>
  <c r="AA132" i="12"/>
  <c r="AB132" i="12" s="1"/>
  <c r="AC132" i="12" s="1"/>
  <c r="M137" i="12"/>
  <c r="M140" i="12"/>
  <c r="L140" i="12"/>
  <c r="Y140" i="12" s="1"/>
  <c r="N140" i="12"/>
  <c r="H142" i="12"/>
  <c r="L142" i="12"/>
  <c r="M142" i="12"/>
  <c r="J145" i="12"/>
  <c r="P145" i="12" s="1"/>
  <c r="L156" i="12"/>
  <c r="N156" i="12"/>
  <c r="Y156" i="12" s="1"/>
  <c r="M156" i="12"/>
  <c r="G166" i="12"/>
  <c r="O166" i="12" s="1"/>
  <c r="D166" i="12"/>
  <c r="P166" i="12" s="1"/>
  <c r="O167" i="12"/>
  <c r="D167" i="12"/>
  <c r="P167" i="12" s="1"/>
  <c r="G167" i="12"/>
  <c r="Q167" i="12"/>
  <c r="AE173" i="12"/>
  <c r="AF173" i="12" s="1"/>
  <c r="M174" i="12"/>
  <c r="H174" i="12"/>
  <c r="T174" i="12" s="1"/>
  <c r="J174" i="12"/>
  <c r="U174" i="12" s="1"/>
  <c r="N174" i="12"/>
  <c r="O174" i="12" s="1"/>
  <c r="U200" i="12"/>
  <c r="J202" i="12"/>
  <c r="E202" i="12"/>
  <c r="U202" i="12" s="1"/>
  <c r="N202" i="12"/>
  <c r="L202" i="12"/>
  <c r="Y202" i="12" s="1"/>
  <c r="M202" i="12"/>
  <c r="H202" i="12"/>
  <c r="R181" i="12"/>
  <c r="D191" i="12"/>
  <c r="AA202" i="12"/>
  <c r="AB202" i="12" s="1"/>
  <c r="I202" i="12"/>
  <c r="F202" i="12"/>
  <c r="R173" i="12"/>
  <c r="O176" i="12"/>
  <c r="G176" i="12"/>
  <c r="Q176" i="12"/>
  <c r="H178" i="12"/>
  <c r="T179" i="12"/>
  <c r="R186" i="12"/>
  <c r="V186" i="12"/>
  <c r="M199" i="12"/>
  <c r="N199" i="12"/>
  <c r="T199" i="12" s="1"/>
  <c r="L199" i="12"/>
  <c r="E199" i="12"/>
  <c r="J199" i="12"/>
  <c r="H199" i="12"/>
  <c r="AA123" i="12"/>
  <c r="I123" i="12"/>
  <c r="Z123" i="12"/>
  <c r="M125" i="12"/>
  <c r="T125" i="12" s="1"/>
  <c r="D128" i="12"/>
  <c r="P128" i="12" s="1"/>
  <c r="O128" i="12"/>
  <c r="H130" i="12"/>
  <c r="AE129" i="12"/>
  <c r="AF129" i="12" s="1"/>
  <c r="N130" i="12"/>
  <c r="M130" i="12"/>
  <c r="T130" i="12" s="1"/>
  <c r="D133" i="12"/>
  <c r="P133" i="12" s="1"/>
  <c r="J135" i="12"/>
  <c r="V135" i="12"/>
  <c r="M135" i="12"/>
  <c r="U135" i="12"/>
  <c r="M136" i="12"/>
  <c r="E136" i="12"/>
  <c r="U136" i="12" s="1"/>
  <c r="N136" i="12"/>
  <c r="T136" i="12" s="1"/>
  <c r="E137" i="12"/>
  <c r="U137" i="12" s="1"/>
  <c r="H138" i="12"/>
  <c r="T138" i="12" s="1"/>
  <c r="N138" i="12"/>
  <c r="AE137" i="12"/>
  <c r="AF137" i="12" s="1"/>
  <c r="M138" i="12"/>
  <c r="M141" i="12"/>
  <c r="E142" i="12"/>
  <c r="M144" i="12"/>
  <c r="T144" i="12" s="1"/>
  <c r="E144" i="12"/>
  <c r="N144" i="12"/>
  <c r="E145" i="12"/>
  <c r="U145" i="12" s="1"/>
  <c r="AA147" i="12"/>
  <c r="AB147" i="12" s="1"/>
  <c r="AC147" i="12" s="1"/>
  <c r="I147" i="12"/>
  <c r="P150" i="12"/>
  <c r="AA155" i="12"/>
  <c r="AB155" i="12" s="1"/>
  <c r="AC155" i="12" s="1"/>
  <c r="I155" i="12"/>
  <c r="Y155" i="12" s="1"/>
  <c r="Z155" i="12"/>
  <c r="Z161" i="12"/>
  <c r="F161" i="12"/>
  <c r="I161" i="12"/>
  <c r="L170" i="12"/>
  <c r="T170" i="12" s="1"/>
  <c r="J170" i="12"/>
  <c r="H170" i="12"/>
  <c r="AA171" i="12"/>
  <c r="AB171" i="12" s="1"/>
  <c r="Q171" i="12"/>
  <c r="G171" i="12"/>
  <c r="O171" i="12" s="1"/>
  <c r="D173" i="12"/>
  <c r="P173" i="12" s="1"/>
  <c r="P176" i="12"/>
  <c r="Z177" i="12"/>
  <c r="Q177" i="12"/>
  <c r="R177" i="12" s="1"/>
  <c r="F177" i="12"/>
  <c r="I177" i="12"/>
  <c r="Y177" i="12"/>
  <c r="J178" i="12"/>
  <c r="O179" i="12"/>
  <c r="G179" i="12"/>
  <c r="Q179" i="12"/>
  <c r="P179" i="12"/>
  <c r="H188" i="12"/>
  <c r="E188" i="12"/>
  <c r="U188" i="12" s="1"/>
  <c r="L188" i="12"/>
  <c r="M188" i="12"/>
  <c r="J188" i="12"/>
  <c r="Q196" i="12"/>
  <c r="R196" i="12" s="1"/>
  <c r="S196" i="12" s="1"/>
  <c r="D196" i="12"/>
  <c r="P196" i="12"/>
  <c r="G196" i="12"/>
  <c r="O196" i="12"/>
  <c r="AA196" i="12"/>
  <c r="AB196" i="12" s="1"/>
  <c r="T38" i="12"/>
  <c r="Q41" i="12"/>
  <c r="O44" i="12"/>
  <c r="T54" i="12"/>
  <c r="Q57" i="12"/>
  <c r="R57" i="12" s="1"/>
  <c r="O60" i="12"/>
  <c r="T70" i="12"/>
  <c r="Q73" i="12"/>
  <c r="R73" i="12" s="1"/>
  <c r="S73" i="12" s="1"/>
  <c r="T86" i="12"/>
  <c r="Q89" i="12"/>
  <c r="R89" i="12" s="1"/>
  <c r="O92" i="12"/>
  <c r="U93" i="12"/>
  <c r="M93" i="12"/>
  <c r="L93" i="12"/>
  <c r="J93" i="12"/>
  <c r="O94" i="12"/>
  <c r="Y95" i="12"/>
  <c r="Z95" i="12"/>
  <c r="F95" i="12"/>
  <c r="Y97" i="12"/>
  <c r="D112" i="12"/>
  <c r="O112" i="12"/>
  <c r="Y113" i="12"/>
  <c r="J119" i="12"/>
  <c r="P119" i="12" s="1"/>
  <c r="V119" i="12"/>
  <c r="M119" i="12"/>
  <c r="O119" i="12" s="1"/>
  <c r="AE118" i="12"/>
  <c r="AF118" i="12" s="1"/>
  <c r="M120" i="12"/>
  <c r="T120" i="12" s="1"/>
  <c r="E120" i="12"/>
  <c r="U120" i="12" s="1"/>
  <c r="N120" i="12"/>
  <c r="H122" i="12"/>
  <c r="N122" i="12"/>
  <c r="M122" i="12"/>
  <c r="O125" i="12"/>
  <c r="D125" i="12"/>
  <c r="P125" i="12" s="1"/>
  <c r="J127" i="12"/>
  <c r="P127" i="12" s="1"/>
  <c r="AE126" i="12"/>
  <c r="AF126" i="12" s="1"/>
  <c r="M127" i="12"/>
  <c r="T127" i="12" s="1"/>
  <c r="Q128" i="12"/>
  <c r="R128" i="12" s="1"/>
  <c r="Q130" i="12"/>
  <c r="D130" i="12"/>
  <c r="P130" i="12" s="1"/>
  <c r="I132" i="12"/>
  <c r="F133" i="12"/>
  <c r="I133" i="12"/>
  <c r="Q133" i="12"/>
  <c r="R133" i="12" s="1"/>
  <c r="S133" i="12" s="1"/>
  <c r="L135" i="12"/>
  <c r="T135" i="12" s="1"/>
  <c r="D136" i="12"/>
  <c r="O136" i="12"/>
  <c r="P136" i="12"/>
  <c r="H137" i="12"/>
  <c r="T137" i="12" s="1"/>
  <c r="Q138" i="12"/>
  <c r="D138" i="12"/>
  <c r="P138" i="12" s="1"/>
  <c r="O138" i="12"/>
  <c r="H140" i="12"/>
  <c r="O141" i="12"/>
  <c r="D141" i="12"/>
  <c r="P141" i="12"/>
  <c r="D144" i="12"/>
  <c r="P144" i="12" s="1"/>
  <c r="O144" i="12"/>
  <c r="H146" i="12"/>
  <c r="T146" i="12" s="1"/>
  <c r="AE145" i="12"/>
  <c r="AF145" i="12" s="1"/>
  <c r="N146" i="12"/>
  <c r="O146" i="12" s="1"/>
  <c r="M146" i="12"/>
  <c r="Q147" i="12"/>
  <c r="M149" i="12"/>
  <c r="T149" i="12" s="1"/>
  <c r="U152" i="12"/>
  <c r="M152" i="12"/>
  <c r="Y152" i="12" s="1"/>
  <c r="E152" i="12"/>
  <c r="N152" i="12"/>
  <c r="H154" i="12"/>
  <c r="T154" i="12" s="1"/>
  <c r="N154" i="12"/>
  <c r="M154" i="12"/>
  <c r="H156" i="12"/>
  <c r="T156" i="12" s="1"/>
  <c r="V156" i="12"/>
  <c r="P164" i="12"/>
  <c r="O164" i="12"/>
  <c r="G164" i="12"/>
  <c r="Y173" i="12"/>
  <c r="F173" i="12"/>
  <c r="I173" i="12"/>
  <c r="Z173" i="12"/>
  <c r="D176" i="12"/>
  <c r="AA177" i="12"/>
  <c r="AB177" i="12" s="1"/>
  <c r="AC177" i="12" s="1"/>
  <c r="M178" i="12"/>
  <c r="Y190" i="12"/>
  <c r="Z202" i="12"/>
  <c r="AB209" i="12"/>
  <c r="O169" i="12"/>
  <c r="D169" i="12"/>
  <c r="P169" i="12"/>
  <c r="G174" i="12"/>
  <c r="G178" i="12"/>
  <c r="D178" i="12"/>
  <c r="O178" i="12"/>
  <c r="AA178" i="12"/>
  <c r="AB178" i="12" s="1"/>
  <c r="AC178" i="12" s="1"/>
  <c r="J181" i="12"/>
  <c r="M181" i="12"/>
  <c r="O181" i="12" s="1"/>
  <c r="N181" i="12"/>
  <c r="AE181" i="12"/>
  <c r="AF181" i="12" s="1"/>
  <c r="F187" i="12"/>
  <c r="AA187" i="12"/>
  <c r="AB187" i="12" s="1"/>
  <c r="AC187" i="12" s="1"/>
  <c r="Z187" i="12"/>
  <c r="W189" i="12"/>
  <c r="T195" i="12"/>
  <c r="H209" i="12"/>
  <c r="T209" i="12" s="1"/>
  <c r="N209" i="12"/>
  <c r="M209" i="12"/>
  <c r="U209" i="12"/>
  <c r="J209" i="12"/>
  <c r="E209" i="12"/>
  <c r="AE209" i="12"/>
  <c r="AF209" i="12" s="1"/>
  <c r="L209" i="12"/>
  <c r="O209" i="12" s="1"/>
  <c r="Q178" i="12"/>
  <c r="R178" i="12" s="1"/>
  <c r="M182" i="12"/>
  <c r="N182" i="12"/>
  <c r="E182" i="12"/>
  <c r="P182" i="12" s="1"/>
  <c r="S182" i="12" s="1"/>
  <c r="L182" i="12"/>
  <c r="O182" i="12" s="1"/>
  <c r="U194" i="12"/>
  <c r="M194" i="12"/>
  <c r="H194" i="12"/>
  <c r="T194" i="12" s="1"/>
  <c r="E194" i="12"/>
  <c r="L194" i="12"/>
  <c r="J194" i="12"/>
  <c r="U196" i="12"/>
  <c r="J206" i="12"/>
  <c r="V206" i="12"/>
  <c r="M206" i="12"/>
  <c r="U206" i="12"/>
  <c r="L206" i="12"/>
  <c r="E206" i="12"/>
  <c r="P206" i="12" s="1"/>
  <c r="N206" i="12"/>
  <c r="P221" i="12"/>
  <c r="R226" i="12"/>
  <c r="T131" i="12"/>
  <c r="Q134" i="12"/>
  <c r="R134" i="12" s="1"/>
  <c r="O137" i="12"/>
  <c r="T147" i="12"/>
  <c r="Q150" i="12"/>
  <c r="AA158" i="12"/>
  <c r="AB158" i="12" s="1"/>
  <c r="Z159" i="12"/>
  <c r="I159" i="12"/>
  <c r="Y159" i="12" s="1"/>
  <c r="N161" i="12"/>
  <c r="E161" i="12"/>
  <c r="U161" i="12" s="1"/>
  <c r="L161" i="12"/>
  <c r="G162" i="12"/>
  <c r="D162" i="12"/>
  <c r="P162" i="12" s="1"/>
  <c r="T163" i="12"/>
  <c r="T164" i="12"/>
  <c r="L164" i="12"/>
  <c r="Y164" i="12" s="1"/>
  <c r="U164" i="12"/>
  <c r="L168" i="12"/>
  <c r="O168" i="12" s="1"/>
  <c r="M168" i="12"/>
  <c r="J168" i="12"/>
  <c r="D174" i="12"/>
  <c r="P174" i="12" s="1"/>
  <c r="Q174" i="12"/>
  <c r="R174" i="12" s="1"/>
  <c r="N177" i="12"/>
  <c r="E177" i="12"/>
  <c r="P177" i="12" s="1"/>
  <c r="U177" i="12"/>
  <c r="L177" i="12"/>
  <c r="J177" i="12"/>
  <c r="AA181" i="12"/>
  <c r="Y181" i="12"/>
  <c r="F181" i="12"/>
  <c r="U181" i="12"/>
  <c r="I181" i="12"/>
  <c r="Z181" i="12"/>
  <c r="D194" i="12"/>
  <c r="P194" i="12"/>
  <c r="G194" i="12"/>
  <c r="V203" i="12"/>
  <c r="R203" i="12"/>
  <c r="S203" i="12" s="1"/>
  <c r="T214" i="12"/>
  <c r="D219" i="12"/>
  <c r="Q219" i="12"/>
  <c r="R219" i="12" s="1"/>
  <c r="S219" i="12" s="1"/>
  <c r="G219" i="12"/>
  <c r="O219" i="12"/>
  <c r="P219" i="12"/>
  <c r="Q192" i="12"/>
  <c r="R192" i="12" s="1"/>
  <c r="S192" i="12" s="1"/>
  <c r="O192" i="12"/>
  <c r="P192" i="12"/>
  <c r="G192" i="12"/>
  <c r="O195" i="12"/>
  <c r="P195" i="12"/>
  <c r="Q195" i="12"/>
  <c r="R195" i="12" s="1"/>
  <c r="S195" i="12" s="1"/>
  <c r="G195" i="12"/>
  <c r="T205" i="12"/>
  <c r="AA219" i="12"/>
  <c r="AB219" i="12" s="1"/>
  <c r="Z219" i="12"/>
  <c r="I219" i="12"/>
  <c r="F219" i="12"/>
  <c r="U225" i="12"/>
  <c r="AB227" i="12"/>
  <c r="AA214" i="12"/>
  <c r="AB214" i="12" s="1"/>
  <c r="AC214" i="12" s="1"/>
  <c r="Z214" i="12"/>
  <c r="Y214" i="12"/>
  <c r="F214" i="12"/>
  <c r="D223" i="12"/>
  <c r="P223" i="12" s="1"/>
  <c r="O223" i="12"/>
  <c r="G223" i="12"/>
  <c r="Q223" i="12"/>
  <c r="AA223" i="12"/>
  <c r="AB223" i="12" s="1"/>
  <c r="AE269" i="12"/>
  <c r="AF269" i="12" s="1"/>
  <c r="AE266" i="12"/>
  <c r="AF266" i="12" s="1"/>
  <c r="AE257" i="12"/>
  <c r="AF257" i="12" s="1"/>
  <c r="AE240" i="12"/>
  <c r="AF240" i="12" s="1"/>
  <c r="AE227" i="12"/>
  <c r="AF227" i="12" s="1"/>
  <c r="AE238" i="12"/>
  <c r="AF238" i="12" s="1"/>
  <c r="AE232" i="12"/>
  <c r="AF232" i="12" s="1"/>
  <c r="T100" i="12"/>
  <c r="Q103" i="12"/>
  <c r="O106" i="12"/>
  <c r="G121" i="12"/>
  <c r="Q121" i="12"/>
  <c r="T123" i="12"/>
  <c r="G124" i="12"/>
  <c r="Q124" i="12"/>
  <c r="R124" i="12" s="1"/>
  <c r="S124" i="12" s="1"/>
  <c r="Q126" i="12"/>
  <c r="Q127" i="12"/>
  <c r="R127" i="12" s="1"/>
  <c r="Z127" i="12"/>
  <c r="O129" i="12"/>
  <c r="E131" i="12"/>
  <c r="U131" i="12" s="1"/>
  <c r="P134" i="12"/>
  <c r="G137" i="12"/>
  <c r="Q137" i="12"/>
  <c r="T139" i="12"/>
  <c r="G140" i="12"/>
  <c r="Q140" i="12"/>
  <c r="R140" i="12" s="1"/>
  <c r="S140" i="12" s="1"/>
  <c r="Q143" i="12"/>
  <c r="R143" i="12" s="1"/>
  <c r="Z143" i="12"/>
  <c r="O145" i="12"/>
  <c r="E147" i="12"/>
  <c r="U147" i="12" s="1"/>
  <c r="G153" i="12"/>
  <c r="Q153" i="12"/>
  <c r="R153" i="12" s="1"/>
  <c r="T155" i="12"/>
  <c r="G156" i="12"/>
  <c r="I158" i="12"/>
  <c r="Y158" i="12" s="1"/>
  <c r="E164" i="12"/>
  <c r="E168" i="12"/>
  <c r="U168" i="12" s="1"/>
  <c r="L172" i="12"/>
  <c r="Y172" i="12" s="1"/>
  <c r="H172" i="12"/>
  <c r="N172" i="12"/>
  <c r="M172" i="12"/>
  <c r="Y178" i="12"/>
  <c r="Z179" i="12"/>
  <c r="I179" i="12"/>
  <c r="Y179" i="12"/>
  <c r="H181" i="12"/>
  <c r="T181" i="12" s="1"/>
  <c r="H182" i="12"/>
  <c r="U183" i="12"/>
  <c r="AA185" i="12"/>
  <c r="AB185" i="12" s="1"/>
  <c r="AC185" i="12" s="1"/>
  <c r="Y185" i="12"/>
  <c r="F185" i="12"/>
  <c r="Q185" i="12"/>
  <c r="R185" i="12" s="1"/>
  <c r="S185" i="12" s="1"/>
  <c r="I185" i="12"/>
  <c r="T187" i="12"/>
  <c r="Q188" i="12"/>
  <c r="R188" i="12" s="1"/>
  <c r="G188" i="12"/>
  <c r="O188" i="12" s="1"/>
  <c r="D188" i="12"/>
  <c r="P188" i="12" s="1"/>
  <c r="D190" i="12"/>
  <c r="Q190" i="12"/>
  <c r="O190" i="12"/>
  <c r="P190" i="12"/>
  <c r="O194" i="12"/>
  <c r="H196" i="12"/>
  <c r="M196" i="12"/>
  <c r="N196" i="12"/>
  <c r="T196" i="12" s="1"/>
  <c r="AB199" i="12"/>
  <c r="V200" i="12"/>
  <c r="AB200" i="12"/>
  <c r="O204" i="12"/>
  <c r="G204" i="12"/>
  <c r="D204" i="12"/>
  <c r="Q204" i="12"/>
  <c r="R204" i="12" s="1"/>
  <c r="S204" i="12" s="1"/>
  <c r="P204" i="12"/>
  <c r="D215" i="12"/>
  <c r="P215" i="12"/>
  <c r="O215" i="12"/>
  <c r="G215" i="12"/>
  <c r="Q215" i="12"/>
  <c r="H221" i="12"/>
  <c r="M221" i="12"/>
  <c r="U221" i="12"/>
  <c r="L221" i="12"/>
  <c r="O221" i="12" s="1"/>
  <c r="T221" i="12"/>
  <c r="E221" i="12"/>
  <c r="J221" i="12"/>
  <c r="Y184" i="12"/>
  <c r="AA184" i="12"/>
  <c r="AB184" i="12" s="1"/>
  <c r="AC184" i="12" s="1"/>
  <c r="O187" i="12"/>
  <c r="J189" i="12"/>
  <c r="P189" i="12" s="1"/>
  <c r="N189" i="12"/>
  <c r="AE189" i="12"/>
  <c r="AF189" i="12" s="1"/>
  <c r="L189" i="12"/>
  <c r="AA190" i="12"/>
  <c r="AB190" i="12" s="1"/>
  <c r="D198" i="12"/>
  <c r="P198" i="12"/>
  <c r="Q198" i="12"/>
  <c r="G198" i="12"/>
  <c r="O199" i="12"/>
  <c r="D199" i="12"/>
  <c r="G199" i="12"/>
  <c r="Q199" i="12"/>
  <c r="R199" i="12" s="1"/>
  <c r="S199" i="12" s="1"/>
  <c r="Z205" i="12"/>
  <c r="F205" i="12"/>
  <c r="AA205" i="12"/>
  <c r="AB205" i="12" s="1"/>
  <c r="I205" i="12"/>
  <c r="Y205" i="12" s="1"/>
  <c r="Y211" i="12"/>
  <c r="F211" i="12"/>
  <c r="I211" i="12"/>
  <c r="H216" i="12"/>
  <c r="U216" i="12"/>
  <c r="T216" i="12"/>
  <c r="E216" i="12"/>
  <c r="J216" i="12"/>
  <c r="M216" i="12"/>
  <c r="J226" i="12"/>
  <c r="E226" i="12"/>
  <c r="U226" i="12" s="1"/>
  <c r="H226" i="12"/>
  <c r="L226" i="12"/>
  <c r="AE226" i="12"/>
  <c r="AF226" i="12" s="1"/>
  <c r="U228" i="12"/>
  <c r="U229" i="12"/>
  <c r="P170" i="12"/>
  <c r="G170" i="12"/>
  <c r="V173" i="12"/>
  <c r="N173" i="12"/>
  <c r="O173" i="12" s="1"/>
  <c r="E173" i="12"/>
  <c r="U173" i="12" s="1"/>
  <c r="J173" i="12"/>
  <c r="T173" i="12"/>
  <c r="L176" i="12"/>
  <c r="T176" i="12" s="1"/>
  <c r="P181" i="12"/>
  <c r="D183" i="12"/>
  <c r="P183" i="12"/>
  <c r="D187" i="12"/>
  <c r="P187" i="12" s="1"/>
  <c r="Q187" i="12"/>
  <c r="Z189" i="12"/>
  <c r="F190" i="12"/>
  <c r="H192" i="12"/>
  <c r="T192" i="12" s="1"/>
  <c r="E192" i="12"/>
  <c r="U192" i="12" s="1"/>
  <c r="J192" i="12"/>
  <c r="J193" i="12"/>
  <c r="U193" i="12"/>
  <c r="L193" i="12"/>
  <c r="V193" i="12"/>
  <c r="M193" i="12"/>
  <c r="N193" i="12"/>
  <c r="T193" i="12" s="1"/>
  <c r="H193" i="12"/>
  <c r="Z200" i="12"/>
  <c r="I200" i="12"/>
  <c r="Y200" i="12" s="1"/>
  <c r="L201" i="12"/>
  <c r="T201" i="12" s="1"/>
  <c r="J201" i="12"/>
  <c r="H201" i="12"/>
  <c r="E201" i="12"/>
  <c r="U201" i="12" s="1"/>
  <c r="N201" i="12"/>
  <c r="H204" i="12"/>
  <c r="T204" i="12"/>
  <c r="E204" i="12"/>
  <c r="U204" i="12"/>
  <c r="L204" i="12"/>
  <c r="AB224" i="12"/>
  <c r="R227" i="12"/>
  <c r="AB239" i="12"/>
  <c r="U219" i="12"/>
  <c r="M219" i="12"/>
  <c r="Y219" i="12" s="1"/>
  <c r="H219" i="12"/>
  <c r="J219" i="12"/>
  <c r="L219" i="12"/>
  <c r="N219" i="12"/>
  <c r="E219" i="12"/>
  <c r="E245" i="12"/>
  <c r="AE244" i="12"/>
  <c r="AF244" i="12" s="1"/>
  <c r="H245" i="12"/>
  <c r="L245" i="12"/>
  <c r="J245" i="12"/>
  <c r="N245" i="12"/>
  <c r="M245" i="12"/>
  <c r="O245" i="12" s="1"/>
  <c r="U245" i="12"/>
  <c r="V157" i="12"/>
  <c r="N157" i="12"/>
  <c r="O157" i="12" s="1"/>
  <c r="E157" i="12"/>
  <c r="U157" i="12" s="1"/>
  <c r="J157" i="12"/>
  <c r="P157" i="12" s="1"/>
  <c r="T157" i="12"/>
  <c r="L160" i="12"/>
  <c r="AE165" i="12"/>
  <c r="AF165" i="12" s="1"/>
  <c r="J166" i="12"/>
  <c r="T166" i="12"/>
  <c r="Q170" i="12"/>
  <c r="Z171" i="12"/>
  <c r="I171" i="12"/>
  <c r="Y171" i="12" s="1"/>
  <c r="E176" i="12"/>
  <c r="U176" i="12" s="1"/>
  <c r="G186" i="12"/>
  <c r="O186" i="12" s="1"/>
  <c r="AE188" i="12"/>
  <c r="AF188" i="12" s="1"/>
  <c r="E193" i="12"/>
  <c r="F195" i="12"/>
  <c r="Y195" i="12"/>
  <c r="Z195" i="12"/>
  <c r="AA195" i="12"/>
  <c r="AB195" i="12" s="1"/>
  <c r="AC195" i="12" s="1"/>
  <c r="V201" i="12"/>
  <c r="M204" i="12"/>
  <c r="U211" i="12"/>
  <c r="M211" i="12"/>
  <c r="H211" i="12"/>
  <c r="T211" i="12" s="1"/>
  <c r="N211" i="12"/>
  <c r="AE210" i="12"/>
  <c r="AF210" i="12" s="1"/>
  <c r="L211" i="12"/>
  <c r="AA211" i="12"/>
  <c r="AB211" i="12" s="1"/>
  <c r="Y213" i="12"/>
  <c r="AA213" i="12"/>
  <c r="F213" i="12"/>
  <c r="AA218" i="12"/>
  <c r="I218" i="12"/>
  <c r="Y218" i="12" s="1"/>
  <c r="Z218" i="12"/>
  <c r="F218" i="12"/>
  <c r="AB221" i="12"/>
  <c r="P225" i="12"/>
  <c r="S225" i="12" s="1"/>
  <c r="N226" i="12"/>
  <c r="T226" i="12" s="1"/>
  <c r="R210" i="12"/>
  <c r="S210" i="12" s="1"/>
  <c r="D211" i="12"/>
  <c r="P211" i="12" s="1"/>
  <c r="Q211" i="12"/>
  <c r="R211" i="12" s="1"/>
  <c r="G211" i="12"/>
  <c r="AB220" i="12"/>
  <c r="AB238" i="12"/>
  <c r="Z233" i="12"/>
  <c r="I233" i="12"/>
  <c r="F233" i="12"/>
  <c r="AA233" i="12"/>
  <c r="AB233" i="12" s="1"/>
  <c r="Q233" i="12"/>
  <c r="Y233" i="12"/>
  <c r="U182" i="12"/>
  <c r="J183" i="12"/>
  <c r="J186" i="12"/>
  <c r="P186" i="12" s="1"/>
  <c r="T186" i="12"/>
  <c r="AE186" i="12"/>
  <c r="AF186" i="12" s="1"/>
  <c r="H187" i="12"/>
  <c r="H191" i="12"/>
  <c r="T191" i="12" s="1"/>
  <c r="M191" i="12"/>
  <c r="AA194" i="12"/>
  <c r="AB194" i="12" s="1"/>
  <c r="I194" i="12"/>
  <c r="J195" i="12"/>
  <c r="U198" i="12"/>
  <c r="M198" i="12"/>
  <c r="T198" i="12" s="1"/>
  <c r="N198" i="12"/>
  <c r="U207" i="12"/>
  <c r="M207" i="12"/>
  <c r="H207" i="12"/>
  <c r="J207" i="12"/>
  <c r="L207" i="12"/>
  <c r="N208" i="12"/>
  <c r="T208" i="12" s="1"/>
  <c r="Q209" i="12"/>
  <c r="R209" i="12" s="1"/>
  <c r="D209" i="12"/>
  <c r="P209" i="12" s="1"/>
  <c r="O210" i="12"/>
  <c r="AE235" i="12"/>
  <c r="AF235" i="12" s="1"/>
  <c r="AE236" i="12"/>
  <c r="AF236" i="12" s="1"/>
  <c r="L236" i="12"/>
  <c r="V236" i="12"/>
  <c r="M236" i="12"/>
  <c r="E236" i="12"/>
  <c r="U236" i="12" s="1"/>
  <c r="H236" i="12"/>
  <c r="O244" i="12"/>
  <c r="I246" i="12"/>
  <c r="AA246" i="12"/>
  <c r="AB246" i="12" s="1"/>
  <c r="Z246" i="12"/>
  <c r="F246" i="12"/>
  <c r="Q207" i="12"/>
  <c r="Q208" i="12"/>
  <c r="G208" i="12"/>
  <c r="O208" i="12" s="1"/>
  <c r="D208" i="12"/>
  <c r="P208" i="12" s="1"/>
  <c r="J214" i="12"/>
  <c r="E214" i="12"/>
  <c r="M214" i="12"/>
  <c r="E220" i="12"/>
  <c r="N220" i="12"/>
  <c r="H220" i="12"/>
  <c r="AA226" i="12"/>
  <c r="AB226" i="12" s="1"/>
  <c r="F226" i="12"/>
  <c r="Z226" i="12"/>
  <c r="I226" i="12"/>
  <c r="H229" i="12"/>
  <c r="L229" i="12"/>
  <c r="T229" i="12" s="1"/>
  <c r="J229" i="12"/>
  <c r="Q234" i="12"/>
  <c r="R234" i="12" s="1"/>
  <c r="G234" i="12"/>
  <c r="D234" i="12"/>
  <c r="P234" i="12"/>
  <c r="J243" i="12"/>
  <c r="V243" i="12"/>
  <c r="M243" i="12"/>
  <c r="E243" i="12"/>
  <c r="P243" i="12" s="1"/>
  <c r="U243" i="12"/>
  <c r="AE243" i="12"/>
  <c r="AF243" i="12" s="1"/>
  <c r="H243" i="12"/>
  <c r="L243" i="12"/>
  <c r="J184" i="12"/>
  <c r="U184" i="12" s="1"/>
  <c r="T184" i="12"/>
  <c r="J187" i="12"/>
  <c r="U187" i="12" s="1"/>
  <c r="F191" i="12"/>
  <c r="AA191" i="12"/>
  <c r="AB191" i="12" s="1"/>
  <c r="I191" i="12"/>
  <c r="Y191" i="12" s="1"/>
  <c r="M195" i="12"/>
  <c r="Y198" i="12"/>
  <c r="F198" i="12"/>
  <c r="Z198" i="12"/>
  <c r="O202" i="12"/>
  <c r="D202" i="12"/>
  <c r="I207" i="12"/>
  <c r="AA207" i="12"/>
  <c r="AB207" i="12" s="1"/>
  <c r="O211" i="12"/>
  <c r="N214" i="12"/>
  <c r="T220" i="12"/>
  <c r="Z225" i="12"/>
  <c r="T232" i="12"/>
  <c r="R232" i="12"/>
  <c r="Z203" i="12"/>
  <c r="AC203" i="12" s="1"/>
  <c r="Q205" i="12"/>
  <c r="AA210" i="12"/>
  <c r="I210" i="12"/>
  <c r="Y210" i="12" s="1"/>
  <c r="O212" i="12"/>
  <c r="D212" i="12"/>
  <c r="P212" i="12"/>
  <c r="AA212" i="12"/>
  <c r="AB212" i="12" s="1"/>
  <c r="F216" i="12"/>
  <c r="AA216" i="12"/>
  <c r="AB216" i="12" s="1"/>
  <c r="Z216" i="12"/>
  <c r="I216" i="12"/>
  <c r="Y216" i="12" s="1"/>
  <c r="AA217" i="12"/>
  <c r="AB217" i="12" s="1"/>
  <c r="AA222" i="12"/>
  <c r="AB222" i="12" s="1"/>
  <c r="Z222" i="12"/>
  <c r="Q222" i="12"/>
  <c r="M223" i="12"/>
  <c r="T223" i="12" s="1"/>
  <c r="E223" i="12"/>
  <c r="U223" i="12" s="1"/>
  <c r="O225" i="12"/>
  <c r="D231" i="12"/>
  <c r="P231" i="12" s="1"/>
  <c r="Q231" i="12"/>
  <c r="O241" i="12"/>
  <c r="D241" i="12"/>
  <c r="P241" i="12" s="1"/>
  <c r="Q241" i="12"/>
  <c r="G241" i="12"/>
  <c r="Q246" i="12"/>
  <c r="R246" i="12" s="1"/>
  <c r="S246" i="12" s="1"/>
  <c r="D246" i="12"/>
  <c r="P246" i="12" s="1"/>
  <c r="G246" i="12"/>
  <c r="Q245" i="12"/>
  <c r="R245" i="12" s="1"/>
  <c r="G245" i="12"/>
  <c r="D245" i="12"/>
  <c r="AA245" i="12"/>
  <c r="AB245" i="12" s="1"/>
  <c r="AA247" i="12"/>
  <c r="AB247" i="12" s="1"/>
  <c r="I247" i="12"/>
  <c r="Y247" i="12" s="1"/>
  <c r="Q247" i="12"/>
  <c r="F247" i="12"/>
  <c r="Z247" i="12"/>
  <c r="AE249" i="12"/>
  <c r="AF249" i="12" s="1"/>
  <c r="P226" i="12"/>
  <c r="T228" i="12"/>
  <c r="Q229" i="12"/>
  <c r="R229" i="12" s="1"/>
  <c r="S229" i="12" s="1"/>
  <c r="G229" i="12"/>
  <c r="P229" i="12"/>
  <c r="P232" i="12"/>
  <c r="O232" i="12"/>
  <c r="G232" i="12"/>
  <c r="N235" i="12"/>
  <c r="O235" i="12" s="1"/>
  <c r="E235" i="12"/>
  <c r="U235" i="12" s="1"/>
  <c r="L235" i="12"/>
  <c r="J235" i="12"/>
  <c r="AE234" i="12"/>
  <c r="AF234" i="12" s="1"/>
  <c r="T235" i="12"/>
  <c r="J190" i="12"/>
  <c r="U190" i="12" s="1"/>
  <c r="T190" i="12"/>
  <c r="H197" i="12"/>
  <c r="T197" i="12" s="1"/>
  <c r="J200" i="12"/>
  <c r="T200" i="12"/>
  <c r="H205" i="12"/>
  <c r="E205" i="12"/>
  <c r="P205" i="12" s="1"/>
  <c r="M205" i="12"/>
  <c r="O205" i="12" s="1"/>
  <c r="F208" i="12"/>
  <c r="Z208" i="12"/>
  <c r="Y208" i="12"/>
  <c r="N212" i="12"/>
  <c r="M212" i="12"/>
  <c r="L212" i="12"/>
  <c r="O216" i="12"/>
  <c r="Q216" i="12"/>
  <c r="R216" i="12" s="1"/>
  <c r="S216" i="12" s="1"/>
  <c r="G216" i="12"/>
  <c r="N223" i="12"/>
  <c r="V224" i="12"/>
  <c r="M224" i="12"/>
  <c r="L224" i="12"/>
  <c r="T224" i="12" s="1"/>
  <c r="H224" i="12"/>
  <c r="AE223" i="12"/>
  <c r="AF223" i="12" s="1"/>
  <c r="N224" i="12"/>
  <c r="O228" i="12"/>
  <c r="Q228" i="12"/>
  <c r="D228" i="12"/>
  <c r="P228" i="12" s="1"/>
  <c r="Y229" i="12"/>
  <c r="AA229" i="12"/>
  <c r="AB229" i="12" s="1"/>
  <c r="Z229" i="12"/>
  <c r="F229" i="12"/>
  <c r="O231" i="12"/>
  <c r="Y232" i="12"/>
  <c r="F232" i="12"/>
  <c r="AA232" i="12"/>
  <c r="AB232" i="12" s="1"/>
  <c r="Z232" i="12"/>
  <c r="H246" i="12"/>
  <c r="T246" i="12" s="1"/>
  <c r="N246" i="12"/>
  <c r="U246" i="12"/>
  <c r="J246" i="12"/>
  <c r="AE245" i="12"/>
  <c r="AF245" i="12" s="1"/>
  <c r="AE246" i="12"/>
  <c r="AF246" i="12" s="1"/>
  <c r="L246" i="12"/>
  <c r="O246" i="12" s="1"/>
  <c r="M246" i="12"/>
  <c r="Z256" i="12"/>
  <c r="I256" i="12"/>
  <c r="AA256" i="12"/>
  <c r="AB256" i="12" s="1"/>
  <c r="F256" i="12"/>
  <c r="AA248" i="12"/>
  <c r="AB248" i="12" s="1"/>
  <c r="AC248" i="12" s="1"/>
  <c r="Z248" i="12"/>
  <c r="F248" i="12"/>
  <c r="Y248" i="12"/>
  <c r="I248" i="12"/>
  <c r="P263" i="12"/>
  <c r="AB263" i="12"/>
  <c r="AA257" i="12"/>
  <c r="AB257" i="12" s="1"/>
  <c r="O257" i="12"/>
  <c r="G257" i="12"/>
  <c r="D257" i="12"/>
  <c r="P257" i="12" s="1"/>
  <c r="Q257" i="12"/>
  <c r="J230" i="12"/>
  <c r="U230" i="12" s="1"/>
  <c r="N230" i="12"/>
  <c r="V230" i="12"/>
  <c r="M230" i="12"/>
  <c r="AA231" i="12"/>
  <c r="AB231" i="12" s="1"/>
  <c r="P233" i="12"/>
  <c r="U254" i="12"/>
  <c r="O262" i="12"/>
  <c r="J203" i="12"/>
  <c r="U203" i="12" s="1"/>
  <c r="T203" i="12"/>
  <c r="Y209" i="12"/>
  <c r="H210" i="12"/>
  <c r="J213" i="12"/>
  <c r="T213" i="12"/>
  <c r="H217" i="12"/>
  <c r="T217" i="12" s="1"/>
  <c r="E217" i="12"/>
  <c r="N217" i="12"/>
  <c r="M217" i="12"/>
  <c r="Y217" i="12" s="1"/>
  <c r="O220" i="12"/>
  <c r="P220" i="12"/>
  <c r="D220" i="12"/>
  <c r="Q220" i="12"/>
  <c r="R220" i="12" s="1"/>
  <c r="S220" i="12" s="1"/>
  <c r="J222" i="12"/>
  <c r="H222" i="12"/>
  <c r="AE221" i="12"/>
  <c r="AF221" i="12" s="1"/>
  <c r="L222" i="12"/>
  <c r="Y223" i="12"/>
  <c r="F223" i="12"/>
  <c r="F228" i="12"/>
  <c r="I228" i="12"/>
  <c r="Y228" i="12" s="1"/>
  <c r="AA228" i="12"/>
  <c r="AB228" i="12" s="1"/>
  <c r="L230" i="12"/>
  <c r="U231" i="12"/>
  <c r="Y235" i="12"/>
  <c r="F235" i="12"/>
  <c r="Z235" i="12"/>
  <c r="Q237" i="12"/>
  <c r="G237" i="12"/>
  <c r="O237" i="12" s="1"/>
  <c r="Q240" i="12"/>
  <c r="AE241" i="12"/>
  <c r="AF241" i="12" s="1"/>
  <c r="Y255" i="12"/>
  <c r="G261" i="12"/>
  <c r="O261" i="12" s="1"/>
  <c r="Q261" i="12"/>
  <c r="D261" i="12"/>
  <c r="P261" i="12" s="1"/>
  <c r="AB265" i="12"/>
  <c r="T210" i="12"/>
  <c r="U215" i="12"/>
  <c r="Q217" i="12"/>
  <c r="O217" i="12"/>
  <c r="D217" i="12"/>
  <c r="P217" i="12"/>
  <c r="F220" i="12"/>
  <c r="Y220" i="12"/>
  <c r="M222" i="12"/>
  <c r="Y225" i="12"/>
  <c r="I225" i="12"/>
  <c r="AA225" i="12"/>
  <c r="M227" i="12"/>
  <c r="N227" i="12"/>
  <c r="V227" i="12"/>
  <c r="L227" i="12"/>
  <c r="J227" i="12"/>
  <c r="P227" i="12" s="1"/>
  <c r="F231" i="12"/>
  <c r="H232" i="12"/>
  <c r="AE231" i="12"/>
  <c r="AF231" i="12" s="1"/>
  <c r="M232" i="12"/>
  <c r="O233" i="12"/>
  <c r="U234" i="12"/>
  <c r="Z237" i="12"/>
  <c r="I237" i="12"/>
  <c r="AA237" i="12"/>
  <c r="AB237" i="12" s="1"/>
  <c r="AC237" i="12" s="1"/>
  <c r="F237" i="12"/>
  <c r="D238" i="12"/>
  <c r="P238" i="12" s="1"/>
  <c r="Q238" i="12"/>
  <c r="Z239" i="12"/>
  <c r="R239" i="12"/>
  <c r="S239" i="12" s="1"/>
  <c r="AA240" i="12"/>
  <c r="AB240" i="12" s="1"/>
  <c r="I240" i="12"/>
  <c r="Y240" i="12" s="1"/>
  <c r="F240" i="12"/>
  <c r="Z240" i="12"/>
  <c r="H242" i="12"/>
  <c r="T242" i="12" s="1"/>
  <c r="E242" i="12"/>
  <c r="U242" i="12"/>
  <c r="J242" i="12"/>
  <c r="H249" i="12"/>
  <c r="AE248" i="12"/>
  <c r="AF248" i="12" s="1"/>
  <c r="E249" i="12"/>
  <c r="J249" i="12"/>
  <c r="M249" i="12"/>
  <c r="L249" i="12"/>
  <c r="N249" i="12"/>
  <c r="F252" i="12"/>
  <c r="I252" i="12"/>
  <c r="AA252" i="12"/>
  <c r="AB252" i="12" s="1"/>
  <c r="AC252" i="12" s="1"/>
  <c r="Z252" i="12"/>
  <c r="Y252" i="12"/>
  <c r="Q252" i="12"/>
  <c r="U260" i="12"/>
  <c r="N263" i="12"/>
  <c r="E263" i="12"/>
  <c r="M263" i="12"/>
  <c r="V263" i="12"/>
  <c r="L263" i="12"/>
  <c r="H263" i="12"/>
  <c r="J263" i="12"/>
  <c r="AE262" i="12"/>
  <c r="AF262" i="12" s="1"/>
  <c r="I244" i="12"/>
  <c r="Z244" i="12"/>
  <c r="AA244" i="12"/>
  <c r="AB244" i="12" s="1"/>
  <c r="F244" i="12"/>
  <c r="AB260" i="12"/>
  <c r="L234" i="12"/>
  <c r="O234" i="12" s="1"/>
  <c r="H234" i="12"/>
  <c r="M234" i="12"/>
  <c r="T234" i="12" s="1"/>
  <c r="D235" i="12"/>
  <c r="P235" i="12" s="1"/>
  <c r="Q235" i="12"/>
  <c r="R235" i="12" s="1"/>
  <c r="Q256" i="12"/>
  <c r="R256" i="12" s="1"/>
  <c r="S256" i="12" s="1"/>
  <c r="G256" i="12"/>
  <c r="P256" i="12"/>
  <c r="H266" i="12"/>
  <c r="E266" i="12"/>
  <c r="L266" i="12"/>
  <c r="M266" i="12"/>
  <c r="J266" i="12"/>
  <c r="T218" i="12"/>
  <c r="Q221" i="12"/>
  <c r="R221" i="12" s="1"/>
  <c r="S221" i="12" s="1"/>
  <c r="AE224" i="12"/>
  <c r="AF224" i="12" s="1"/>
  <c r="U233" i="12"/>
  <c r="I241" i="12"/>
  <c r="Y241" i="12"/>
  <c r="AA241" i="12"/>
  <c r="AB241" i="12" s="1"/>
  <c r="F241" i="12"/>
  <c r="Z241" i="12"/>
  <c r="Q242" i="12"/>
  <c r="R242" i="12" s="1"/>
  <c r="D242" i="12"/>
  <c r="P242" i="12" s="1"/>
  <c r="G242" i="12"/>
  <c r="O242" i="12" s="1"/>
  <c r="U244" i="12"/>
  <c r="M244" i="12"/>
  <c r="T244" i="12" s="1"/>
  <c r="E244" i="12"/>
  <c r="F245" i="12"/>
  <c r="Z245" i="12"/>
  <c r="I245" i="12"/>
  <c r="Q249" i="12"/>
  <c r="R249" i="12" s="1"/>
  <c r="S249" i="12" s="1"/>
  <c r="P249" i="12"/>
  <c r="G249" i="12"/>
  <c r="Y253" i="12"/>
  <c r="Z253" i="12"/>
  <c r="F253" i="12"/>
  <c r="I253" i="12"/>
  <c r="Z263" i="12"/>
  <c r="J215" i="12"/>
  <c r="T215" i="12"/>
  <c r="U218" i="12"/>
  <c r="Y221" i="12"/>
  <c r="J225" i="12"/>
  <c r="T225" i="12"/>
  <c r="J228" i="12"/>
  <c r="J231" i="12"/>
  <c r="T231" i="12"/>
  <c r="L238" i="12"/>
  <c r="Y238" i="12" s="1"/>
  <c r="N238" i="12"/>
  <c r="E238" i="12"/>
  <c r="M238" i="12"/>
  <c r="Y242" i="12"/>
  <c r="Z242" i="12"/>
  <c r="F242" i="12"/>
  <c r="AA242" i="12"/>
  <c r="AB242" i="12" s="1"/>
  <c r="D244" i="12"/>
  <c r="P244" i="12" s="1"/>
  <c r="G244" i="12"/>
  <c r="Q244" i="12"/>
  <c r="R244" i="12" s="1"/>
  <c r="S244" i="12" s="1"/>
  <c r="Y249" i="12"/>
  <c r="I249" i="12"/>
  <c r="F249" i="12"/>
  <c r="AA249" i="12"/>
  <c r="AB249" i="12" s="1"/>
  <c r="AC249" i="12" s="1"/>
  <c r="Z249" i="12"/>
  <c r="J250" i="12"/>
  <c r="P250" i="12" s="1"/>
  <c r="E250" i="12"/>
  <c r="U250" i="12" s="1"/>
  <c r="H250" i="12"/>
  <c r="T250" i="12" s="1"/>
  <c r="N250" i="12"/>
  <c r="O250" i="12" s="1"/>
  <c r="Q255" i="12"/>
  <c r="D255" i="12"/>
  <c r="P255" i="12"/>
  <c r="G255" i="12"/>
  <c r="AA255" i="12"/>
  <c r="AB255" i="12" s="1"/>
  <c r="N248" i="12"/>
  <c r="H253" i="12"/>
  <c r="E253" i="12"/>
  <c r="U253" i="12" s="1"/>
  <c r="T253" i="12"/>
  <c r="AB254" i="12"/>
  <c r="AA258" i="12"/>
  <c r="AB258" i="12" s="1"/>
  <c r="Q258" i="12"/>
  <c r="G258" i="12"/>
  <c r="O258" i="12" s="1"/>
  <c r="D258" i="12"/>
  <c r="P258" i="12" s="1"/>
  <c r="AA262" i="12"/>
  <c r="AB262" i="12" s="1"/>
  <c r="Q262" i="12"/>
  <c r="R262" i="12" s="1"/>
  <c r="Z262" i="12"/>
  <c r="F262" i="12"/>
  <c r="Y262" i="12"/>
  <c r="M268" i="12"/>
  <c r="L268" i="12"/>
  <c r="Y268" i="12" s="1"/>
  <c r="E268" i="12"/>
  <c r="U268" i="12" s="1"/>
  <c r="N268" i="12"/>
  <c r="H268" i="12"/>
  <c r="AE239" i="12"/>
  <c r="AF239" i="12" s="1"/>
  <c r="J240" i="12"/>
  <c r="T240" i="12"/>
  <c r="D248" i="12"/>
  <c r="Q248" i="12"/>
  <c r="G248" i="12"/>
  <c r="P248" i="12"/>
  <c r="Q251" i="12"/>
  <c r="R251" i="12" s="1"/>
  <c r="Q253" i="12"/>
  <c r="P253" i="12"/>
  <c r="G253" i="12"/>
  <c r="O253" i="12" s="1"/>
  <c r="L257" i="12"/>
  <c r="H257" i="12"/>
  <c r="E257" i="12"/>
  <c r="N257" i="12"/>
  <c r="D268" i="12"/>
  <c r="G268" i="12"/>
  <c r="Q268" i="12"/>
  <c r="R268" i="12" s="1"/>
  <c r="P268" i="12"/>
  <c r="AA268" i="12"/>
  <c r="AB268" i="12" s="1"/>
  <c r="AA250" i="12"/>
  <c r="AB250" i="12" s="1"/>
  <c r="AC250" i="12" s="1"/>
  <c r="Q250" i="12"/>
  <c r="R250" i="12" s="1"/>
  <c r="F250" i="12"/>
  <c r="AA251" i="12"/>
  <c r="AB251" i="12" s="1"/>
  <c r="AC251" i="12" s="1"/>
  <c r="M253" i="12"/>
  <c r="J262" i="12"/>
  <c r="P262" i="12" s="1"/>
  <c r="E262" i="12"/>
  <c r="N262" i="12"/>
  <c r="H262" i="12"/>
  <c r="Q267" i="12"/>
  <c r="P267" i="12"/>
  <c r="O267" i="12"/>
  <c r="D267" i="12"/>
  <c r="G267" i="12"/>
  <c r="P236" i="12"/>
  <c r="G236" i="12"/>
  <c r="V239" i="12"/>
  <c r="N239" i="12"/>
  <c r="O239" i="12" s="1"/>
  <c r="E239" i="12"/>
  <c r="P239" i="12" s="1"/>
  <c r="J239" i="12"/>
  <c r="H240" i="12"/>
  <c r="L248" i="12"/>
  <c r="AE252" i="12"/>
  <c r="AF252" i="12" s="1"/>
  <c r="N253" i="12"/>
  <c r="J257" i="12"/>
  <c r="E258" i="12"/>
  <c r="U258" i="12" s="1"/>
  <c r="N258" i="12"/>
  <c r="M258" i="12"/>
  <c r="Y258" i="12" s="1"/>
  <c r="J258" i="12"/>
  <c r="AE267" i="12"/>
  <c r="AF267" i="12" s="1"/>
  <c r="Y261" i="12"/>
  <c r="I261" i="12"/>
  <c r="AA261" i="12"/>
  <c r="AB261" i="12" s="1"/>
  <c r="F261" i="12"/>
  <c r="U264" i="12"/>
  <c r="Q266" i="12"/>
  <c r="R266" i="12" s="1"/>
  <c r="G266" i="12"/>
  <c r="O266" i="12" s="1"/>
  <c r="H252" i="12"/>
  <c r="AE251" i="12"/>
  <c r="AF251" i="12" s="1"/>
  <c r="M252" i="12"/>
  <c r="R260" i="12"/>
  <c r="F266" i="12"/>
  <c r="I266" i="12"/>
  <c r="Y266" i="12" s="1"/>
  <c r="AA266" i="12"/>
  <c r="AB266" i="12" s="1"/>
  <c r="Z266" i="12"/>
  <c r="T247" i="12"/>
  <c r="N252" i="12"/>
  <c r="O252" i="12" s="1"/>
  <c r="J254" i="12"/>
  <c r="M254" i="12"/>
  <c r="V254" i="12"/>
  <c r="L254" i="12"/>
  <c r="Y254" i="12" s="1"/>
  <c r="H256" i="12"/>
  <c r="M256" i="12"/>
  <c r="Y256" i="12" s="1"/>
  <c r="R259" i="12"/>
  <c r="S259" i="12" s="1"/>
  <c r="D266" i="12"/>
  <c r="P266" i="12" s="1"/>
  <c r="P269" i="12"/>
  <c r="G269" i="12"/>
  <c r="AA269" i="12"/>
  <c r="AB269" i="12" s="1"/>
  <c r="Q269" i="12"/>
  <c r="D269" i="12"/>
  <c r="D271" i="12"/>
  <c r="Q271" i="12"/>
  <c r="R271" i="12" s="1"/>
  <c r="P271" i="12"/>
  <c r="G271" i="12"/>
  <c r="O271" i="12"/>
  <c r="AA271" i="12"/>
  <c r="AB271" i="12" s="1"/>
  <c r="I271" i="12"/>
  <c r="Z271" i="12"/>
  <c r="Y271" i="12"/>
  <c r="F271" i="12"/>
  <c r="J251" i="12"/>
  <c r="P251" i="12" s="1"/>
  <c r="J264" i="12"/>
  <c r="AA267" i="12"/>
  <c r="AB267" i="12" s="1"/>
  <c r="I267" i="12"/>
  <c r="Y267" i="12" s="1"/>
  <c r="Z267" i="12"/>
  <c r="L251" i="12"/>
  <c r="O251" i="12" s="1"/>
  <c r="N255" i="12"/>
  <c r="E255" i="12"/>
  <c r="J255" i="12"/>
  <c r="L264" i="12"/>
  <c r="Y264" i="12" s="1"/>
  <c r="V264" i="12"/>
  <c r="H265" i="12"/>
  <c r="AA270" i="12"/>
  <c r="AB270" i="12" s="1"/>
  <c r="I270" i="12"/>
  <c r="F270" i="12"/>
  <c r="AA259" i="12"/>
  <c r="AB259" i="12" s="1"/>
  <c r="I259" i="12"/>
  <c r="Y259" i="12" s="1"/>
  <c r="V260" i="12"/>
  <c r="M260" i="12"/>
  <c r="J260" i="12"/>
  <c r="P260" i="12" s="1"/>
  <c r="Z264" i="12"/>
  <c r="AC264" i="12" s="1"/>
  <c r="Q270" i="12"/>
  <c r="L260" i="12"/>
  <c r="AE260" i="12"/>
  <c r="AF260" i="12" s="1"/>
  <c r="J261" i="12"/>
  <c r="U261" i="12" s="1"/>
  <c r="F263" i="12"/>
  <c r="D264" i="12"/>
  <c r="N264" i="12"/>
  <c r="J265" i="12"/>
  <c r="U265" i="12" s="1"/>
  <c r="V265" i="12"/>
  <c r="F267" i="12"/>
  <c r="L269" i="12"/>
  <c r="O269" i="12" s="1"/>
  <c r="M269" i="12"/>
  <c r="U270" i="12"/>
  <c r="Y270" i="12"/>
  <c r="Q9" i="4"/>
  <c r="N9" i="4"/>
  <c r="I272" i="12"/>
  <c r="AA272" i="12"/>
  <c r="AB272" i="12" s="1"/>
  <c r="AC272" i="12" s="1"/>
  <c r="L11" i="4"/>
  <c r="B31" i="4"/>
  <c r="AE270" i="12"/>
  <c r="AF270" i="12" s="1"/>
  <c r="J272" i="12"/>
  <c r="C31" i="4"/>
  <c r="H271" i="12"/>
  <c r="L272" i="12"/>
  <c r="U272" i="12"/>
  <c r="N11" i="4"/>
  <c r="D272" i="12"/>
  <c r="M272" i="12"/>
  <c r="F269" i="12"/>
  <c r="M271" i="12"/>
  <c r="G272" i="12"/>
  <c r="P272" i="12"/>
  <c r="Y272" i="12"/>
  <c r="E271" i="12"/>
  <c r="U271" i="12" s="1"/>
  <c r="V9" i="12" l="1"/>
  <c r="V49" i="12"/>
  <c r="V164" i="12"/>
  <c r="V24" i="12"/>
  <c r="W24" i="12" s="1"/>
  <c r="AE24" i="12" s="1"/>
  <c r="V109" i="12"/>
  <c r="V192" i="12"/>
  <c r="W192" i="12" s="1"/>
  <c r="AE192" i="12" s="1"/>
  <c r="V127" i="12"/>
  <c r="V42" i="12"/>
  <c r="W42" i="12" s="1"/>
  <c r="V16" i="12"/>
  <c r="W16" i="12" s="1"/>
  <c r="V202" i="12"/>
  <c r="W202" i="12" s="1"/>
  <c r="AE202" i="12" s="1"/>
  <c r="V47" i="12"/>
  <c r="V36" i="12"/>
  <c r="V234" i="12"/>
  <c r="W234" i="12" s="1"/>
  <c r="V178" i="12"/>
  <c r="X178" i="12" s="1"/>
  <c r="V191" i="12"/>
  <c r="W191" i="12" s="1"/>
  <c r="AE191" i="12" s="1"/>
  <c r="V33" i="12"/>
  <c r="W33" i="12" s="1"/>
  <c r="V271" i="12"/>
  <c r="W271" i="12" s="1"/>
  <c r="AE271" i="12" s="1"/>
  <c r="V93" i="12"/>
  <c r="X93" i="12" s="1"/>
  <c r="V259" i="12"/>
  <c r="V268" i="12"/>
  <c r="V232" i="12"/>
  <c r="W232" i="12" s="1"/>
  <c r="V148" i="12"/>
  <c r="V216" i="12"/>
  <c r="W216" i="12" s="1"/>
  <c r="AE216" i="12" s="1"/>
  <c r="V199" i="12"/>
  <c r="W199" i="12" s="1"/>
  <c r="AE199" i="12" s="1"/>
  <c r="V219" i="12"/>
  <c r="W219" i="12" s="1"/>
  <c r="AE219" i="12" s="1"/>
  <c r="V196" i="12"/>
  <c r="W196" i="12" s="1"/>
  <c r="AE196" i="12" s="1"/>
  <c r="V209" i="12"/>
  <c r="V174" i="12"/>
  <c r="V133" i="12"/>
  <c r="W133" i="12" s="1"/>
  <c r="V45" i="12"/>
  <c r="V3" i="12"/>
  <c r="W3" i="12" s="1"/>
  <c r="V63" i="12"/>
  <c r="X63" i="12" s="1"/>
  <c r="V256" i="12"/>
  <c r="W256" i="12" s="1"/>
  <c r="AE256" i="12" s="1"/>
  <c r="V235" i="12"/>
  <c r="X235" i="12" s="1"/>
  <c r="V220" i="12"/>
  <c r="V161" i="12"/>
  <c r="W161" i="12" s="1"/>
  <c r="V89" i="12"/>
  <c r="S119" i="12"/>
  <c r="AC238" i="12"/>
  <c r="R223" i="12"/>
  <c r="S223" i="12" s="1"/>
  <c r="V223" i="12"/>
  <c r="S128" i="12"/>
  <c r="AB175" i="12"/>
  <c r="AC175" i="12" s="1"/>
  <c r="V175" i="12"/>
  <c r="AC163" i="12"/>
  <c r="O150" i="12"/>
  <c r="T150" i="12"/>
  <c r="W148" i="12"/>
  <c r="AE148" i="12" s="1"/>
  <c r="R158" i="12"/>
  <c r="S158" i="12" s="1"/>
  <c r="V158" i="12"/>
  <c r="U114" i="12"/>
  <c r="W64" i="12"/>
  <c r="AE64" i="12" s="1"/>
  <c r="X64" i="12"/>
  <c r="O132" i="12"/>
  <c r="O51" i="12"/>
  <c r="W89" i="12"/>
  <c r="O49" i="12"/>
  <c r="R39" i="12"/>
  <c r="S39" i="12" s="1"/>
  <c r="V39" i="12"/>
  <c r="F56" i="15"/>
  <c r="E56" i="15"/>
  <c r="G56" i="15"/>
  <c r="V27" i="12"/>
  <c r="T40" i="12"/>
  <c r="X24" i="12"/>
  <c r="V70" i="12"/>
  <c r="R70" i="12"/>
  <c r="S70" i="12" s="1"/>
  <c r="O28" i="12"/>
  <c r="F63" i="15"/>
  <c r="G63" i="15"/>
  <c r="E63" i="15"/>
  <c r="V73" i="12"/>
  <c r="V35" i="12"/>
  <c r="V30" i="12"/>
  <c r="O50" i="12"/>
  <c r="V7" i="12"/>
  <c r="E65" i="15"/>
  <c r="G65" i="15"/>
  <c r="F65" i="15"/>
  <c r="M65" i="15" s="1"/>
  <c r="G35" i="15"/>
  <c r="E35" i="15"/>
  <c r="F35" i="15"/>
  <c r="V31" i="12"/>
  <c r="O17" i="12"/>
  <c r="F49" i="15"/>
  <c r="M49" i="15" s="1"/>
  <c r="G49" i="15"/>
  <c r="E49" i="15"/>
  <c r="E61" i="15"/>
  <c r="G61" i="15"/>
  <c r="F61" i="15"/>
  <c r="Y39" i="12"/>
  <c r="W4" i="12"/>
  <c r="X4" i="12"/>
  <c r="O57" i="15"/>
  <c r="N52" i="15"/>
  <c r="O52" i="15" s="1"/>
  <c r="AB162" i="12"/>
  <c r="AC162" i="12" s="1"/>
  <c r="Z199" i="12"/>
  <c r="V255" i="12"/>
  <c r="R255" i="12"/>
  <c r="S255" i="12" s="1"/>
  <c r="Y243" i="12"/>
  <c r="O243" i="12"/>
  <c r="S243" i="12" s="1"/>
  <c r="V229" i="12"/>
  <c r="O160" i="12"/>
  <c r="Y160" i="12"/>
  <c r="X192" i="12"/>
  <c r="X173" i="12"/>
  <c r="W173" i="12"/>
  <c r="O189" i="12"/>
  <c r="Y189" i="12"/>
  <c r="V190" i="12"/>
  <c r="R190" i="12"/>
  <c r="S190" i="12" s="1"/>
  <c r="W209" i="12"/>
  <c r="X209" i="12"/>
  <c r="R167" i="12"/>
  <c r="S167" i="12" s="1"/>
  <c r="V167" i="12"/>
  <c r="W165" i="12"/>
  <c r="X165" i="12"/>
  <c r="S52" i="12"/>
  <c r="T91" i="12"/>
  <c r="R125" i="12"/>
  <c r="S125" i="12" s="1"/>
  <c r="V125" i="12"/>
  <c r="S88" i="12"/>
  <c r="Y153" i="12"/>
  <c r="AC153" i="12" s="1"/>
  <c r="T153" i="12"/>
  <c r="S78" i="12"/>
  <c r="O124" i="12"/>
  <c r="X162" i="12"/>
  <c r="W162" i="12"/>
  <c r="R34" i="12"/>
  <c r="S34" i="12" s="1"/>
  <c r="V34" i="12"/>
  <c r="O23" i="12"/>
  <c r="S23" i="12" s="1"/>
  <c r="T23" i="12"/>
  <c r="X23" i="12" s="1"/>
  <c r="Y110" i="12"/>
  <c r="AC110" i="12" s="1"/>
  <c r="W260" i="12"/>
  <c r="X260" i="12"/>
  <c r="X264" i="12"/>
  <c r="W264" i="12"/>
  <c r="AE264" i="12" s="1"/>
  <c r="S271" i="12"/>
  <c r="T252" i="12"/>
  <c r="U251" i="12"/>
  <c r="AC242" i="12"/>
  <c r="T238" i="12"/>
  <c r="AC241" i="12"/>
  <c r="Y244" i="12"/>
  <c r="U263" i="12"/>
  <c r="R217" i="12"/>
  <c r="S217" i="12" s="1"/>
  <c r="V217" i="12"/>
  <c r="O222" i="12"/>
  <c r="Y222" i="12"/>
  <c r="T222" i="12"/>
  <c r="W230" i="12"/>
  <c r="AE230" i="12" s="1"/>
  <c r="AC229" i="12"/>
  <c r="Y196" i="12"/>
  <c r="AC247" i="12"/>
  <c r="AC207" i="12"/>
  <c r="W236" i="12"/>
  <c r="T207" i="12"/>
  <c r="Y207" i="12"/>
  <c r="O207" i="12"/>
  <c r="AC220" i="12"/>
  <c r="V213" i="12"/>
  <c r="AB213" i="12"/>
  <c r="V211" i="12"/>
  <c r="T160" i="12"/>
  <c r="V215" i="12"/>
  <c r="R215" i="12"/>
  <c r="S215" i="12" s="1"/>
  <c r="R121" i="12"/>
  <c r="S121" i="12" s="1"/>
  <c r="V121" i="12"/>
  <c r="AC219" i="12"/>
  <c r="S134" i="12"/>
  <c r="O206" i="12"/>
  <c r="S206" i="12" s="1"/>
  <c r="Y206" i="12"/>
  <c r="AC206" i="12" s="1"/>
  <c r="T206" i="12"/>
  <c r="Y194" i="12"/>
  <c r="P178" i="12"/>
  <c r="W156" i="12"/>
  <c r="X156" i="12"/>
  <c r="W119" i="12"/>
  <c r="R171" i="12"/>
  <c r="S171" i="12" s="1"/>
  <c r="V171" i="12"/>
  <c r="AC202" i="12"/>
  <c r="O156" i="12"/>
  <c r="S156" i="12" s="1"/>
  <c r="V140" i="12"/>
  <c r="AC156" i="12"/>
  <c r="Y157" i="12"/>
  <c r="T185" i="12"/>
  <c r="R184" i="12"/>
  <c r="S184" i="12" s="1"/>
  <c r="V184" i="12"/>
  <c r="O127" i="12"/>
  <c r="S110" i="12"/>
  <c r="R101" i="12"/>
  <c r="S101" i="12" s="1"/>
  <c r="V101" i="12"/>
  <c r="O52" i="12"/>
  <c r="O110" i="12"/>
  <c r="R74" i="12"/>
  <c r="S74" i="12" s="1"/>
  <c r="V74" i="12"/>
  <c r="V69" i="12"/>
  <c r="S55" i="12"/>
  <c r="AC188" i="12"/>
  <c r="V169" i="12"/>
  <c r="V81" i="12"/>
  <c r="V132" i="12"/>
  <c r="O126" i="12"/>
  <c r="V106" i="12"/>
  <c r="V124" i="12"/>
  <c r="S113" i="12"/>
  <c r="T75" i="12"/>
  <c r="R62" i="12"/>
  <c r="V62" i="12"/>
  <c r="V60" i="12"/>
  <c r="R60" i="12"/>
  <c r="S60" i="12" s="1"/>
  <c r="W23" i="12"/>
  <c r="AE23" i="12" s="1"/>
  <c r="E78" i="15"/>
  <c r="F78" i="15"/>
  <c r="M78" i="15" s="1"/>
  <c r="G78" i="15"/>
  <c r="O115" i="12"/>
  <c r="U112" i="12"/>
  <c r="O109" i="12"/>
  <c r="O63" i="12"/>
  <c r="V104" i="12"/>
  <c r="V68" i="12"/>
  <c r="S49" i="12"/>
  <c r="Y10" i="12"/>
  <c r="AC10" i="12" s="1"/>
  <c r="U124" i="12"/>
  <c r="R80" i="12"/>
  <c r="S80" i="12" s="1"/>
  <c r="V80" i="12"/>
  <c r="U78" i="12"/>
  <c r="AB46" i="12"/>
  <c r="AC46" i="12" s="1"/>
  <c r="V46" i="12"/>
  <c r="X43" i="12"/>
  <c r="W43" i="12"/>
  <c r="R2" i="12"/>
  <c r="V2" i="12"/>
  <c r="V55" i="12"/>
  <c r="U5" i="12"/>
  <c r="U23" i="12"/>
  <c r="N49" i="15"/>
  <c r="O49" i="15" s="1"/>
  <c r="AC65" i="12"/>
  <c r="U82" i="12"/>
  <c r="V29" i="12"/>
  <c r="U22" i="12"/>
  <c r="F18" i="15"/>
  <c r="N18" i="15" s="1"/>
  <c r="O18" i="15" s="1"/>
  <c r="G18" i="15"/>
  <c r="E18" i="15"/>
  <c r="X67" i="12"/>
  <c r="W67" i="12"/>
  <c r="AE67" i="12" s="1"/>
  <c r="G34" i="15"/>
  <c r="E34" i="15"/>
  <c r="F34" i="15"/>
  <c r="M34" i="15" s="1"/>
  <c r="S36" i="12"/>
  <c r="V25" i="12"/>
  <c r="S9" i="12"/>
  <c r="O7" i="15"/>
  <c r="AB157" i="12"/>
  <c r="AC157" i="12" s="1"/>
  <c r="F14" i="15"/>
  <c r="N14" i="15" s="1"/>
  <c r="E14" i="15"/>
  <c r="G14" i="15"/>
  <c r="U4" i="12"/>
  <c r="N75" i="15"/>
  <c r="O75" i="15" s="1"/>
  <c r="O3" i="15"/>
  <c r="AB161" i="12"/>
  <c r="Z268" i="12"/>
  <c r="W102" i="12"/>
  <c r="X102" i="12"/>
  <c r="R13" i="12"/>
  <c r="S13" i="12" s="1"/>
  <c r="V13" i="12"/>
  <c r="W109" i="12"/>
  <c r="X109" i="12"/>
  <c r="W72" i="12"/>
  <c r="X72" i="12"/>
  <c r="W97" i="12"/>
  <c r="X97" i="12"/>
  <c r="V91" i="12"/>
  <c r="R91" i="12"/>
  <c r="X108" i="12"/>
  <c r="W108" i="12"/>
  <c r="V59" i="12"/>
  <c r="AC109" i="12"/>
  <c r="AC108" i="12"/>
  <c r="F68" i="15"/>
  <c r="G68" i="15"/>
  <c r="E68" i="15"/>
  <c r="G36" i="15"/>
  <c r="E36" i="15"/>
  <c r="F36" i="15"/>
  <c r="F70" i="15"/>
  <c r="E70" i="15"/>
  <c r="G70" i="15"/>
  <c r="O62" i="12"/>
  <c r="T26" i="12"/>
  <c r="S4" i="12"/>
  <c r="G41" i="15"/>
  <c r="F41" i="15"/>
  <c r="E41" i="15"/>
  <c r="AC164" i="12"/>
  <c r="O27" i="15"/>
  <c r="G17" i="15"/>
  <c r="F17" i="15"/>
  <c r="N17" i="15" s="1"/>
  <c r="O17" i="15" s="1"/>
  <c r="E17" i="15"/>
  <c r="AC151" i="12"/>
  <c r="N28" i="15"/>
  <c r="O28" i="15" s="1"/>
  <c r="AB168" i="12"/>
  <c r="S169" i="12"/>
  <c r="E9" i="15"/>
  <c r="G9" i="15"/>
  <c r="F9" i="15"/>
  <c r="Q119" i="11"/>
  <c r="Q118" i="11"/>
  <c r="Q120" i="11"/>
  <c r="V159" i="12"/>
  <c r="AB225" i="12"/>
  <c r="AC225" i="12" s="1"/>
  <c r="V225" i="12"/>
  <c r="W243" i="12"/>
  <c r="AC239" i="12"/>
  <c r="W193" i="12"/>
  <c r="AE193" i="12" s="1"/>
  <c r="X193" i="12"/>
  <c r="X203" i="12"/>
  <c r="W203" i="12"/>
  <c r="AE203" i="12" s="1"/>
  <c r="R138" i="12"/>
  <c r="S138" i="12" s="1"/>
  <c r="V138" i="12"/>
  <c r="W127" i="12"/>
  <c r="AE127" i="12" s="1"/>
  <c r="V41" i="12"/>
  <c r="R41" i="12"/>
  <c r="U186" i="12"/>
  <c r="AC171" i="12"/>
  <c r="AB123" i="12"/>
  <c r="AC123" i="12" s="1"/>
  <c r="V123" i="12"/>
  <c r="R176" i="12"/>
  <c r="S176" i="12" s="1"/>
  <c r="V176" i="12"/>
  <c r="W180" i="12"/>
  <c r="AE180" i="12" s="1"/>
  <c r="X180" i="12"/>
  <c r="AB139" i="12"/>
  <c r="AC139" i="12" s="1"/>
  <c r="V139" i="12"/>
  <c r="V185" i="12"/>
  <c r="R131" i="12"/>
  <c r="S131" i="12" s="1"/>
  <c r="V131" i="12"/>
  <c r="O116" i="12"/>
  <c r="T116" i="12"/>
  <c r="T69" i="12"/>
  <c r="O69" i="12"/>
  <c r="O172" i="12"/>
  <c r="O33" i="12"/>
  <c r="S33" i="12" s="1"/>
  <c r="T33" i="12"/>
  <c r="O151" i="12"/>
  <c r="S151" i="12" s="1"/>
  <c r="Y151" i="12"/>
  <c r="S106" i="12"/>
  <c r="O89" i="12"/>
  <c r="S89" i="12" s="1"/>
  <c r="T89" i="12"/>
  <c r="X89" i="12" s="1"/>
  <c r="AC267" i="12"/>
  <c r="W254" i="12"/>
  <c r="AE254" i="12" s="1"/>
  <c r="X254" i="12"/>
  <c r="W239" i="12"/>
  <c r="V262" i="12"/>
  <c r="R253" i="12"/>
  <c r="S253" i="12" s="1"/>
  <c r="V253" i="12"/>
  <c r="V258" i="12"/>
  <c r="R258" i="12"/>
  <c r="S258" i="12" s="1"/>
  <c r="T249" i="12"/>
  <c r="O249" i="12"/>
  <c r="AC240" i="12"/>
  <c r="Y230" i="12"/>
  <c r="AC230" i="12" s="1"/>
  <c r="T230" i="12"/>
  <c r="X230" i="12" s="1"/>
  <c r="AC232" i="12"/>
  <c r="Y212" i="12"/>
  <c r="T212" i="12"/>
  <c r="P245" i="12"/>
  <c r="S232" i="12"/>
  <c r="AC191" i="12"/>
  <c r="Y246" i="12"/>
  <c r="AC246" i="12" s="1"/>
  <c r="V195" i="12"/>
  <c r="AC233" i="12"/>
  <c r="AC221" i="12"/>
  <c r="Y245" i="12"/>
  <c r="AC245" i="12" s="1"/>
  <c r="T219" i="12"/>
  <c r="S227" i="12"/>
  <c r="Y193" i="12"/>
  <c r="AC193" i="12" s="1"/>
  <c r="AC205" i="12"/>
  <c r="V177" i="12"/>
  <c r="V168" i="12"/>
  <c r="V194" i="12"/>
  <c r="T122" i="12"/>
  <c r="W135" i="12"/>
  <c r="AE135" i="12" s="1"/>
  <c r="X135" i="12"/>
  <c r="S181" i="12"/>
  <c r="O152" i="12"/>
  <c r="V143" i="12"/>
  <c r="R145" i="12"/>
  <c r="S145" i="12" s="1"/>
  <c r="V145" i="12"/>
  <c r="V116" i="12"/>
  <c r="X110" i="12"/>
  <c r="Y165" i="12"/>
  <c r="O165" i="12"/>
  <c r="R105" i="12"/>
  <c r="S105" i="12" s="1"/>
  <c r="V105" i="12"/>
  <c r="O91" i="12"/>
  <c r="T87" i="12"/>
  <c r="O95" i="12"/>
  <c r="S95" i="12" s="1"/>
  <c r="T95" i="12"/>
  <c r="X95" i="12" s="1"/>
  <c r="S84" i="12"/>
  <c r="V128" i="12"/>
  <c r="R98" i="12"/>
  <c r="S98" i="12" s="1"/>
  <c r="V98" i="12"/>
  <c r="X151" i="12"/>
  <c r="W151" i="12"/>
  <c r="AE151" i="12" s="1"/>
  <c r="S63" i="12"/>
  <c r="R61" i="12"/>
  <c r="S61" i="12" s="1"/>
  <c r="V61" i="12"/>
  <c r="T48" i="12"/>
  <c r="R38" i="12"/>
  <c r="S38" i="12" s="1"/>
  <c r="V38" i="12"/>
  <c r="R32" i="12"/>
  <c r="V32" i="12"/>
  <c r="T21" i="12"/>
  <c r="X21" i="12" s="1"/>
  <c r="AF111" i="12"/>
  <c r="V84" i="12"/>
  <c r="T72" i="12"/>
  <c r="V86" i="12"/>
  <c r="U34" i="12"/>
  <c r="G48" i="15"/>
  <c r="E48" i="15"/>
  <c r="F48" i="15"/>
  <c r="M48" i="15" s="1"/>
  <c r="O80" i="12"/>
  <c r="T61" i="12"/>
  <c r="O47" i="12"/>
  <c r="T47" i="12"/>
  <c r="X47" i="12" s="1"/>
  <c r="S21" i="12"/>
  <c r="U36" i="12"/>
  <c r="X36" i="12" s="1"/>
  <c r="O87" i="12"/>
  <c r="AC39" i="12"/>
  <c r="N60" i="15"/>
  <c r="M60" i="15"/>
  <c r="O73" i="12"/>
  <c r="S47" i="12"/>
  <c r="U35" i="12"/>
  <c r="U74" i="12"/>
  <c r="O3" i="12"/>
  <c r="F47" i="15"/>
  <c r="E47" i="15"/>
  <c r="G47" i="15"/>
  <c r="G26" i="15"/>
  <c r="E26" i="15"/>
  <c r="F26" i="15"/>
  <c r="N26" i="15" s="1"/>
  <c r="G8" i="15"/>
  <c r="F8" i="15"/>
  <c r="M8" i="15" s="1"/>
  <c r="E8" i="15"/>
  <c r="V57" i="12"/>
  <c r="O22" i="12"/>
  <c r="M74" i="15"/>
  <c r="F67" i="15"/>
  <c r="M67" i="15" s="1"/>
  <c r="G67" i="15"/>
  <c r="E67" i="15"/>
  <c r="M41" i="15"/>
  <c r="O31" i="15"/>
  <c r="G12" i="15"/>
  <c r="F12" i="15"/>
  <c r="N12" i="15" s="1"/>
  <c r="E12" i="15"/>
  <c r="T74" i="12"/>
  <c r="O24" i="15"/>
  <c r="R6" i="12"/>
  <c r="S6" i="12" s="1"/>
  <c r="V6" i="12"/>
  <c r="N33" i="15"/>
  <c r="O33" i="15" s="1"/>
  <c r="T11" i="12"/>
  <c r="N67" i="15"/>
  <c r="O67" i="15" s="1"/>
  <c r="S159" i="12"/>
  <c r="R231" i="12"/>
  <c r="S231" i="12" s="1"/>
  <c r="V231" i="12"/>
  <c r="AC266" i="12"/>
  <c r="R267" i="12"/>
  <c r="S267" i="12" s="1"/>
  <c r="V267" i="12"/>
  <c r="W268" i="12"/>
  <c r="AE268" i="12" s="1"/>
  <c r="X268" i="12"/>
  <c r="X234" i="12"/>
  <c r="S127" i="12"/>
  <c r="Y168" i="12"/>
  <c r="AC158" i="12"/>
  <c r="W206" i="12"/>
  <c r="AE206" i="12" s="1"/>
  <c r="X206" i="12"/>
  <c r="T182" i="12"/>
  <c r="X182" i="12" s="1"/>
  <c r="AF182" i="12" s="1"/>
  <c r="AC208" i="12"/>
  <c r="R154" i="12"/>
  <c r="S154" i="12" s="1"/>
  <c r="V154" i="12"/>
  <c r="S17" i="12"/>
  <c r="T134" i="12"/>
  <c r="V136" i="12"/>
  <c r="R136" i="12"/>
  <c r="S136" i="12" s="1"/>
  <c r="V107" i="12"/>
  <c r="V77" i="12"/>
  <c r="G40" i="15"/>
  <c r="F40" i="15"/>
  <c r="E40" i="15"/>
  <c r="U133" i="12"/>
  <c r="X133" i="12" s="1"/>
  <c r="W47" i="12"/>
  <c r="R40" i="12"/>
  <c r="S40" i="12" s="1"/>
  <c r="V40" i="12"/>
  <c r="W10" i="12"/>
  <c r="AE10" i="12" s="1"/>
  <c r="X10" i="12"/>
  <c r="V20" i="12"/>
  <c r="G69" i="15"/>
  <c r="F69" i="15"/>
  <c r="E69" i="15"/>
  <c r="F33" i="15"/>
  <c r="E33" i="15"/>
  <c r="G33" i="15"/>
  <c r="AC2" i="12"/>
  <c r="F42" i="15"/>
  <c r="N42" i="15" s="1"/>
  <c r="E42" i="15"/>
  <c r="G42" i="15"/>
  <c r="V37" i="12"/>
  <c r="E73" i="15"/>
  <c r="G73" i="15"/>
  <c r="F73" i="15"/>
  <c r="N73" i="15" s="1"/>
  <c r="S72" i="12"/>
  <c r="S43" i="12"/>
  <c r="V19" i="12"/>
  <c r="R19" i="12"/>
  <c r="S19" i="12" s="1"/>
  <c r="N41" i="15"/>
  <c r="O41" i="15" s="1"/>
  <c r="S165" i="12"/>
  <c r="M17" i="15"/>
  <c r="Z231" i="12"/>
  <c r="Z228" i="12"/>
  <c r="AC228" i="12" s="1"/>
  <c r="Z227" i="12"/>
  <c r="AC227" i="12" s="1"/>
  <c r="N74" i="15"/>
  <c r="V155" i="12"/>
  <c r="S128" i="11"/>
  <c r="R248" i="12"/>
  <c r="V248" i="12"/>
  <c r="W220" i="12"/>
  <c r="AE220" i="12" s="1"/>
  <c r="X220" i="12"/>
  <c r="O236" i="12"/>
  <c r="S236" i="12" s="1"/>
  <c r="R233" i="12"/>
  <c r="S233" i="12" s="1"/>
  <c r="V233" i="12"/>
  <c r="O260" i="12"/>
  <c r="Y260" i="12"/>
  <c r="V269" i="12"/>
  <c r="R269" i="12"/>
  <c r="S269" i="12" s="1"/>
  <c r="X259" i="12"/>
  <c r="W259" i="12"/>
  <c r="AE259" i="12" s="1"/>
  <c r="S266" i="12"/>
  <c r="S250" i="12"/>
  <c r="S251" i="12"/>
  <c r="V250" i="12"/>
  <c r="Y239" i="12"/>
  <c r="V266" i="12"/>
  <c r="S235" i="12"/>
  <c r="R252" i="12"/>
  <c r="S252" i="12" s="1"/>
  <c r="V252" i="12"/>
  <c r="V242" i="12"/>
  <c r="Y227" i="12"/>
  <c r="O227" i="12"/>
  <c r="T227" i="12"/>
  <c r="R240" i="12"/>
  <c r="S240" i="12" s="1"/>
  <c r="V240" i="12"/>
  <c r="Y269" i="12"/>
  <c r="AC256" i="12"/>
  <c r="Y224" i="12"/>
  <c r="R241" i="12"/>
  <c r="S241" i="12" s="1"/>
  <c r="V241" i="12"/>
  <c r="AC216" i="12"/>
  <c r="AB210" i="12"/>
  <c r="V210" i="12"/>
  <c r="T243" i="12"/>
  <c r="X243" i="12" s="1"/>
  <c r="R208" i="12"/>
  <c r="S208" i="12" s="1"/>
  <c r="V208" i="12"/>
  <c r="S211" i="12"/>
  <c r="R170" i="12"/>
  <c r="S170" i="12" s="1"/>
  <c r="V170" i="12"/>
  <c r="V245" i="12"/>
  <c r="AC224" i="12"/>
  <c r="R198" i="12"/>
  <c r="S198" i="12" s="1"/>
  <c r="V198" i="12"/>
  <c r="AC200" i="12"/>
  <c r="V147" i="12"/>
  <c r="R147" i="12"/>
  <c r="S147" i="12" s="1"/>
  <c r="O93" i="12"/>
  <c r="S93" i="12" s="1"/>
  <c r="T93" i="12"/>
  <c r="R179" i="12"/>
  <c r="S179" i="12" s="1"/>
  <c r="V179" i="12"/>
  <c r="T202" i="12"/>
  <c r="P152" i="12"/>
  <c r="R146" i="12"/>
  <c r="S146" i="12" s="1"/>
  <c r="V146" i="12"/>
  <c r="AB183" i="12"/>
  <c r="AC183" i="12" s="1"/>
  <c r="V183" i="12"/>
  <c r="AC148" i="12"/>
  <c r="V54" i="12"/>
  <c r="AB54" i="12"/>
  <c r="AC54" i="12" s="1"/>
  <c r="R144" i="12"/>
  <c r="S144" i="12" s="1"/>
  <c r="V144" i="12"/>
  <c r="O103" i="12"/>
  <c r="T103" i="12"/>
  <c r="V88" i="12"/>
  <c r="S53" i="12"/>
  <c r="AC166" i="12"/>
  <c r="S168" i="12"/>
  <c r="R172" i="12"/>
  <c r="V172" i="12"/>
  <c r="R129" i="12"/>
  <c r="S129" i="12" s="1"/>
  <c r="V129" i="12"/>
  <c r="S94" i="12"/>
  <c r="W66" i="12"/>
  <c r="AE66" i="12" s="1"/>
  <c r="X66" i="12"/>
  <c r="R5" i="12"/>
  <c r="S5" i="12" s="1"/>
  <c r="V5" i="12"/>
  <c r="V118" i="12"/>
  <c r="R118" i="12"/>
  <c r="S118" i="12" s="1"/>
  <c r="O97" i="12"/>
  <c r="S97" i="12" s="1"/>
  <c r="S79" i="12"/>
  <c r="P32" i="12"/>
  <c r="O18" i="12"/>
  <c r="S18" i="12" s="1"/>
  <c r="T18" i="12"/>
  <c r="V115" i="12"/>
  <c r="W265" i="12"/>
  <c r="AE265" i="12" s="1"/>
  <c r="X265" i="12"/>
  <c r="R270" i="12"/>
  <c r="S270" i="12" s="1"/>
  <c r="V270" i="12"/>
  <c r="U255" i="12"/>
  <c r="AC271" i="12"/>
  <c r="T248" i="12"/>
  <c r="U257" i="12"/>
  <c r="O248" i="12"/>
  <c r="V244" i="12"/>
  <c r="V249" i="12"/>
  <c r="W227" i="12"/>
  <c r="R257" i="12"/>
  <c r="S257" i="12" s="1"/>
  <c r="V257" i="12"/>
  <c r="R228" i="12"/>
  <c r="S228" i="12" s="1"/>
  <c r="V228" i="12"/>
  <c r="V212" i="12"/>
  <c r="S245" i="12"/>
  <c r="R222" i="12"/>
  <c r="S222" i="12" s="1"/>
  <c r="V222" i="12"/>
  <c r="S234" i="12"/>
  <c r="V214" i="12"/>
  <c r="R187" i="12"/>
  <c r="S187" i="12" s="1"/>
  <c r="V187" i="12"/>
  <c r="X200" i="12"/>
  <c r="W200" i="12"/>
  <c r="AE200" i="12" s="1"/>
  <c r="S188" i="12"/>
  <c r="R126" i="12"/>
  <c r="S126" i="12" s="1"/>
  <c r="V126" i="12"/>
  <c r="V103" i="12"/>
  <c r="R103" i="12"/>
  <c r="S103" i="12" s="1"/>
  <c r="AB181" i="12"/>
  <c r="AC181" i="12" s="1"/>
  <c r="V181" i="12"/>
  <c r="S174" i="12"/>
  <c r="T168" i="12"/>
  <c r="T161" i="12"/>
  <c r="X161" i="12" s="1"/>
  <c r="Y161" i="12"/>
  <c r="O153" i="12"/>
  <c r="S153" i="12" s="1"/>
  <c r="O130" i="12"/>
  <c r="P112" i="12"/>
  <c r="S112" i="12" s="1"/>
  <c r="V188" i="12"/>
  <c r="U199" i="12"/>
  <c r="S173" i="12"/>
  <c r="T142" i="12"/>
  <c r="S132" i="12"/>
  <c r="AB197" i="12"/>
  <c r="AC197" i="12" s="1"/>
  <c r="V197" i="12"/>
  <c r="W164" i="12"/>
  <c r="AE164" i="12" s="1"/>
  <c r="X164" i="12"/>
  <c r="O143" i="12"/>
  <c r="S143" i="12" s="1"/>
  <c r="AC149" i="12"/>
  <c r="O108" i="12"/>
  <c r="S108" i="12" s="1"/>
  <c r="S90" i="12"/>
  <c r="T81" i="12"/>
  <c r="V71" i="12"/>
  <c r="R71" i="12"/>
  <c r="W50" i="12"/>
  <c r="X50" i="12"/>
  <c r="T88" i="12"/>
  <c r="V52" i="12"/>
  <c r="O83" i="12"/>
  <c r="R122" i="12"/>
  <c r="S122" i="12" s="1"/>
  <c r="V122" i="12"/>
  <c r="AC140" i="12"/>
  <c r="Z254" i="12"/>
  <c r="Z255" i="12"/>
  <c r="AC255" i="12" s="1"/>
  <c r="N76" i="15"/>
  <c r="O76" i="15" s="1"/>
  <c r="V153" i="12"/>
  <c r="AC138" i="12"/>
  <c r="P114" i="12"/>
  <c r="V134" i="12"/>
  <c r="O162" i="12"/>
  <c r="S162" i="12" s="1"/>
  <c r="T107" i="12"/>
  <c r="S81" i="12"/>
  <c r="S45" i="12"/>
  <c r="S37" i="12"/>
  <c r="V28" i="12"/>
  <c r="AC152" i="12"/>
  <c r="V51" i="12"/>
  <c r="R51" i="12"/>
  <c r="S51" i="12" s="1"/>
  <c r="O41" i="12"/>
  <c r="V18" i="12"/>
  <c r="T115" i="12"/>
  <c r="X112" i="12"/>
  <c r="W112" i="12"/>
  <c r="V15" i="12"/>
  <c r="AC107" i="12"/>
  <c r="V99" i="12"/>
  <c r="AC111" i="12"/>
  <c r="G38" i="15"/>
  <c r="F38" i="15"/>
  <c r="M38" i="15" s="1"/>
  <c r="E38" i="15"/>
  <c r="T133" i="12"/>
  <c r="V78" i="12"/>
  <c r="V14" i="12"/>
  <c r="M63" i="15"/>
  <c r="E32" i="15"/>
  <c r="G32" i="15"/>
  <c r="F32" i="15"/>
  <c r="V87" i="12"/>
  <c r="R87" i="12"/>
  <c r="S87" i="12" s="1"/>
  <c r="U84" i="12"/>
  <c r="P59" i="12"/>
  <c r="S59" i="12" s="1"/>
  <c r="O31" i="12"/>
  <c r="S31" i="12" s="1"/>
  <c r="S50" i="12"/>
  <c r="X26" i="12"/>
  <c r="W26" i="12"/>
  <c r="O16" i="12"/>
  <c r="S16" i="12" s="1"/>
  <c r="G46" i="15"/>
  <c r="E46" i="15"/>
  <c r="F46" i="15"/>
  <c r="M46" i="15" s="1"/>
  <c r="E23" i="15"/>
  <c r="F23" i="15"/>
  <c r="M23" i="15" s="1"/>
  <c r="G23" i="15"/>
  <c r="O6" i="12"/>
  <c r="O5" i="12"/>
  <c r="T31" i="12"/>
  <c r="V17" i="12"/>
  <c r="Z168" i="12"/>
  <c r="Z169" i="12"/>
  <c r="AC169" i="12" s="1"/>
  <c r="N63" i="15"/>
  <c r="AC159" i="12"/>
  <c r="S160" i="12"/>
  <c r="N8" i="15"/>
  <c r="O8" i="15" s="1"/>
  <c r="Q138" i="11"/>
  <c r="Q137" i="11"/>
  <c r="Q136" i="11"/>
  <c r="V166" i="12"/>
  <c r="Z14" i="12"/>
  <c r="AC14" i="12" s="1"/>
  <c r="N23" i="15"/>
  <c r="O23" i="15" s="1"/>
  <c r="N34" i="15"/>
  <c r="O34" i="15" s="1"/>
  <c r="F30" i="15"/>
  <c r="M30" i="15" s="1"/>
  <c r="E30" i="15"/>
  <c r="G30" i="15"/>
  <c r="AC243" i="12"/>
  <c r="E4" i="15"/>
  <c r="G4" i="15"/>
  <c r="F4" i="15"/>
  <c r="Z196" i="12"/>
  <c r="AC196" i="12" s="1"/>
  <c r="N65" i="15"/>
  <c r="O65" i="15" s="1"/>
  <c r="S155" i="12"/>
  <c r="S260" i="12"/>
  <c r="U262" i="12"/>
  <c r="O268" i="12"/>
  <c r="S268" i="12" s="1"/>
  <c r="S262" i="12"/>
  <c r="W224" i="12"/>
  <c r="X224" i="12"/>
  <c r="V221" i="12"/>
  <c r="V137" i="12"/>
  <c r="R137" i="12"/>
  <c r="S137" i="12" s="1"/>
  <c r="T140" i="12"/>
  <c r="W186" i="12"/>
  <c r="X186" i="12"/>
  <c r="X174" i="12"/>
  <c r="W174" i="12"/>
  <c r="AE174" i="12" s="1"/>
  <c r="O118" i="12"/>
  <c r="U119" i="12"/>
  <c r="X119" i="12" s="1"/>
  <c r="S58" i="12"/>
  <c r="AC37" i="12"/>
  <c r="V56" i="12"/>
  <c r="S120" i="12"/>
  <c r="O90" i="12"/>
  <c r="O79" i="12"/>
  <c r="S115" i="12"/>
  <c r="R117" i="12"/>
  <c r="S117" i="12" s="1"/>
  <c r="V117" i="12"/>
  <c r="S109" i="12"/>
  <c r="R48" i="12"/>
  <c r="V48" i="12"/>
  <c r="V8" i="12"/>
  <c r="R8" i="12"/>
  <c r="F50" i="15"/>
  <c r="G50" i="15"/>
  <c r="E50" i="15"/>
  <c r="W36" i="12"/>
  <c r="AE36" i="12" s="1"/>
  <c r="F62" i="15"/>
  <c r="N62" i="15" s="1"/>
  <c r="G62" i="15"/>
  <c r="E62" i="15"/>
  <c r="G51" i="15"/>
  <c r="F51" i="15"/>
  <c r="M51" i="15" s="1"/>
  <c r="E51" i="15"/>
  <c r="M26" i="15"/>
  <c r="W45" i="12"/>
  <c r="AE45" i="12" s="1"/>
  <c r="X45" i="12"/>
  <c r="V12" i="12"/>
  <c r="K69" i="15"/>
  <c r="M69" i="15"/>
  <c r="S68" i="12"/>
  <c r="V58" i="12"/>
  <c r="X22" i="12"/>
  <c r="W22" i="12"/>
  <c r="V44" i="12"/>
  <c r="O72" i="15"/>
  <c r="U17" i="12"/>
  <c r="M58" i="15"/>
  <c r="AC160" i="12"/>
  <c r="V160" i="12"/>
  <c r="Q135" i="11"/>
  <c r="Q134" i="11"/>
  <c r="Q133" i="11"/>
  <c r="S166" i="12"/>
  <c r="N11" i="15"/>
  <c r="O11" i="15" s="1"/>
  <c r="N37" i="15"/>
  <c r="O37" i="15" s="1"/>
  <c r="N19" i="15"/>
  <c r="O19" i="15" s="1"/>
  <c r="Z258" i="12"/>
  <c r="AC258" i="12" s="1"/>
  <c r="Z257" i="12"/>
  <c r="Z259" i="12"/>
  <c r="AC259" i="12" s="1"/>
  <c r="N77" i="15"/>
  <c r="O77" i="15" s="1"/>
  <c r="AC217" i="12"/>
  <c r="AC257" i="12"/>
  <c r="S242" i="12"/>
  <c r="U266" i="12"/>
  <c r="Y263" i="12"/>
  <c r="AC263" i="12" s="1"/>
  <c r="O263" i="12"/>
  <c r="S263" i="12" s="1"/>
  <c r="R238" i="12"/>
  <c r="V238" i="12"/>
  <c r="R237" i="12"/>
  <c r="S237" i="12" s="1"/>
  <c r="V237" i="12"/>
  <c r="V205" i="12"/>
  <c r="R205" i="12"/>
  <c r="S205" i="12" s="1"/>
  <c r="R207" i="12"/>
  <c r="S207" i="12" s="1"/>
  <c r="V207" i="12"/>
  <c r="T189" i="12"/>
  <c r="X189" i="12" s="1"/>
  <c r="X157" i="12"/>
  <c r="W157" i="12"/>
  <c r="AE157" i="12" s="1"/>
  <c r="V204" i="12"/>
  <c r="O226" i="12"/>
  <c r="S226" i="12" s="1"/>
  <c r="R150" i="12"/>
  <c r="S150" i="12" s="1"/>
  <c r="V150" i="12"/>
  <c r="Y150" i="12"/>
  <c r="AC150" i="12" s="1"/>
  <c r="V85" i="12"/>
  <c r="O71" i="12"/>
  <c r="T71" i="12"/>
  <c r="R152" i="12"/>
  <c r="S152" i="12" s="1"/>
  <c r="V152" i="12"/>
  <c r="AC172" i="12"/>
  <c r="AB142" i="12"/>
  <c r="AC142" i="12" s="1"/>
  <c r="V142" i="12"/>
  <c r="O114" i="12"/>
  <c r="W94" i="12"/>
  <c r="AE94" i="12" s="1"/>
  <c r="X94" i="12"/>
  <c r="S96" i="12"/>
  <c r="X96" i="12"/>
  <c r="W96" i="12"/>
  <c r="V100" i="12"/>
  <c r="R100" i="12"/>
  <c r="S100" i="12" s="1"/>
  <c r="V272" i="12"/>
  <c r="V251" i="12"/>
  <c r="T251" i="12"/>
  <c r="T239" i="12"/>
  <c r="X239" i="12" s="1"/>
  <c r="AC268" i="12"/>
  <c r="Y257" i="12"/>
  <c r="AC262" i="12"/>
  <c r="AC254" i="12"/>
  <c r="O224" i="12"/>
  <c r="S224" i="12" s="1"/>
  <c r="AC244" i="12"/>
  <c r="W263" i="12"/>
  <c r="AE263" i="12" s="1"/>
  <c r="X263" i="12"/>
  <c r="U249" i="12"/>
  <c r="O238" i="12"/>
  <c r="R261" i="12"/>
  <c r="S261" i="12" s="1"/>
  <c r="V261" i="12"/>
  <c r="AC231" i="12"/>
  <c r="V246" i="12"/>
  <c r="U227" i="12"/>
  <c r="X227" i="12" s="1"/>
  <c r="R247" i="12"/>
  <c r="S247" i="12" s="1"/>
  <c r="V247" i="12"/>
  <c r="AC222" i="12"/>
  <c r="Y226" i="12"/>
  <c r="AC226" i="12" s="1"/>
  <c r="U214" i="12"/>
  <c r="T236" i="12"/>
  <c r="X236" i="12" s="1"/>
  <c r="S209" i="12"/>
  <c r="AC194" i="12"/>
  <c r="AB218" i="12"/>
  <c r="AC218" i="12" s="1"/>
  <c r="V218" i="12"/>
  <c r="X201" i="12"/>
  <c r="W201" i="12"/>
  <c r="AE201" i="12" s="1"/>
  <c r="T245" i="12"/>
  <c r="V226" i="12"/>
  <c r="AC190" i="12"/>
  <c r="T172" i="12"/>
  <c r="AC223" i="12"/>
  <c r="T177" i="12"/>
  <c r="O177" i="12"/>
  <c r="S177" i="12" s="1"/>
  <c r="S178" i="12"/>
  <c r="R130" i="12"/>
  <c r="V130" i="12"/>
  <c r="S57" i="12"/>
  <c r="T188" i="12"/>
  <c r="Y199" i="12"/>
  <c r="AC199" i="12" s="1"/>
  <c r="S186" i="12"/>
  <c r="Y148" i="12"/>
  <c r="T148" i="12"/>
  <c r="X148" i="12" s="1"/>
  <c r="AC192" i="12"/>
  <c r="T143" i="12"/>
  <c r="U185" i="12"/>
  <c r="S161" i="12"/>
  <c r="R149" i="12"/>
  <c r="S149" i="12" s="1"/>
  <c r="V149" i="12"/>
  <c r="AB141" i="12"/>
  <c r="AC141" i="12" s="1"/>
  <c r="V141" i="12"/>
  <c r="T113" i="12"/>
  <c r="X113" i="12" s="1"/>
  <c r="AC137" i="12"/>
  <c r="T85" i="12"/>
  <c r="X49" i="12"/>
  <c r="W49" i="12"/>
  <c r="U169" i="12"/>
  <c r="W82" i="12"/>
  <c r="V65" i="12"/>
  <c r="R65" i="12"/>
  <c r="S65" i="12" s="1"/>
  <c r="T132" i="12"/>
  <c r="U126" i="12"/>
  <c r="U127" i="12"/>
  <c r="X127" i="12" s="1"/>
  <c r="AC106" i="12"/>
  <c r="R83" i="12"/>
  <c r="V83" i="12"/>
  <c r="Y66" i="12"/>
  <c r="AC66" i="12" s="1"/>
  <c r="T19" i="12"/>
  <c r="R114" i="12"/>
  <c r="S114" i="12" s="1"/>
  <c r="V114" i="12"/>
  <c r="S76" i="12"/>
  <c r="T124" i="12"/>
  <c r="T119" i="12"/>
  <c r="Y136" i="12"/>
  <c r="AC136" i="12" s="1"/>
  <c r="O56" i="12"/>
  <c r="Y15" i="12"/>
  <c r="AC15" i="12" s="1"/>
  <c r="V92" i="12"/>
  <c r="V53" i="12"/>
  <c r="S20" i="12"/>
  <c r="S99" i="12"/>
  <c r="V120" i="12"/>
  <c r="V90" i="12"/>
  <c r="V79" i="12"/>
  <c r="X75" i="12"/>
  <c r="W75" i="12"/>
  <c r="AB11" i="12"/>
  <c r="AC11" i="12" s="1"/>
  <c r="V11" i="12"/>
  <c r="F79" i="15"/>
  <c r="M79" i="15" s="1"/>
  <c r="E79" i="15"/>
  <c r="G79" i="15"/>
  <c r="G66" i="15"/>
  <c r="E66" i="15"/>
  <c r="F66" i="15"/>
  <c r="M66" i="15" s="1"/>
  <c r="T82" i="12"/>
  <c r="X82" i="12" s="1"/>
  <c r="O48" i="12"/>
  <c r="O8" i="12"/>
  <c r="O59" i="15"/>
  <c r="M18" i="15"/>
  <c r="S28" i="12"/>
  <c r="S3" i="12"/>
  <c r="Z269" i="12"/>
  <c r="AC269" i="12" s="1"/>
  <c r="Z270" i="12"/>
  <c r="AC270" i="12" s="1"/>
  <c r="Z265" i="12"/>
  <c r="AC265" i="12" s="1"/>
  <c r="N80" i="15"/>
  <c r="O80" i="15" s="1"/>
  <c r="E58" i="15"/>
  <c r="G58" i="15"/>
  <c r="F58" i="15"/>
  <c r="N58" i="15" s="1"/>
  <c r="O58" i="15" s="1"/>
  <c r="M33" i="15"/>
  <c r="O68" i="12"/>
  <c r="S26" i="12"/>
  <c r="U33" i="12"/>
  <c r="X33" i="12" s="1"/>
  <c r="X9" i="12"/>
  <c r="W9" i="12"/>
  <c r="AE9" i="12" s="1"/>
  <c r="M21" i="15"/>
  <c r="N71" i="15"/>
  <c r="M71" i="15"/>
  <c r="O25" i="12"/>
  <c r="S25" i="12" s="1"/>
  <c r="F39" i="15"/>
  <c r="N39" i="15" s="1"/>
  <c r="E39" i="15"/>
  <c r="G39" i="15"/>
  <c r="AC165" i="12"/>
  <c r="N21" i="15"/>
  <c r="S157" i="12"/>
  <c r="V163" i="12"/>
  <c r="G6" i="15"/>
  <c r="F6" i="15"/>
  <c r="N6" i="15" s="1"/>
  <c r="E6" i="15"/>
  <c r="Q132" i="11"/>
  <c r="Q131" i="11"/>
  <c r="Q130" i="11"/>
  <c r="E55" i="15"/>
  <c r="G55" i="15"/>
  <c r="F55" i="15"/>
  <c r="N55" i="15" s="1"/>
  <c r="O22" i="15"/>
  <c r="E2" i="15"/>
  <c r="G2" i="15"/>
  <c r="F2" i="15"/>
  <c r="N2" i="15" s="1"/>
  <c r="AC189" i="12"/>
  <c r="N16" i="15"/>
  <c r="O16" i="15" s="1"/>
  <c r="O43" i="15"/>
  <c r="M15" i="15"/>
  <c r="O15" i="15" s="1"/>
  <c r="Z260" i="12"/>
  <c r="AC260" i="12" s="1"/>
  <c r="Z261" i="12"/>
  <c r="AC261" i="12" s="1"/>
  <c r="N78" i="15"/>
  <c r="O78" i="15" s="1"/>
  <c r="X3" i="12" l="1"/>
  <c r="X256" i="12"/>
  <c r="X16" i="12"/>
  <c r="X191" i="12"/>
  <c r="AF64" i="12"/>
  <c r="X202" i="12"/>
  <c r="X199" i="12"/>
  <c r="W63" i="12"/>
  <c r="AE63" i="12" s="1"/>
  <c r="AF63" i="12" s="1"/>
  <c r="W178" i="12"/>
  <c r="AE178" i="12" s="1"/>
  <c r="AF178" i="12" s="1"/>
  <c r="X216" i="12"/>
  <c r="AF216" i="12" s="1"/>
  <c r="X42" i="12"/>
  <c r="X232" i="12"/>
  <c r="AF200" i="12"/>
  <c r="AF45" i="12"/>
  <c r="X271" i="12"/>
  <c r="AF271" i="12" s="1"/>
  <c r="AF164" i="12"/>
  <c r="W93" i="12"/>
  <c r="AF201" i="12"/>
  <c r="AF192" i="12"/>
  <c r="X219" i="12"/>
  <c r="AF219" i="12" s="1"/>
  <c r="AF157" i="12"/>
  <c r="AF203" i="12"/>
  <c r="AF191" i="12"/>
  <c r="AF264" i="12"/>
  <c r="X196" i="12"/>
  <c r="AF196" i="12" s="1"/>
  <c r="AF220" i="12"/>
  <c r="AF268" i="12"/>
  <c r="AF193" i="12"/>
  <c r="AF66" i="12"/>
  <c r="W235" i="12"/>
  <c r="AF206" i="12"/>
  <c r="AF199" i="12"/>
  <c r="AF135" i="12"/>
  <c r="AF94" i="12"/>
  <c r="AF259" i="12"/>
  <c r="AF151" i="12"/>
  <c r="X11" i="12"/>
  <c r="W11" i="12"/>
  <c r="AE11" i="12" s="1"/>
  <c r="AF11" i="12" s="1"/>
  <c r="X58" i="12"/>
  <c r="W58" i="12"/>
  <c r="AB273" i="12"/>
  <c r="W149" i="12"/>
  <c r="AE149" i="12" s="1"/>
  <c r="X149" i="12"/>
  <c r="W218" i="12"/>
  <c r="AE218" i="12" s="1"/>
  <c r="X218" i="12"/>
  <c r="X247" i="12"/>
  <c r="W247" i="12"/>
  <c r="AE247" i="12" s="1"/>
  <c r="X152" i="12"/>
  <c r="W152" i="12"/>
  <c r="X205" i="12"/>
  <c r="W205" i="12"/>
  <c r="X160" i="12"/>
  <c r="W160" i="12"/>
  <c r="AE160" i="12" s="1"/>
  <c r="AF36" i="12"/>
  <c r="W99" i="12"/>
  <c r="X99" i="12"/>
  <c r="S71" i="12"/>
  <c r="X54" i="12"/>
  <c r="W54" i="12"/>
  <c r="X147" i="12"/>
  <c r="W147" i="12"/>
  <c r="AE147" i="12" s="1"/>
  <c r="X170" i="12"/>
  <c r="W170" i="12"/>
  <c r="AE170" i="12" s="1"/>
  <c r="X240" i="12"/>
  <c r="W240" i="12"/>
  <c r="N30" i="15"/>
  <c r="O30" i="15" s="1"/>
  <c r="X116" i="12"/>
  <c r="W116" i="12"/>
  <c r="W185" i="12"/>
  <c r="X185" i="12"/>
  <c r="AF127" i="12"/>
  <c r="M68" i="15"/>
  <c r="N68" i="15"/>
  <c r="W13" i="12"/>
  <c r="AE13" i="12" s="1"/>
  <c r="X13" i="12"/>
  <c r="W29" i="12"/>
  <c r="X29" i="12"/>
  <c r="X2" i="12"/>
  <c r="W2" i="12"/>
  <c r="AE2" i="12" s="1"/>
  <c r="W104" i="12"/>
  <c r="AE104" i="12" s="1"/>
  <c r="X104" i="12"/>
  <c r="AF23" i="12"/>
  <c r="X101" i="12"/>
  <c r="W101" i="12"/>
  <c r="X211" i="12"/>
  <c r="W211" i="12"/>
  <c r="AE211" i="12" s="1"/>
  <c r="W125" i="12"/>
  <c r="X125" i="12"/>
  <c r="X223" i="12"/>
  <c r="W223" i="12"/>
  <c r="X155" i="12"/>
  <c r="W155" i="12"/>
  <c r="W145" i="12"/>
  <c r="X145" i="12"/>
  <c r="X262" i="12"/>
  <c r="W262" i="12"/>
  <c r="X139" i="12"/>
  <c r="W139" i="12"/>
  <c r="AE139" i="12" s="1"/>
  <c r="X123" i="12"/>
  <c r="W123" i="12"/>
  <c r="W138" i="12"/>
  <c r="AE138" i="12" s="1"/>
  <c r="X138" i="12"/>
  <c r="R273" i="12"/>
  <c r="S2" i="12"/>
  <c r="W80" i="12"/>
  <c r="X80" i="12"/>
  <c r="W124" i="12"/>
  <c r="X124" i="12"/>
  <c r="W229" i="12"/>
  <c r="AE229" i="12" s="1"/>
  <c r="X229" i="12"/>
  <c r="N48" i="15"/>
  <c r="O48" i="15" s="1"/>
  <c r="X27" i="12"/>
  <c r="W27" i="12"/>
  <c r="AE27" i="12" s="1"/>
  <c r="M70" i="15"/>
  <c r="N70" i="15"/>
  <c r="AF67" i="12"/>
  <c r="M42" i="15"/>
  <c r="W106" i="12"/>
  <c r="X106" i="12"/>
  <c r="W69" i="12"/>
  <c r="X69" i="12"/>
  <c r="X140" i="12"/>
  <c r="W140" i="12"/>
  <c r="AE140" i="12" s="1"/>
  <c r="W213" i="12"/>
  <c r="AE213" i="12" s="1"/>
  <c r="X213" i="12"/>
  <c r="M73" i="15"/>
  <c r="M6" i="15"/>
  <c r="O6" i="15" s="1"/>
  <c r="X266" i="12"/>
  <c r="W266" i="12"/>
  <c r="W246" i="12"/>
  <c r="X246" i="12"/>
  <c r="N50" i="15"/>
  <c r="O50" i="15" s="1"/>
  <c r="M50" i="15"/>
  <c r="W228" i="12"/>
  <c r="AE228" i="12" s="1"/>
  <c r="X228" i="12"/>
  <c r="N9" i="15"/>
  <c r="O9" i="15" s="1"/>
  <c r="M9" i="15"/>
  <c r="N36" i="15"/>
  <c r="O36" i="15" s="1"/>
  <c r="M36" i="15"/>
  <c r="X59" i="12"/>
  <c r="W59" i="12"/>
  <c r="M55" i="15"/>
  <c r="O55" i="15" s="1"/>
  <c r="W60" i="12"/>
  <c r="AE60" i="12" s="1"/>
  <c r="X60" i="12"/>
  <c r="X74" i="12"/>
  <c r="W74" i="12"/>
  <c r="W121" i="12"/>
  <c r="AE121" i="12" s="1"/>
  <c r="X121" i="12"/>
  <c r="X217" i="12"/>
  <c r="W217" i="12"/>
  <c r="AE217" i="12" s="1"/>
  <c r="N61" i="15"/>
  <c r="M61" i="15"/>
  <c r="W7" i="12"/>
  <c r="X7" i="12"/>
  <c r="W175" i="12"/>
  <c r="AE175" i="12" s="1"/>
  <c r="X175" i="12"/>
  <c r="W20" i="12"/>
  <c r="X20" i="12"/>
  <c r="S32" i="12"/>
  <c r="X38" i="12"/>
  <c r="W38" i="12"/>
  <c r="X250" i="12"/>
  <c r="W250" i="12"/>
  <c r="AE250" i="12" s="1"/>
  <c r="AF180" i="12"/>
  <c r="W132" i="12"/>
  <c r="X132" i="12"/>
  <c r="X184" i="12"/>
  <c r="W184" i="12"/>
  <c r="X31" i="12"/>
  <c r="W31" i="12"/>
  <c r="AE31" i="12" s="1"/>
  <c r="N56" i="15"/>
  <c r="M56" i="15"/>
  <c r="X158" i="12"/>
  <c r="W158" i="12"/>
  <c r="W204" i="12"/>
  <c r="AE204" i="12" s="1"/>
  <c r="X204" i="12"/>
  <c r="W56" i="12"/>
  <c r="X56" i="12"/>
  <c r="X14" i="12"/>
  <c r="W14" i="12"/>
  <c r="AE14" i="12" s="1"/>
  <c r="W51" i="12"/>
  <c r="X51" i="12"/>
  <c r="W134" i="12"/>
  <c r="AE134" i="12" s="1"/>
  <c r="X134" i="12"/>
  <c r="W122" i="12"/>
  <c r="AE122" i="12" s="1"/>
  <c r="X122" i="12"/>
  <c r="X71" i="12"/>
  <c r="W71" i="12"/>
  <c r="AE71" i="12" s="1"/>
  <c r="W197" i="12"/>
  <c r="AE197" i="12" s="1"/>
  <c r="X197" i="12"/>
  <c r="W181" i="12"/>
  <c r="X181" i="12"/>
  <c r="W32" i="12"/>
  <c r="X32" i="12"/>
  <c r="W53" i="12"/>
  <c r="X53" i="12"/>
  <c r="X114" i="12"/>
  <c r="W114" i="12"/>
  <c r="W237" i="12"/>
  <c r="AE237" i="12" s="1"/>
  <c r="X237" i="12"/>
  <c r="X270" i="12"/>
  <c r="W270" i="12"/>
  <c r="W88" i="12"/>
  <c r="X88" i="12"/>
  <c r="X179" i="12"/>
  <c r="W179" i="12"/>
  <c r="AE179" i="12" s="1"/>
  <c r="W241" i="12"/>
  <c r="X241" i="12"/>
  <c r="X251" i="12"/>
  <c r="W251" i="12"/>
  <c r="W117" i="12"/>
  <c r="X117" i="12"/>
  <c r="N4" i="15"/>
  <c r="M4" i="15"/>
  <c r="W28" i="12"/>
  <c r="X28" i="12"/>
  <c r="X6" i="12"/>
  <c r="W6" i="12"/>
  <c r="X105" i="12"/>
  <c r="W105" i="12"/>
  <c r="AE105" i="12" s="1"/>
  <c r="X194" i="12"/>
  <c r="W194" i="12"/>
  <c r="AE194" i="12" s="1"/>
  <c r="O21" i="15"/>
  <c r="W130" i="12"/>
  <c r="X130" i="12"/>
  <c r="X226" i="12"/>
  <c r="W226" i="12"/>
  <c r="X272" i="12"/>
  <c r="W272" i="12"/>
  <c r="AE272" i="12" s="1"/>
  <c r="W85" i="12"/>
  <c r="X85" i="12"/>
  <c r="W238" i="12"/>
  <c r="X238" i="12"/>
  <c r="N46" i="15"/>
  <c r="O46" i="15" s="1"/>
  <c r="Z212" i="12"/>
  <c r="AC212" i="12" s="1"/>
  <c r="Z209" i="12"/>
  <c r="AC209" i="12" s="1"/>
  <c r="N69" i="15"/>
  <c r="O69" i="15" s="1"/>
  <c r="Z210" i="12"/>
  <c r="AC210" i="12" s="1"/>
  <c r="Z213" i="12"/>
  <c r="AC213" i="12" s="1"/>
  <c r="Z211" i="12"/>
  <c r="AC211" i="12" s="1"/>
  <c r="S8" i="12"/>
  <c r="W87" i="12"/>
  <c r="X87" i="12"/>
  <c r="W153" i="12"/>
  <c r="AE153" i="12" s="1"/>
  <c r="X153" i="12"/>
  <c r="W52" i="12"/>
  <c r="AE52" i="12" s="1"/>
  <c r="X52" i="12"/>
  <c r="X103" i="12"/>
  <c r="W103" i="12"/>
  <c r="AE103" i="12" s="1"/>
  <c r="W146" i="12"/>
  <c r="X146" i="12"/>
  <c r="W208" i="12"/>
  <c r="AE208" i="12" s="1"/>
  <c r="X208" i="12"/>
  <c r="S248" i="12"/>
  <c r="X19" i="12"/>
  <c r="W19" i="12"/>
  <c r="AF10" i="12"/>
  <c r="W154" i="12"/>
  <c r="AE154" i="12" s="1"/>
  <c r="X154" i="12"/>
  <c r="X231" i="12"/>
  <c r="W231" i="12"/>
  <c r="N47" i="15"/>
  <c r="M47" i="15"/>
  <c r="N51" i="15"/>
  <c r="O51" i="15" s="1"/>
  <c r="O71" i="15"/>
  <c r="X79" i="12"/>
  <c r="W79" i="12"/>
  <c r="W65" i="12"/>
  <c r="AE65" i="12" s="1"/>
  <c r="X65" i="12"/>
  <c r="S130" i="12"/>
  <c r="X261" i="12"/>
  <c r="W261" i="12"/>
  <c r="AE261" i="12" s="1"/>
  <c r="W142" i="12"/>
  <c r="AE142" i="12" s="1"/>
  <c r="X142" i="12"/>
  <c r="W207" i="12"/>
  <c r="X207" i="12"/>
  <c r="S238" i="12"/>
  <c r="W12" i="12"/>
  <c r="AE12" i="12" s="1"/>
  <c r="X12" i="12"/>
  <c r="W8" i="12"/>
  <c r="X8" i="12"/>
  <c r="W137" i="12"/>
  <c r="X137" i="12"/>
  <c r="N32" i="15"/>
  <c r="M32" i="15"/>
  <c r="X126" i="12"/>
  <c r="W126" i="12"/>
  <c r="W214" i="12"/>
  <c r="AE214" i="12" s="1"/>
  <c r="X214" i="12"/>
  <c r="X257" i="12"/>
  <c r="W257" i="12"/>
  <c r="AF265" i="12"/>
  <c r="W118" i="12"/>
  <c r="X118" i="12"/>
  <c r="W172" i="12"/>
  <c r="AE172" i="12" s="1"/>
  <c r="X172" i="12"/>
  <c r="X144" i="12"/>
  <c r="W144" i="12"/>
  <c r="AE144" i="12" s="1"/>
  <c r="X269" i="12"/>
  <c r="W269" i="12"/>
  <c r="W40" i="12"/>
  <c r="X40" i="12"/>
  <c r="X128" i="12"/>
  <c r="W128" i="12"/>
  <c r="X168" i="12"/>
  <c r="W168" i="12"/>
  <c r="AF254" i="12"/>
  <c r="AF202" i="12"/>
  <c r="S41" i="12"/>
  <c r="W225" i="12"/>
  <c r="AE225" i="12" s="1"/>
  <c r="X225" i="12"/>
  <c r="N79" i="15"/>
  <c r="O79" i="15" s="1"/>
  <c r="X25" i="12"/>
  <c r="W25" i="12"/>
  <c r="N38" i="15"/>
  <c r="O38" i="15" s="1"/>
  <c r="X62" i="12"/>
  <c r="W62" i="12"/>
  <c r="X81" i="12"/>
  <c r="W81" i="12"/>
  <c r="W171" i="12"/>
  <c r="X171" i="12"/>
  <c r="X34" i="12"/>
  <c r="W34" i="12"/>
  <c r="W190" i="12"/>
  <c r="AE190" i="12" s="1"/>
  <c r="X190" i="12"/>
  <c r="W255" i="12"/>
  <c r="AE255" i="12" s="1"/>
  <c r="X255" i="12"/>
  <c r="M2" i="15"/>
  <c r="N35" i="15"/>
  <c r="M35" i="15"/>
  <c r="W30" i="12"/>
  <c r="X30" i="12"/>
  <c r="W70" i="12"/>
  <c r="X70" i="12"/>
  <c r="W39" i="12"/>
  <c r="AE39" i="12" s="1"/>
  <c r="X39" i="12"/>
  <c r="W249" i="12"/>
  <c r="X249" i="12"/>
  <c r="AF263" i="12"/>
  <c r="W17" i="12"/>
  <c r="X17" i="12"/>
  <c r="X78" i="12"/>
  <c r="W78" i="12"/>
  <c r="AE78" i="12" s="1"/>
  <c r="X15" i="12"/>
  <c r="W15" i="12"/>
  <c r="AE15" i="12" s="1"/>
  <c r="W212" i="12"/>
  <c r="AE212" i="12" s="1"/>
  <c r="X212" i="12"/>
  <c r="W183" i="12"/>
  <c r="AE183" i="12" s="1"/>
  <c r="X183" i="12"/>
  <c r="X198" i="12"/>
  <c r="W198" i="12"/>
  <c r="AE198" i="12" s="1"/>
  <c r="W233" i="12"/>
  <c r="AE233" i="12" s="1"/>
  <c r="X233" i="12"/>
  <c r="O74" i="15"/>
  <c r="X92" i="12"/>
  <c r="W92" i="12"/>
  <c r="W187" i="12"/>
  <c r="AE187" i="12" s="1"/>
  <c r="X187" i="12"/>
  <c r="X244" i="12"/>
  <c r="W244" i="12"/>
  <c r="W129" i="12"/>
  <c r="X129" i="12"/>
  <c r="W248" i="12"/>
  <c r="X248" i="12"/>
  <c r="W37" i="12"/>
  <c r="X37" i="12"/>
  <c r="N40" i="15"/>
  <c r="O40" i="15" s="1"/>
  <c r="M40" i="15"/>
  <c r="X57" i="12"/>
  <c r="W57" i="12"/>
  <c r="AE57" i="12" s="1"/>
  <c r="X86" i="12"/>
  <c r="W86" i="12"/>
  <c r="AE86" i="12" s="1"/>
  <c r="AF86" i="12" s="1"/>
  <c r="W98" i="12"/>
  <c r="X98" i="12"/>
  <c r="W143" i="12"/>
  <c r="X143" i="12"/>
  <c r="M12" i="15"/>
  <c r="O12" i="15" s="1"/>
  <c r="W90" i="12"/>
  <c r="X90" i="12"/>
  <c r="W83" i="12"/>
  <c r="X83" i="12"/>
  <c r="W141" i="12"/>
  <c r="AE141" i="12" s="1"/>
  <c r="X141" i="12"/>
  <c r="X100" i="12"/>
  <c r="W100" i="12"/>
  <c r="W150" i="12"/>
  <c r="X150" i="12"/>
  <c r="W44" i="12"/>
  <c r="X44" i="12"/>
  <c r="O62" i="15"/>
  <c r="W48" i="12"/>
  <c r="X48" i="12"/>
  <c r="X166" i="12"/>
  <c r="W166" i="12"/>
  <c r="M39" i="15"/>
  <c r="O39" i="15" s="1"/>
  <c r="X18" i="12"/>
  <c r="W18" i="12"/>
  <c r="AE18" i="12" s="1"/>
  <c r="AF18" i="12" s="1"/>
  <c r="X115" i="12"/>
  <c r="W115" i="12"/>
  <c r="X5" i="12"/>
  <c r="W5" i="12"/>
  <c r="S172" i="12"/>
  <c r="X242" i="12"/>
  <c r="W242" i="12"/>
  <c r="AE242" i="12" s="1"/>
  <c r="AF242" i="12" s="1"/>
  <c r="AF256" i="12"/>
  <c r="O42" i="15"/>
  <c r="X77" i="12"/>
  <c r="W77" i="12"/>
  <c r="M14" i="15"/>
  <c r="O14" i="15" s="1"/>
  <c r="O60" i="15"/>
  <c r="W84" i="12"/>
  <c r="X84" i="12"/>
  <c r="X61" i="12"/>
  <c r="W61" i="12"/>
  <c r="X177" i="12"/>
  <c r="W177" i="12"/>
  <c r="X258" i="12"/>
  <c r="W258" i="12"/>
  <c r="AE258" i="12" s="1"/>
  <c r="X131" i="12"/>
  <c r="W131" i="12"/>
  <c r="X41" i="12"/>
  <c r="W41" i="12"/>
  <c r="S91" i="12"/>
  <c r="X55" i="12"/>
  <c r="W55" i="12"/>
  <c r="X46" i="12"/>
  <c r="W46" i="12"/>
  <c r="AE46" i="12" s="1"/>
  <c r="W68" i="12"/>
  <c r="X68" i="12"/>
  <c r="S62" i="12"/>
  <c r="X169" i="12"/>
  <c r="W169" i="12"/>
  <c r="AE169" i="12" s="1"/>
  <c r="X215" i="12"/>
  <c r="W215" i="12"/>
  <c r="AE215" i="12" s="1"/>
  <c r="X167" i="12"/>
  <c r="W167" i="12"/>
  <c r="AE167" i="12" s="1"/>
  <c r="AF167" i="12" s="1"/>
  <c r="N66" i="15"/>
  <c r="O66" i="15" s="1"/>
  <c r="W35" i="12"/>
  <c r="X35" i="12"/>
  <c r="AF148" i="12"/>
  <c r="X136" i="12"/>
  <c r="W136" i="12"/>
  <c r="X267" i="12"/>
  <c r="W267" i="12"/>
  <c r="X163" i="12"/>
  <c r="W163" i="12"/>
  <c r="AE163" i="12" s="1"/>
  <c r="AF9" i="12"/>
  <c r="X120" i="12"/>
  <c r="W120" i="12"/>
  <c r="AE120" i="12" s="1"/>
  <c r="S83" i="12"/>
  <c r="S48" i="12"/>
  <c r="AF174" i="12"/>
  <c r="W221" i="12"/>
  <c r="X221" i="12"/>
  <c r="O63" i="15"/>
  <c r="X188" i="12"/>
  <c r="W188" i="12"/>
  <c r="X222" i="12"/>
  <c r="W222" i="12"/>
  <c r="AE222" i="12" s="1"/>
  <c r="W245" i="12"/>
  <c r="X245" i="12"/>
  <c r="X210" i="12"/>
  <c r="W210" i="12"/>
  <c r="W252" i="12"/>
  <c r="X252" i="12"/>
  <c r="O73" i="15"/>
  <c r="W107" i="12"/>
  <c r="X107" i="12"/>
  <c r="O26" i="15"/>
  <c r="W195" i="12"/>
  <c r="AE195" i="12" s="1"/>
  <c r="X195" i="12"/>
  <c r="X253" i="12"/>
  <c r="W253" i="12"/>
  <c r="AE253" i="12" s="1"/>
  <c r="X176" i="12"/>
  <c r="W176" i="12"/>
  <c r="AE176" i="12" s="1"/>
  <c r="W159" i="12"/>
  <c r="X159" i="12"/>
  <c r="AC168" i="12"/>
  <c r="X91" i="12"/>
  <c r="W91" i="12"/>
  <c r="AC161" i="12"/>
  <c r="M62" i="15"/>
  <c r="AF230" i="12"/>
  <c r="X73" i="12"/>
  <c r="W73" i="12"/>
  <c r="AF24" i="12"/>
  <c r="AF176" i="12" l="1"/>
  <c r="AF222" i="12"/>
  <c r="AF46" i="12"/>
  <c r="AF195" i="12"/>
  <c r="AF237" i="12"/>
  <c r="AF134" i="12"/>
  <c r="AF204" i="12"/>
  <c r="AF104" i="12"/>
  <c r="AF103" i="12"/>
  <c r="AF122" i="12"/>
  <c r="AF149" i="12"/>
  <c r="AF163" i="12"/>
  <c r="AF198" i="12"/>
  <c r="AF78" i="12"/>
  <c r="AF39" i="12"/>
  <c r="AF172" i="12"/>
  <c r="AF250" i="12"/>
  <c r="AF194" i="12"/>
  <c r="AF179" i="12"/>
  <c r="AF170" i="12"/>
  <c r="AF247" i="12"/>
  <c r="AF253" i="12"/>
  <c r="AF215" i="12"/>
  <c r="AF258" i="12"/>
  <c r="AC273" i="12"/>
  <c r="AF197" i="12"/>
  <c r="AF229" i="12"/>
  <c r="AF120" i="12"/>
  <c r="AF57" i="12"/>
  <c r="AF144" i="12"/>
  <c r="AF31" i="12"/>
  <c r="AF139" i="12"/>
  <c r="AF187" i="12"/>
  <c r="AF233" i="12"/>
  <c r="AF214" i="12"/>
  <c r="AF208" i="12"/>
  <c r="AF153" i="12"/>
  <c r="AF213" i="12"/>
  <c r="AF147" i="12"/>
  <c r="AF160" i="12"/>
  <c r="AB285" i="12"/>
  <c r="W273" i="12"/>
  <c r="AB283" i="12" s="1"/>
  <c r="AF141" i="12"/>
  <c r="AF255" i="12"/>
  <c r="AF225" i="12"/>
  <c r="AF12" i="12"/>
  <c r="AC284" i="12"/>
  <c r="AF154" i="12"/>
  <c r="O56" i="15"/>
  <c r="AF175" i="12"/>
  <c r="AF121" i="12"/>
  <c r="AF140" i="12"/>
  <c r="O70" i="15"/>
  <c r="AF138" i="12"/>
  <c r="AF211" i="12"/>
  <c r="AF183" i="12"/>
  <c r="AF190" i="12"/>
  <c r="O32" i="15"/>
  <c r="AF65" i="12"/>
  <c r="AF27" i="12"/>
  <c r="O47" i="15"/>
  <c r="AF52" i="12"/>
  <c r="O61" i="15"/>
  <c r="AF60" i="12"/>
  <c r="S273" i="12"/>
  <c r="AF13" i="12"/>
  <c r="AF218" i="12"/>
  <c r="AF212" i="12"/>
  <c r="AF169" i="12"/>
  <c r="AF15" i="12"/>
  <c r="O35" i="15"/>
  <c r="AF142" i="12"/>
  <c r="AF272" i="12"/>
  <c r="O4" i="15"/>
  <c r="AF217" i="12"/>
  <c r="AF228" i="12"/>
  <c r="AB275" i="12"/>
  <c r="O68" i="15"/>
  <c r="AB280" i="12"/>
  <c r="AB279" i="12"/>
  <c r="AB284" i="12"/>
  <c r="AF261" i="12"/>
  <c r="O2" i="15"/>
  <c r="AF105" i="12"/>
  <c r="AF71" i="12"/>
  <c r="AF14" i="12"/>
  <c r="X273" i="12" l="1"/>
  <c r="AC283" i="12" s="1"/>
  <c r="AB276" i="12" l="1"/>
  <c r="AB277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tc={37691359-D388-8046-A0C9-4C84F41202CB}</author>
    <author>tc={48CB21DB-1C61-2247-8032-15FBCC0226AA}</author>
    <author>tc={3E42DBB0-E31D-6C44-BD18-5910E76022AF}</author>
    <author>tc={F49660B7-9D67-CC4B-BCC2-B50B55FBA0D6}</author>
    <author>tc={A87BF1A0-47F5-454F-A3A1-3B8CEF2B4288}</author>
    <author>tc={D0B43BDE-008A-CE4B-BF16-530F3189E0E2}</author>
    <author>tc={53B7B3D5-F884-A14F-9B51-9C7AA0DA1103}</author>
    <author>Jack Williams</author>
  </authors>
  <commentList>
    <comment ref="R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Synbasement structural level -sediment thickness (i.e. depth on lake floor fault propagates to)</t>
      </text>
    </comment>
    <comment ref="S3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fault cut off by intersecting fault, calculate area using Matlab fault geom script</t>
      </text>
    </comment>
    <comment ref="AC4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Extension divided here between Nsanje and East Urema fault to south. Furthemore, rift extension here in the Urema Graben is 1.2 mm/yr (Saria et al 2014)</t>
      </text>
    </comment>
    <comment ref="U173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estimated from fault polygon due to large bend in fault trace</t>
      </text>
    </comment>
    <comment ref="U174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estimated from fault polygon due to large bend in fault trace</t>
      </text>
    </comment>
    <comment ref="N233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Kolawole et al 2018</t>
      </text>
    </comment>
    <comment ref="N24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Gaherty et al 2019</t>
      </text>
    </comment>
    <comment ref="N253" authorId="7" shapeId="0" xr:uid="{00000000-0006-0000-0000-000008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See </t>
        </r>
        <r>
          <rPr>
            <sz val="10"/>
            <color rgb="FF000000"/>
            <rFont val="Calibri"/>
            <family val="2"/>
          </rPr>
          <t xml:space="preserve">Kolawole et al (2018)	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tc={E802543A-F19B-FC4E-B907-587382867D3F}</author>
  </authors>
  <commentList>
    <comment ref="K64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of fault 7a estimated from polygon due to high complexity of fault bend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Williams</author>
  </authors>
  <commentList>
    <comment ref="AG1" authorId="0" shapeId="0" xr:uid="{00000000-0006-0000-0700-000001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min values of fault throw and elastic crust 45 km thick</t>
        </r>
      </text>
    </comment>
    <comment ref="I3" authorId="0" shapeId="0" xr:uid="{00000000-0006-0000-0700-000002000000}">
      <text>
        <r>
          <rPr>
            <b/>
            <sz val="10"/>
            <color rgb="FF000000"/>
            <rFont val="Tahoma"/>
            <family val="2"/>
          </rPr>
          <t xml:space="preserve">Jack Williams
</t>
        </r>
        <r>
          <rPr>
            <sz val="10"/>
            <color rgb="FF000000"/>
            <rFont val="Tahoma"/>
            <family val="2"/>
          </rPr>
          <t>Graben used in Muirhead et al 2016 to test and validate script</t>
        </r>
      </text>
    </comment>
    <comment ref="I4" authorId="0" shapeId="0" xr:uid="{00000000-0006-0000-0700-000003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Graben used in Muirhead et al 2016 to test and validate script
</t>
        </r>
      </text>
    </comment>
    <comment ref="F5" authorId="0" shapeId="0" xr:uid="{00000000-0006-0000-0700-000004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5" authorId="0" shapeId="0" xr:uid="{00000000-0006-0000-0700-000005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dating of Rungwe Province volcanics (Ebinger et al 1989)</t>
        </r>
      </text>
    </comment>
    <comment ref="F8" authorId="0" shapeId="0" xr:uid="{00000000-0006-0000-0700-000006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F9" authorId="0" shapeId="0" xr:uid="{00000000-0006-0000-0700-000007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9" authorId="0" shapeId="0" xr:uid="{00000000-0006-0000-0700-000008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Based on the age of the Chiwondo Beds, that the Middle Shire sediments resemble (Dulanya et al 2017)
</t>
        </r>
      </text>
    </comment>
    <comment ref="F10" authorId="0" shapeId="0" xr:uid="{00000000-0006-0000-0700-000009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10" authorId="0" shapeId="0" xr:uid="{00000000-0006-0000-0700-00000A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Based on the age of the Chiwondo Beds, that the Middle Shire sediments resemble (Dulanya et al 2017)
</t>
        </r>
      </text>
    </comment>
    <comment ref="F11" authorId="0" shapeId="0" xr:uid="{00000000-0006-0000-0700-00000B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Equals arthimetric mean from crustal density profile used in Fagereng 2013</t>
        </r>
      </text>
    </comment>
    <comment ref="X11" authorId="0" shapeId="0" xr:uid="{00000000-0006-0000-0700-00000C000000}">
      <text>
        <r>
          <rPr>
            <b/>
            <sz val="10"/>
            <color rgb="FF000000"/>
            <rFont val="Tahoma"/>
            <family val="2"/>
          </rPr>
          <t>Jack Williams: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Based on the age of the Chiwondo Beds, that the Middle Shire sediments resemble (Dulanya et al 2017)</t>
        </r>
      </text>
    </comment>
  </commentList>
</comments>
</file>

<file path=xl/sharedStrings.xml><?xml version="1.0" encoding="utf-8"?>
<sst xmlns="http://schemas.openxmlformats.org/spreadsheetml/2006/main" count="7679" uniqueCount="568">
  <si>
    <t>Malombe</t>
  </si>
  <si>
    <t>Nsanje</t>
  </si>
  <si>
    <t>Panga</t>
  </si>
  <si>
    <t>Mwanza</t>
  </si>
  <si>
    <t>Zomba</t>
  </si>
  <si>
    <t>St Mary</t>
  </si>
  <si>
    <t>Mlungusi</t>
  </si>
  <si>
    <t>Mtsimukwe</t>
  </si>
  <si>
    <t>Livingstone</t>
  </si>
  <si>
    <t>W</t>
  </si>
  <si>
    <t>SW</t>
  </si>
  <si>
    <t>NE</t>
  </si>
  <si>
    <t>NW</t>
  </si>
  <si>
    <t>E</t>
  </si>
  <si>
    <t>SE</t>
  </si>
  <si>
    <t>Cape Maclear</t>
  </si>
  <si>
    <t>Height of escarpment (m)</t>
  </si>
  <si>
    <t>Thickness of sediments (m)</t>
  </si>
  <si>
    <t>Total throw (m)</t>
  </si>
  <si>
    <t>Maximum hanging wall deflection</t>
  </si>
  <si>
    <t>Upthrow/Downthrow Ratio</t>
  </si>
  <si>
    <t>Youngs Modulus</t>
  </si>
  <si>
    <t>Gravity</t>
  </si>
  <si>
    <t>Poisson's Ratio</t>
  </si>
  <si>
    <t>Density of crust</t>
  </si>
  <si>
    <t xml:space="preserve">Parameters for alpha </t>
  </si>
  <si>
    <t>Parameters for hanging wall maximum deflection</t>
  </si>
  <si>
    <t>Thickness of elastic crust (m)</t>
  </si>
  <si>
    <t>Magadi</t>
  </si>
  <si>
    <t>Natron</t>
  </si>
  <si>
    <t>Lower Shire</t>
  </si>
  <si>
    <t>Chingale Step</t>
  </si>
  <si>
    <t>Makanjira</t>
  </si>
  <si>
    <t>FAULT</t>
  </si>
  <si>
    <t>Component of rift extension (lower)</t>
  </si>
  <si>
    <t>Component of rift extension (median)</t>
  </si>
  <si>
    <t>Component of rift extension (upper)</t>
  </si>
  <si>
    <t>Rift Extension Rate (lower, mm/yr)</t>
  </si>
  <si>
    <t>Rift Extension Rate (median, mm/yr)</t>
  </si>
  <si>
    <t>Rift Extension Rate (upper, mm/yr)</t>
  </si>
  <si>
    <t>FAULT RECURRENCE INTERVALS</t>
  </si>
  <si>
    <t>Number of intrabasinal faults</t>
  </si>
  <si>
    <t>NA</t>
  </si>
  <si>
    <t>DIP_L</t>
  </si>
  <si>
    <t>DIP_M</t>
  </si>
  <si>
    <t>DIP_U</t>
  </si>
  <si>
    <t>DIP_DIR</t>
  </si>
  <si>
    <t>LEONARD 2010 SCALING RELATIONSHIPS SECTION</t>
  </si>
  <si>
    <t>SECTION RECURRENCE INTERVALS</t>
  </si>
  <si>
    <t>LEONARD 2010 SCALING RELATIONSHIPS FAULT</t>
  </si>
  <si>
    <t>Ruo South</t>
  </si>
  <si>
    <t>Ruo Central</t>
  </si>
  <si>
    <t>Ruo North</t>
  </si>
  <si>
    <t>Ruo</t>
  </si>
  <si>
    <t>Thyolo Link</t>
  </si>
  <si>
    <t>Chingale Step South</t>
  </si>
  <si>
    <t>Chingale Step North</t>
  </si>
  <si>
    <t>Mlungusi South</t>
  </si>
  <si>
    <t>Mlungusi North</t>
  </si>
  <si>
    <t>Malombe North</t>
  </si>
  <si>
    <t>Makanjira Namjola</t>
  </si>
  <si>
    <t>Makanjira Chembe</t>
  </si>
  <si>
    <t>Makanjira Gome</t>
  </si>
  <si>
    <t>Makanjira Malindi</t>
  </si>
  <si>
    <t>Livingstone North</t>
  </si>
  <si>
    <t>Livingstone South</t>
  </si>
  <si>
    <t>St Mary South</t>
  </si>
  <si>
    <t>St Mary Central</t>
  </si>
  <si>
    <t>St Mary North</t>
  </si>
  <si>
    <t>FLT_MAG_L</t>
  </si>
  <si>
    <t>FLT_MAG_M</t>
  </si>
  <si>
    <t>FLT_MAG_U</t>
  </si>
  <si>
    <t>FLT_SED_L</t>
  </si>
  <si>
    <t>FLT_SED_M</t>
  </si>
  <si>
    <t>FLT_SED_U</t>
  </si>
  <si>
    <t>FLT_RI_L</t>
  </si>
  <si>
    <t>FLT_RI_M</t>
  </si>
  <si>
    <t>FLT_RI_U</t>
  </si>
  <si>
    <t>FLT_SR_M</t>
  </si>
  <si>
    <t>FLT_SR_L</t>
  </si>
  <si>
    <t>FLT_STR</t>
  </si>
  <si>
    <t>SEC_LEN</t>
  </si>
  <si>
    <t>SEC_STR</t>
  </si>
  <si>
    <t>SEC_SR_U</t>
  </si>
  <si>
    <t>SEC_SR_M</t>
  </si>
  <si>
    <t>SEC_SR_L</t>
  </si>
  <si>
    <t>SEC_RI_L</t>
  </si>
  <si>
    <t>SEC_RI_M</t>
  </si>
  <si>
    <t>SEC_RI_U</t>
  </si>
  <si>
    <t>SEC_MAG_L</t>
  </si>
  <si>
    <t>SEC_MAG_M</t>
  </si>
  <si>
    <t>SEC_SED_L</t>
  </si>
  <si>
    <t>SEC_SED_M</t>
  </si>
  <si>
    <t>SEC_SED_U</t>
  </si>
  <si>
    <t>SEC_MAG_U</t>
  </si>
  <si>
    <t>SEC_NAME</t>
  </si>
  <si>
    <t>Kavuzi</t>
  </si>
  <si>
    <t>Mwanza West</t>
  </si>
  <si>
    <t>Liwaladzi</t>
  </si>
  <si>
    <t>Sani</t>
  </si>
  <si>
    <t>Chirobwe-Ncheu South</t>
  </si>
  <si>
    <t>Median</t>
  </si>
  <si>
    <t>Zomba South</t>
  </si>
  <si>
    <t>Zomba North</t>
  </si>
  <si>
    <t>Cassimo</t>
  </si>
  <si>
    <t>Kaungozi</t>
  </si>
  <si>
    <t>Chilingali</t>
  </si>
  <si>
    <t>Chilingali South</t>
  </si>
  <si>
    <t>Chilingali Central</t>
  </si>
  <si>
    <t>Chilingali North</t>
  </si>
  <si>
    <t>MCS Profile</t>
  </si>
  <si>
    <t>Extension from flexure</t>
  </si>
  <si>
    <t>MCS248</t>
  </si>
  <si>
    <t>MCS002</t>
  </si>
  <si>
    <t>MCS102</t>
  </si>
  <si>
    <t>Values reported by Shillington et al 2020 (Table 1)</t>
  </si>
  <si>
    <t>Extension from flexure (km)</t>
  </si>
  <si>
    <t>Lower Error</t>
  </si>
  <si>
    <t>Upper Error</t>
  </si>
  <si>
    <t>Min Thickness of elastic crust (m)</t>
  </si>
  <si>
    <t>Max Thickness of elastic crust (m)</t>
  </si>
  <si>
    <t>Makanjira-West</t>
  </si>
  <si>
    <t>Makanjira-East</t>
  </si>
  <si>
    <t>Total throw upper (m)</t>
  </si>
  <si>
    <t>FLT_SR_LU</t>
  </si>
  <si>
    <t>FAULT_NAME</t>
  </si>
  <si>
    <t>STRIKE</t>
  </si>
  <si>
    <t>LEN</t>
  </si>
  <si>
    <t>Y_SP</t>
  </si>
  <si>
    <t>X_SP</t>
  </si>
  <si>
    <t>SECT_NAME</t>
  </si>
  <si>
    <t>DIP</t>
  </si>
  <si>
    <t>WIDTH</t>
  </si>
  <si>
    <t>NUM_SEC</t>
  </si>
  <si>
    <t>FAULT_ID</t>
  </si>
  <si>
    <t>Central Basin</t>
  </si>
  <si>
    <t>Usisya</t>
  </si>
  <si>
    <t>South Basin</t>
  </si>
  <si>
    <t>South Basin Fault 8</t>
  </si>
  <si>
    <t>Central Basin Fault 5</t>
  </si>
  <si>
    <t>Central Basin Fault 6</t>
  </si>
  <si>
    <t>Central Basin Fault 7</t>
  </si>
  <si>
    <t>North Basin</t>
  </si>
  <si>
    <t>North Basin Fault 2</t>
  </si>
  <si>
    <t>North Basin Fault 1</t>
  </si>
  <si>
    <t>Central Basin Fault 8</t>
  </si>
  <si>
    <t>Central Basin Fault 1</t>
  </si>
  <si>
    <t>Central Basin Fault 2</t>
  </si>
  <si>
    <t>Usisya North</t>
  </si>
  <si>
    <t>Central Basin Fault 3</t>
  </si>
  <si>
    <t>South Basin Fault 3</t>
  </si>
  <si>
    <t>Panga-1</t>
  </si>
  <si>
    <t>Panga-2</t>
  </si>
  <si>
    <t>Panga-3</t>
  </si>
  <si>
    <t>Panga-4</t>
  </si>
  <si>
    <t>Total throw (m) min</t>
  </si>
  <si>
    <t>Mwanza Link-1</t>
  </si>
  <si>
    <t>Mwanza Link-2</t>
  </si>
  <si>
    <t>Makanjira Link-1</t>
  </si>
  <si>
    <t>Makanjira Link-2</t>
  </si>
  <si>
    <t>Makanjira Link-3</t>
  </si>
  <si>
    <t>Malombe Link</t>
  </si>
  <si>
    <t>Nkhotakota</t>
  </si>
  <si>
    <t>Chombo</t>
  </si>
  <si>
    <t>Usisya Main South</t>
  </si>
  <si>
    <t>Usisya Main North</t>
  </si>
  <si>
    <t>Usisya Tip-1</t>
  </si>
  <si>
    <t>Usisya Tip-2</t>
  </si>
  <si>
    <t>Usisya Tip-3</t>
  </si>
  <si>
    <t>Usisya Tip-4</t>
  </si>
  <si>
    <t>Central Basin Fault 20</t>
  </si>
  <si>
    <t>Central Basin Fault 11</t>
  </si>
  <si>
    <t>Central Basin Fault 19</t>
  </si>
  <si>
    <t>Central Basin Fault 23</t>
  </si>
  <si>
    <t>Central Basin Fault 27</t>
  </si>
  <si>
    <t>Central Basin Fault 25</t>
  </si>
  <si>
    <t>North Basin Fault 8</t>
  </si>
  <si>
    <t>North Basin Fault 12</t>
  </si>
  <si>
    <t>Sani-Chombo-Nkhotakota</t>
  </si>
  <si>
    <t>South Basin Fault 10</t>
  </si>
  <si>
    <t>South Basin Fault 14</t>
  </si>
  <si>
    <t>SEC_STRIKE</t>
  </si>
  <si>
    <t>FAULT_STRIKE</t>
  </si>
  <si>
    <t>SEC_MR</t>
  </si>
  <si>
    <t>SEC_ID</t>
  </si>
  <si>
    <t>BASIN</t>
  </si>
  <si>
    <t>MULTI FAULT SYSTEM</t>
  </si>
  <si>
    <t>FLT_LEN</t>
  </si>
  <si>
    <t>MULTIFLT_LEN</t>
  </si>
  <si>
    <t>MULTIFLT_STR</t>
  </si>
  <si>
    <t>MULTI FAULT RECURRENCE INTERVALS</t>
  </si>
  <si>
    <t>LEONARD 2010 SCALING RELATIONSHIPS MULTI-FAULT</t>
  </si>
  <si>
    <t>M_FLT_SR_L</t>
  </si>
  <si>
    <t>M_FLT_SR_M</t>
  </si>
  <si>
    <t>M_FLT_SR_U</t>
  </si>
  <si>
    <t>Makanjira South-1</t>
  </si>
  <si>
    <t>Makanjira South-2</t>
  </si>
  <si>
    <t>M_FAULT_WIDTH</t>
  </si>
  <si>
    <t>INT_SR</t>
  </si>
  <si>
    <t>MIN_SR</t>
  </si>
  <si>
    <t>MAX_SR</t>
  </si>
  <si>
    <t>South Basin Fault 6</t>
  </si>
  <si>
    <t>South Basin Fault 8 South</t>
  </si>
  <si>
    <t>South Basin Fault 8 North</t>
  </si>
  <si>
    <t>Lweya</t>
  </si>
  <si>
    <t>Lweya South</t>
  </si>
  <si>
    <t>Lweya Link</t>
  </si>
  <si>
    <t>Lweya Central</t>
  </si>
  <si>
    <t>Lweya North</t>
  </si>
  <si>
    <t>Central Basin Fault 19 South</t>
  </si>
  <si>
    <t>Central Basin Fault 19 North</t>
  </si>
  <si>
    <t>N</t>
  </si>
  <si>
    <t>South Basin Fault 15</t>
  </si>
  <si>
    <t>South Basin Fault 15 South</t>
  </si>
  <si>
    <t>South Basin Fault 15 North</t>
  </si>
  <si>
    <t>Sani South</t>
  </si>
  <si>
    <t>Sani Central</t>
  </si>
  <si>
    <t>Sani North</t>
  </si>
  <si>
    <t>Tsikulamowa</t>
  </si>
  <si>
    <t>Usisya Main</t>
  </si>
  <si>
    <t>Plate motion aziumth-2</t>
  </si>
  <si>
    <t>Plate motion aziumth-3</t>
  </si>
  <si>
    <t>Plate motion aziumth-1</t>
  </si>
  <si>
    <t>SECTION, FAULT, AND MULTI-FAULT SLIP RATES</t>
  </si>
  <si>
    <t>AZIMUTH-1</t>
  </si>
  <si>
    <t>AZIMUTH-2</t>
  </si>
  <si>
    <t>AZIMUTH-3</t>
  </si>
  <si>
    <t>MULTI_FAULT_ID</t>
  </si>
  <si>
    <t>MULTI_FAULT</t>
  </si>
  <si>
    <t>NUM_FAULT</t>
  </si>
  <si>
    <t>MULTI_FAULT WIDTH</t>
  </si>
  <si>
    <t>HTOP</t>
  </si>
  <si>
    <t>FAULT_WIDTH</t>
  </si>
  <si>
    <t>HLEVEL</t>
  </si>
  <si>
    <t>FAULT ID</t>
  </si>
  <si>
    <t>Bwanwie</t>
  </si>
  <si>
    <t>Bwanje</t>
  </si>
  <si>
    <t>Bwanje South</t>
  </si>
  <si>
    <t>Bwanje Link</t>
  </si>
  <si>
    <t>Bwanje North</t>
  </si>
  <si>
    <t>Liwawadzi-Malombe</t>
  </si>
  <si>
    <t>Central Basin Fault 5-27</t>
  </si>
  <si>
    <t>Central Basin Fault 1-3</t>
  </si>
  <si>
    <t>Central Basin Fault 7-8</t>
  </si>
  <si>
    <t>North Basin Fault 1-2-8</t>
  </si>
  <si>
    <t>Thyolo-2</t>
  </si>
  <si>
    <t>Lisungwe-1</t>
  </si>
  <si>
    <t>Lisungwe-2</t>
  </si>
  <si>
    <t>Wamkurumadzi-1</t>
  </si>
  <si>
    <t>Wamkurumadzi South-1</t>
  </si>
  <si>
    <t>Wamkurumadzi South-2</t>
  </si>
  <si>
    <t>Wamkurumadzi-2</t>
  </si>
  <si>
    <t>Mlungusi Link</t>
  </si>
  <si>
    <t>Chingale Step Link</t>
  </si>
  <si>
    <t>Malombe South</t>
  </si>
  <si>
    <t>Mpale</t>
  </si>
  <si>
    <t>Chirobwe-Ncheu-1</t>
  </si>
  <si>
    <t>Chirobwe-Ncheu Central-1</t>
  </si>
  <si>
    <t>Chirobwe-Ncheu-2</t>
  </si>
  <si>
    <t>Chirobwe-Ncheu Central-2</t>
  </si>
  <si>
    <t>RUP_W</t>
  </si>
  <si>
    <t>Bilila-Mtakataka-1</t>
  </si>
  <si>
    <t>Linthipe-1a</t>
  </si>
  <si>
    <t>Linthipe-1b</t>
  </si>
  <si>
    <t>Bilila-Mtakataka-2</t>
  </si>
  <si>
    <t>Linthipe-2</t>
  </si>
  <si>
    <t>Linthipe-2 Link</t>
  </si>
  <si>
    <t>Metangula-1</t>
  </si>
  <si>
    <t>Metangula-2</t>
  </si>
  <si>
    <t>Phirilanyama-1</t>
  </si>
  <si>
    <t>Phirilanyama-2</t>
  </si>
  <si>
    <t>Phirilanyama-2 North</t>
  </si>
  <si>
    <t>Phirilanyama-2 South</t>
  </si>
  <si>
    <t>Lipichili-1</t>
  </si>
  <si>
    <t>Lipichili-2</t>
  </si>
  <si>
    <t>Lipichili-3</t>
  </si>
  <si>
    <t>Lipichili</t>
  </si>
  <si>
    <t>Wovwe-1</t>
  </si>
  <si>
    <t>Wovwe-2</t>
  </si>
  <si>
    <t>Livingstone Link</t>
  </si>
  <si>
    <t>Liwawadzi South</t>
  </si>
  <si>
    <t>Liwawadzi Link</t>
  </si>
  <si>
    <t>Liwawadzi North</t>
  </si>
  <si>
    <t>Liwawadzi</t>
  </si>
  <si>
    <t>Matope</t>
  </si>
  <si>
    <t>Utale</t>
  </si>
  <si>
    <t>Lisungwe South-1a</t>
  </si>
  <si>
    <t>Lisungwe South-1b</t>
  </si>
  <si>
    <t>Lisungwe South-2</t>
  </si>
  <si>
    <t>Dzonze Link</t>
  </si>
  <si>
    <t>Dzonze North</t>
  </si>
  <si>
    <t>Dzonze South</t>
  </si>
  <si>
    <t>Kavunguti</t>
  </si>
  <si>
    <t>Chimwalira</t>
  </si>
  <si>
    <t>North Basin Fault 9-14a</t>
  </si>
  <si>
    <t>North Basin Fault 14b</t>
  </si>
  <si>
    <t>Usisya Main Link</t>
  </si>
  <si>
    <t>Majete</t>
  </si>
  <si>
    <t>Condedezi</t>
  </si>
  <si>
    <t>Somba</t>
  </si>
  <si>
    <t>Thombani</t>
  </si>
  <si>
    <t>Kalulu-1</t>
  </si>
  <si>
    <t>Kalulu-2</t>
  </si>
  <si>
    <t>Lintipe River</t>
  </si>
  <si>
    <t>Namitembo</t>
  </si>
  <si>
    <t>Mwinje</t>
  </si>
  <si>
    <t>Chingale Stream</t>
  </si>
  <si>
    <t>FAULT_CUTOFF</t>
  </si>
  <si>
    <t>Y</t>
  </si>
  <si>
    <t>F_AREA (lower)</t>
  </si>
  <si>
    <t>F_AREA (med)</t>
  </si>
  <si>
    <t>F_AREA (upper)</t>
  </si>
  <si>
    <t>M_FAULT_CUTOFF</t>
  </si>
  <si>
    <t>South Karonga-Sabi-Wovwe-1</t>
  </si>
  <si>
    <t>South Karonga-Sabi-Wovwe-2</t>
  </si>
  <si>
    <t>Karonga-Katesula-Mbiri</t>
  </si>
  <si>
    <t>MFLT_AREA (lower)</t>
  </si>
  <si>
    <t>MFLT_AREA(med)</t>
  </si>
  <si>
    <t>MFLT_AREA(upper)</t>
  </si>
  <si>
    <t>H_LEVEL</t>
  </si>
  <si>
    <t>H_TOP</t>
  </si>
  <si>
    <t>MIN_MAG</t>
  </si>
  <si>
    <t>INT_MAG</t>
  </si>
  <si>
    <t>MAX_MAG</t>
  </si>
  <si>
    <t>MIN_RI</t>
  </si>
  <si>
    <t>INT_RI</t>
  </si>
  <si>
    <t>MAX_RI</t>
  </si>
  <si>
    <t>INT_MOMENT_R</t>
  </si>
  <si>
    <t>South Karonga-1</t>
  </si>
  <si>
    <t>Sabi-2</t>
  </si>
  <si>
    <t>South Karonga-2</t>
  </si>
  <si>
    <t>Sabi-1</t>
  </si>
  <si>
    <t>North Basin Fault 9a</t>
  </si>
  <si>
    <t>North Basin Fault 9b</t>
  </si>
  <si>
    <t>FAULT_STR</t>
  </si>
  <si>
    <t>North Basin Fault 9a North</t>
  </si>
  <si>
    <t>North Basin Fault 9a South</t>
  </si>
  <si>
    <t>North Basin Fault 9b North</t>
  </si>
  <si>
    <t>North Basin Fault 9b South</t>
  </si>
  <si>
    <t>INT_MR</t>
  </si>
  <si>
    <t>North Basin Fault 14a</t>
  </si>
  <si>
    <t>MULTI_FAULT_STR</t>
  </si>
  <si>
    <t>MED_SEC_OBL</t>
  </si>
  <si>
    <t>MED_FLT_OBL</t>
  </si>
  <si>
    <t>FLT_MR</t>
  </si>
  <si>
    <t>M_FLT_MR</t>
  </si>
  <si>
    <t>WEIGHTING</t>
  </si>
  <si>
    <t>SUM OF MOMENT RATE</t>
  </si>
  <si>
    <t>SUM, OF OPTIMAL MOMENT RATE</t>
  </si>
  <si>
    <t>FLT_UNIQUE_INDEX_MO</t>
  </si>
  <si>
    <t>FLT_UNIQUE_INDEX_MO/OBL</t>
  </si>
  <si>
    <t>ID</t>
  </si>
  <si>
    <t>Name</t>
  </si>
  <si>
    <t>AREA-2</t>
  </si>
  <si>
    <t>CUTOFF-2</t>
  </si>
  <si>
    <t>AREA-1</t>
  </si>
  <si>
    <t>CUTOFF-1</t>
  </si>
  <si>
    <t>Mbewe-1</t>
  </si>
  <si>
    <t>Thyolo North-1</t>
  </si>
  <si>
    <t>Thyolo North-2</t>
  </si>
  <si>
    <t>Mbewe-2</t>
  </si>
  <si>
    <t>Mlindi-1</t>
  </si>
  <si>
    <t>Malauli-1</t>
  </si>
  <si>
    <t>Mlindi-2</t>
  </si>
  <si>
    <t>Malauli-2</t>
  </si>
  <si>
    <t>Lisungwe North-1</t>
  </si>
  <si>
    <t>Lisungwe North-2</t>
  </si>
  <si>
    <t>Lisungwe Link-1</t>
  </si>
  <si>
    <t>Lisungwe Link-2</t>
  </si>
  <si>
    <t>Wamkurumadzi Central-1</t>
  </si>
  <si>
    <t>Wamkurumadzi North-1</t>
  </si>
  <si>
    <t>Wamkurumadzi Central-2</t>
  </si>
  <si>
    <t>Wamkurumadzi North-2</t>
  </si>
  <si>
    <t>Chirobwe-Ncheu North-1</t>
  </si>
  <si>
    <t>Livulezi-1</t>
  </si>
  <si>
    <t>Chirobwe-Ncheu Link-1b</t>
  </si>
  <si>
    <t>Chirobwe-Ncheu Link-1a</t>
  </si>
  <si>
    <t>Chirobwe-Ncheu Link-1c</t>
  </si>
  <si>
    <t>Livulezi-2</t>
  </si>
  <si>
    <t>Chirobwe-Ncheu Link-2c</t>
  </si>
  <si>
    <t>Chirobwe-Ncheu Link-2b</t>
  </si>
  <si>
    <t>Chirobwe-Ncheu North-2</t>
  </si>
  <si>
    <t>Bilila-1</t>
  </si>
  <si>
    <t>Mtakataka-1</t>
  </si>
  <si>
    <t>Citsulo-1</t>
  </si>
  <si>
    <t>Kasinje-1</t>
  </si>
  <si>
    <t>Mua-1</t>
  </si>
  <si>
    <t>Ngodzi-1</t>
  </si>
  <si>
    <t>Bilila-2</t>
  </si>
  <si>
    <t>Mtakataka-2</t>
  </si>
  <si>
    <t>Citsulo-2</t>
  </si>
  <si>
    <t>Kasinje-2</t>
  </si>
  <si>
    <t>Mua-2</t>
  </si>
  <si>
    <t>Ngodzi-2</t>
  </si>
  <si>
    <t>Metangula South-1</t>
  </si>
  <si>
    <t>Metangula Link-1a</t>
  </si>
  <si>
    <t>Metangula Lake-1</t>
  </si>
  <si>
    <t>Metangula Link-1b</t>
  </si>
  <si>
    <t>Metangula South-2</t>
  </si>
  <si>
    <t>Metangula Link-2a</t>
  </si>
  <si>
    <t>Metangula Lake-2</t>
  </si>
  <si>
    <t>Metangula North-2b</t>
  </si>
  <si>
    <t>Metangula Link-2c</t>
  </si>
  <si>
    <t>Metangula North-2a</t>
  </si>
  <si>
    <t>Metangula Link-2b</t>
  </si>
  <si>
    <t>Metangula North-1</t>
  </si>
  <si>
    <t>M-MAX</t>
  </si>
  <si>
    <t>South Basin Fault 12a</t>
  </si>
  <si>
    <t>South Basin Fault 12b</t>
  </si>
  <si>
    <t>South Basin Fault 7a</t>
  </si>
  <si>
    <t>South Basin Fault 7b</t>
  </si>
  <si>
    <t>South Basin Fault 7a South</t>
  </si>
  <si>
    <t>South Basin Fault 7a North</t>
  </si>
  <si>
    <t>South Basin Fault 7b South</t>
  </si>
  <si>
    <t>South Basin Fault 7b North</t>
  </si>
  <si>
    <t>South Basin Fault 7a-12a</t>
  </si>
  <si>
    <t/>
  </si>
  <si>
    <t>Central Basin Fault 20 South</t>
  </si>
  <si>
    <t>Central Basin Fault 20 North</t>
  </si>
  <si>
    <t>Central Basin Fault 19-20</t>
  </si>
  <si>
    <t>North Basin Fault 9a-14a</t>
  </si>
  <si>
    <t>North Basin Fault 15b</t>
  </si>
  <si>
    <t>MO_RATE-1</t>
  </si>
  <si>
    <t>MO_RATE-2</t>
  </si>
  <si>
    <t>SUM FROM MSSD_ADAPTED SOURCES WIDTH-1</t>
  </si>
  <si>
    <t>SUM FROM MSSD_ADAPTED SOURCES WIDTH-2</t>
  </si>
  <si>
    <t>SECTION, FAULT , AND MULTI-FAULT GEOMETRY</t>
  </si>
  <si>
    <t>SEC ID</t>
  </si>
  <si>
    <t>Mtumba</t>
  </si>
  <si>
    <t>Elephant Marsh</t>
  </si>
  <si>
    <t>Mtumba-Elephant Marsh</t>
  </si>
  <si>
    <t>Lengwe</t>
  </si>
  <si>
    <t>Liwonde National Park</t>
  </si>
  <si>
    <t>Thyolo-1a</t>
  </si>
  <si>
    <t>Thyolo-1b</t>
  </si>
  <si>
    <t>Muona-1a</t>
  </si>
  <si>
    <t>Chiloli</t>
  </si>
  <si>
    <t>Chiloli-Liwonde National Park</t>
  </si>
  <si>
    <t>Basin</t>
  </si>
  <si>
    <t>Leopard Bay-1</t>
  </si>
  <si>
    <t>Lifisi</t>
  </si>
  <si>
    <t>South Basin Fault 5a South</t>
  </si>
  <si>
    <t>South Basin Fault 5a Central</t>
  </si>
  <si>
    <t>South Basin Fault 5a North</t>
  </si>
  <si>
    <t>South Basin Fault 5b South</t>
  </si>
  <si>
    <t>South Basin Fault 5b Central</t>
  </si>
  <si>
    <t>South Basin Fault 5b North</t>
  </si>
  <si>
    <t>South Basin Fault 5-13b</t>
  </si>
  <si>
    <t>South Basin Fault 5-13a</t>
  </si>
  <si>
    <t>South Basin Fault 13a</t>
  </si>
  <si>
    <t>South Basin Fault 13b</t>
  </si>
  <si>
    <t>South Basin Fault 5a</t>
  </si>
  <si>
    <t>South Basin Fault 5b</t>
  </si>
  <si>
    <t>Observed Exension</t>
  </si>
  <si>
    <t>Subseismic correction</t>
  </si>
  <si>
    <t>South Basin Fault 2a</t>
  </si>
  <si>
    <t>South Basin Fault 2b</t>
  </si>
  <si>
    <t>South Basin Fault 2a-11</t>
  </si>
  <si>
    <t>South Basin Fault 2b-11</t>
  </si>
  <si>
    <t>South Basin Fault 11a</t>
  </si>
  <si>
    <t>South Basin Fault 11b</t>
  </si>
  <si>
    <t>South Basin Fault 11a North</t>
  </si>
  <si>
    <t>South Basin Fault 11b South</t>
  </si>
  <si>
    <t>South Basin Fault 11a South</t>
  </si>
  <si>
    <t>South Basin Fault 11b North</t>
  </si>
  <si>
    <t>South Basin Fault 13b South</t>
  </si>
  <si>
    <t>South Basin Fault 13b Central</t>
  </si>
  <si>
    <t>South Basin Fault 13b North</t>
  </si>
  <si>
    <t>Number of border faults</t>
  </si>
  <si>
    <t>Fault Type</t>
  </si>
  <si>
    <t>I</t>
  </si>
  <si>
    <t>B</t>
  </si>
  <si>
    <t>Number of intrarift faults/multifaults</t>
  </si>
  <si>
    <t>SR_ERROR</t>
  </si>
  <si>
    <t>SR</t>
  </si>
  <si>
    <t>Lipichili-All</t>
  </si>
  <si>
    <t>Lipichili North</t>
  </si>
  <si>
    <t>Lipichili South</t>
  </si>
  <si>
    <t>North Basin Fault 9-14b</t>
  </si>
  <si>
    <t>North Basin Fault 9b-14b</t>
  </si>
  <si>
    <t>North Basin Fault 15a</t>
  </si>
  <si>
    <t>North Basin Fault 4a</t>
  </si>
  <si>
    <t>North Basin Fault 4b</t>
  </si>
  <si>
    <t>North Basin Fault 15a South</t>
  </si>
  <si>
    <t>North Basin Fault 15a Central</t>
  </si>
  <si>
    <t>North Basin Fault 15a North</t>
  </si>
  <si>
    <t>North Basin Fault 15b South</t>
  </si>
  <si>
    <t>North Basin Fault 15b Central</t>
  </si>
  <si>
    <t>North Basin Fault 15b North</t>
  </si>
  <si>
    <t>North Basin Fault 4a-15a</t>
  </si>
  <si>
    <t>North Basin Fault 4b-15b</t>
  </si>
  <si>
    <t>Mbiri-1</t>
  </si>
  <si>
    <t>Mbiri-1 South</t>
  </si>
  <si>
    <t>Mbiri-1 Central</t>
  </si>
  <si>
    <t>Mbiri-1 North</t>
  </si>
  <si>
    <t>Mbiri-2</t>
  </si>
  <si>
    <t>Mbiri-2 South</t>
  </si>
  <si>
    <t>Mbiri-2 Central</t>
  </si>
  <si>
    <t>Mbiri-2 North</t>
  </si>
  <si>
    <t>Kaporo-1</t>
  </si>
  <si>
    <t>Kaporo-1 South</t>
  </si>
  <si>
    <t>Kaporo-1 Central</t>
  </si>
  <si>
    <t>Kaporo-1 North</t>
  </si>
  <si>
    <t>Kaporo-1-Mbiri-2</t>
  </si>
  <si>
    <t>Kaporo-2</t>
  </si>
  <si>
    <t>Kaporo-2 South-1</t>
  </si>
  <si>
    <t>Kaporo-2 South-2</t>
  </si>
  <si>
    <t>Kaporo-2 Central</t>
  </si>
  <si>
    <t>Kaporo-2 North</t>
  </si>
  <si>
    <t>Katesula-1</t>
  </si>
  <si>
    <t>Katesula-2</t>
  </si>
  <si>
    <t>Karonga-1</t>
  </si>
  <si>
    <t>Karonga-2</t>
  </si>
  <si>
    <t>Karonga-1 Central</t>
  </si>
  <si>
    <t>Karonga-1 Link-b</t>
  </si>
  <si>
    <t>Karonga-1 North</t>
  </si>
  <si>
    <t>Karonga-2 Central</t>
  </si>
  <si>
    <t>Karonga-2 Link-b</t>
  </si>
  <si>
    <t>Karonga-2 North</t>
  </si>
  <si>
    <t>Karonga-1-Katesula-1-Mbiri-1</t>
  </si>
  <si>
    <t>Karonga-1-Katesula-1-Mbiri-2</t>
  </si>
  <si>
    <t>Karonga-1-Katesula-1-Mbiri-3</t>
  </si>
  <si>
    <t>Karonga-1-Katesula-1-Mbiri-4</t>
  </si>
  <si>
    <t>Karonga-1-Katesula-1-Mbiri-5</t>
  </si>
  <si>
    <t>Karonga-1 South</t>
  </si>
  <si>
    <t>Karonga-2 Link-a</t>
  </si>
  <si>
    <t>Karonga-2 South</t>
  </si>
  <si>
    <t>Karonga-1 Link-a</t>
  </si>
  <si>
    <t>Karonga-2-Katesula-2</t>
  </si>
  <si>
    <t>South Basin Fault 5c</t>
  </si>
  <si>
    <t>South Basin Fault 5c South</t>
  </si>
  <si>
    <t>South Basin Fault 5c Central</t>
  </si>
  <si>
    <t>South Basin Fault 5c North</t>
  </si>
  <si>
    <t>South Basin Fault 5-13c</t>
  </si>
  <si>
    <t>South Basin Fault 13c</t>
  </si>
  <si>
    <t>South Basin Fault 13c North</t>
  </si>
  <si>
    <t>South Basin Fault 13c South</t>
  </si>
  <si>
    <t>Mlungusi Central</t>
  </si>
  <si>
    <t>Kalembo</t>
  </si>
  <si>
    <t>MULTI_FAULT_NAME</t>
  </si>
  <si>
    <t>RUPTURE WEIGHTINGS</t>
  </si>
  <si>
    <t>SECTION</t>
  </si>
  <si>
    <t>MULTIFAULT</t>
  </si>
  <si>
    <t>North Basin Fault 14b North</t>
  </si>
  <si>
    <t>North Basin Fault 14b South</t>
  </si>
  <si>
    <t>Wovwe-2 South</t>
  </si>
  <si>
    <t>Wovwe-2 North</t>
  </si>
  <si>
    <t>Bwanje Central</t>
  </si>
  <si>
    <t>FAULT_LEN</t>
  </si>
  <si>
    <t>MULTI_FAULT_LEN</t>
  </si>
  <si>
    <t>SEC_AREA</t>
  </si>
  <si>
    <t>35 KM FAULT_CUTOFF</t>
  </si>
  <si>
    <t>Y_35</t>
  </si>
  <si>
    <t>OPTIMAL_SEC_MR</t>
  </si>
  <si>
    <t>FAULT_AREA</t>
  </si>
  <si>
    <t>OPTIMAL_FLT MR</t>
  </si>
  <si>
    <t>MED_MFLT_OBL</t>
  </si>
  <si>
    <t>M_FAULT_AREA</t>
  </si>
  <si>
    <t>OPTIMAL_M_FLT MR</t>
  </si>
  <si>
    <t>Catalog</t>
  </si>
  <si>
    <t>Moment Rate</t>
  </si>
  <si>
    <t>Optimal Moment Rate</t>
  </si>
  <si>
    <t>Direct MSSD</t>
  </si>
  <si>
    <t>Adapted, Length Limited W</t>
  </si>
  <si>
    <t>Adapted, Crust Limited W</t>
  </si>
  <si>
    <t>AREA</t>
  </si>
  <si>
    <t>TO GET OPTIMAL MSSD MOMENT RATE, SET THIS TO 1</t>
  </si>
  <si>
    <t>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</si>
</sst>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6337778862885"/>
        <bgColor rgb="FF000000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/>
    <xf numFmtId="2" fontId="1" fillId="4" borderId="0" xfId="0" applyNumberFormat="1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1" fillId="5" borderId="0" xfId="0" applyFont="1" applyFill="1"/>
    <xf numFmtId="0" fontId="0" fillId="5" borderId="0" xfId="0" applyFill="1"/>
    <xf numFmtId="2" fontId="0" fillId="5" borderId="0" xfId="0" applyNumberFormat="1" applyFill="1"/>
    <xf numFmtId="0" fontId="1" fillId="3" borderId="0" xfId="0" applyFont="1" applyFill="1"/>
    <xf numFmtId="0" fontId="0" fillId="3" borderId="0" xfId="0" applyFill="1"/>
    <xf numFmtId="0" fontId="1" fillId="6" borderId="0" xfId="0" applyFont="1" applyFill="1"/>
    <xf numFmtId="0" fontId="0" fillId="6" borderId="0" xfId="0" applyFill="1"/>
    <xf numFmtId="2" fontId="1" fillId="7" borderId="0" xfId="0" applyNumberFormat="1" applyFont="1" applyFill="1" applyAlignment="1">
      <alignment wrapText="1"/>
    </xf>
    <xf numFmtId="164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1" fontId="0" fillId="6" borderId="0" xfId="0" applyNumberFormat="1" applyFill="1"/>
    <xf numFmtId="0" fontId="5" fillId="8" borderId="0" xfId="0" applyFont="1" applyFill="1"/>
    <xf numFmtId="164" fontId="0" fillId="5" borderId="0" xfId="0" applyNumberFormat="1" applyFill="1"/>
    <xf numFmtId="164" fontId="0" fillId="3" borderId="0" xfId="0" applyNumberFormat="1" applyFill="1"/>
    <xf numFmtId="164" fontId="0" fillId="6" borderId="0" xfId="0" applyNumberFormat="1" applyFill="1"/>
    <xf numFmtId="2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center"/>
    </xf>
    <xf numFmtId="2" fontId="8" fillId="4" borderId="0" xfId="0" applyNumberFormat="1" applyFont="1" applyFill="1" applyAlignment="1">
      <alignment wrapText="1"/>
    </xf>
    <xf numFmtId="0" fontId="0" fillId="8" borderId="0" xfId="0" applyFill="1"/>
    <xf numFmtId="2" fontId="0" fillId="8" borderId="0" xfId="0" applyNumberFormat="1" applyFill="1"/>
    <xf numFmtId="0" fontId="1" fillId="4" borderId="0" xfId="0" applyFont="1" applyFill="1"/>
    <xf numFmtId="0" fontId="1" fillId="6" borderId="0" xfId="0" applyFont="1" applyFill="1" applyAlignment="1">
      <alignment horizontal="center"/>
    </xf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8" borderId="0" xfId="0" applyNumberFormat="1" applyFill="1"/>
    <xf numFmtId="0" fontId="1" fillId="8" borderId="0" xfId="0" applyFont="1" applyFill="1"/>
    <xf numFmtId="1" fontId="0" fillId="8" borderId="0" xfId="0" applyNumberFormat="1" applyFill="1"/>
    <xf numFmtId="2" fontId="8" fillId="9" borderId="0" xfId="0" applyNumberFormat="1" applyFont="1" applyFill="1" applyAlignment="1">
      <alignment wrapText="1"/>
    </xf>
    <xf numFmtId="2" fontId="1" fillId="9" borderId="0" xfId="0" applyNumberFormat="1" applyFont="1" applyFill="1" applyAlignment="1">
      <alignment wrapText="1"/>
    </xf>
    <xf numFmtId="0" fontId="1" fillId="10" borderId="0" xfId="0" applyFont="1" applyFill="1" applyAlignment="1">
      <alignment wrapText="1"/>
    </xf>
    <xf numFmtId="164" fontId="5" fillId="8" borderId="0" xfId="0" applyNumberFormat="1" applyFont="1" applyFill="1"/>
    <xf numFmtId="0" fontId="1" fillId="11" borderId="0" xfId="0" applyFont="1" applyFill="1"/>
    <xf numFmtId="0" fontId="0" fillId="11" borderId="0" xfId="0" applyFill="1"/>
    <xf numFmtId="164" fontId="5" fillId="11" borderId="0" xfId="0" applyNumberFormat="1" applyFont="1" applyFill="1"/>
    <xf numFmtId="1" fontId="0" fillId="11" borderId="0" xfId="0" applyNumberFormat="1" applyFill="1"/>
    <xf numFmtId="2" fontId="0" fillId="11" borderId="0" xfId="0" applyNumberFormat="1" applyFill="1"/>
    <xf numFmtId="164" fontId="0" fillId="11" borderId="0" xfId="0" applyNumberFormat="1" applyFill="1"/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5" fillId="12" borderId="0" xfId="0" applyNumberFormat="1" applyFont="1" applyFill="1"/>
    <xf numFmtId="164" fontId="5" fillId="0" borderId="0" xfId="0" applyNumberFormat="1" applyFont="1"/>
    <xf numFmtId="0" fontId="1" fillId="12" borderId="0" xfId="0" applyFont="1" applyFill="1"/>
    <xf numFmtId="0" fontId="5" fillId="12" borderId="0" xfId="0" applyFont="1" applyFill="1"/>
    <xf numFmtId="0" fontId="0" fillId="12" borderId="0" xfId="0" applyFill="1"/>
    <xf numFmtId="2" fontId="0" fillId="12" borderId="0" xfId="0" applyNumberFormat="1" applyFill="1"/>
    <xf numFmtId="164" fontId="0" fillId="12" borderId="0" xfId="0" applyNumberFormat="1" applyFill="1"/>
    <xf numFmtId="1" fontId="0" fillId="12" borderId="0" xfId="0" applyNumberFormat="1" applyFill="1"/>
    <xf numFmtId="0" fontId="10" fillId="13" borderId="0" xfId="0" applyFont="1" applyFill="1"/>
    <xf numFmtId="0" fontId="0" fillId="4" borderId="0" xfId="0" applyFill="1"/>
    <xf numFmtId="164" fontId="5" fillId="4" borderId="0" xfId="0" applyNumberFormat="1" applyFont="1" applyFill="1"/>
    <xf numFmtId="2" fontId="0" fillId="4" borderId="0" xfId="0" applyNumberFormat="1" applyFill="1"/>
    <xf numFmtId="164" fontId="0" fillId="4" borderId="0" xfId="0" applyNumberFormat="1" applyFill="1"/>
    <xf numFmtId="1" fontId="0" fillId="4" borderId="0" xfId="0" applyNumberFormat="1" applyFill="1"/>
    <xf numFmtId="0" fontId="12" fillId="5" borderId="0" xfId="0" applyFont="1" applyFill="1"/>
    <xf numFmtId="0" fontId="12" fillId="3" borderId="0" xfId="0" applyFont="1" applyFill="1"/>
    <xf numFmtId="0" fontId="12" fillId="6" borderId="0" xfId="0" applyFont="1" applyFill="1"/>
    <xf numFmtId="0" fontId="12" fillId="4" borderId="0" xfId="0" applyFont="1" applyFill="1"/>
    <xf numFmtId="0" fontId="13" fillId="0" borderId="0" xfId="0" applyFont="1"/>
    <xf numFmtId="0" fontId="12" fillId="0" borderId="0" xfId="0" applyFont="1"/>
    <xf numFmtId="0" fontId="10" fillId="0" borderId="0" xfId="0" applyFont="1"/>
    <xf numFmtId="0" fontId="13" fillId="6" borderId="0" xfId="0" applyFont="1" applyFill="1"/>
    <xf numFmtId="0" fontId="1" fillId="14" borderId="0" xfId="0" applyFont="1" applyFill="1"/>
    <xf numFmtId="0" fontId="5" fillId="14" borderId="0" xfId="0" applyFont="1" applyFill="1"/>
    <xf numFmtId="0" fontId="0" fillId="14" borderId="0" xfId="0" applyFill="1"/>
    <xf numFmtId="164" fontId="5" fillId="14" borderId="0" xfId="0" applyNumberFormat="1" applyFont="1" applyFill="1"/>
    <xf numFmtId="0" fontId="5" fillId="15" borderId="0" xfId="0" applyFont="1" applyFill="1"/>
    <xf numFmtId="0" fontId="0" fillId="15" borderId="0" xfId="0" applyFill="1"/>
    <xf numFmtId="164" fontId="5" fillId="15" borderId="0" xfId="0" applyNumberFormat="1" applyFont="1" applyFill="1"/>
    <xf numFmtId="2" fontId="0" fillId="15" borderId="0" xfId="0" applyNumberFormat="1" applyFill="1"/>
    <xf numFmtId="0" fontId="5" fillId="16" borderId="0" xfId="0" applyFont="1" applyFill="1"/>
    <xf numFmtId="0" fontId="0" fillId="16" borderId="0" xfId="0" applyFill="1"/>
    <xf numFmtId="164" fontId="5" fillId="16" borderId="0" xfId="0" applyNumberFormat="1" applyFont="1" applyFill="1"/>
    <xf numFmtId="2" fontId="0" fillId="16" borderId="0" xfId="0" applyNumberFormat="1" applyFill="1"/>
    <xf numFmtId="164" fontId="0" fillId="16" borderId="0" xfId="0" applyNumberFormat="1" applyFill="1"/>
    <xf numFmtId="0" fontId="1" fillId="17" borderId="0" xfId="0" applyFont="1" applyFill="1"/>
    <xf numFmtId="0" fontId="5" fillId="17" borderId="0" xfId="0" applyFont="1" applyFill="1"/>
    <xf numFmtId="0" fontId="0" fillId="17" borderId="0" xfId="0" applyFill="1"/>
    <xf numFmtId="164" fontId="5" fillId="17" borderId="0" xfId="0" applyNumberFormat="1" applyFont="1" applyFill="1"/>
    <xf numFmtId="2" fontId="0" fillId="17" borderId="0" xfId="0" applyNumberFormat="1" applyFill="1"/>
    <xf numFmtId="164" fontId="0" fillId="17" borderId="0" xfId="0" applyNumberFormat="1" applyFill="1"/>
    <xf numFmtId="1" fontId="0" fillId="17" borderId="0" xfId="0" applyNumberFormat="1" applyFill="1"/>
    <xf numFmtId="0" fontId="9" fillId="18" borderId="0" xfId="0" applyFont="1" applyFill="1"/>
    <xf numFmtId="0" fontId="1" fillId="16" borderId="0" xfId="0" applyFont="1" applyFill="1"/>
    <xf numFmtId="1" fontId="0" fillId="16" borderId="0" xfId="0" applyNumberFormat="1" applyFill="1"/>
    <xf numFmtId="0" fontId="0" fillId="19" borderId="0" xfId="0" applyFill="1"/>
    <xf numFmtId="0" fontId="5" fillId="19" borderId="0" xfId="0" applyFont="1" applyFill="1"/>
    <xf numFmtId="164" fontId="5" fillId="19" borderId="0" xfId="0" applyNumberFormat="1" applyFont="1" applyFill="1"/>
    <xf numFmtId="2" fontId="0" fillId="19" borderId="0" xfId="0" applyNumberFormat="1" applyFill="1"/>
    <xf numFmtId="0" fontId="1" fillId="19" borderId="0" xfId="0" applyFont="1" applyFill="1"/>
    <xf numFmtId="0" fontId="12" fillId="19" borderId="0" xfId="0" applyFont="1" applyFill="1"/>
    <xf numFmtId="0" fontId="0" fillId="20" borderId="0" xfId="0" applyFill="1"/>
    <xf numFmtId="0" fontId="5" fillId="20" borderId="0" xfId="0" applyFont="1" applyFill="1"/>
    <xf numFmtId="2" fontId="1" fillId="9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ck Williams" id="{68C13EEE-E827-3048-989D-23E4FE91D1C1}" userId="Jack Williams" providerId="None"/>
  <person displayName="Jack Williams" id="{4E0E87C1-68EB-9247-8467-D3A880703963}" userId="S::williamsj132@cardiff.ac.uk::2d829357-bbe2-42b3-a027-ea4399b41b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" dT="2021-02-15T11:37:50.30" personId="{4E0E87C1-68EB-9247-8467-D3A880703963}" id="{37691359-D388-8046-A0C9-4C84F41202CB}">
    <text>Synbasement structural level -sediment thickness (i.e. depth on lake floor fault propagates to)</text>
  </threadedComment>
  <threadedComment ref="S3" dT="2021-02-24T19:26:46.61" personId="{4E0E87C1-68EB-9247-8467-D3A880703963}" id="{48CB21DB-1C61-2247-8032-15FBCC0226AA}">
    <text>If fault cut off by intersecting fault, calculate area using Matlab fault geom script</text>
  </threadedComment>
  <threadedComment ref="AC4" dT="2019-06-08T14:54:49.72" personId="{68C13EEE-E827-3048-989D-23E4FE91D1C1}" id="{3E42DBB0-E31D-6C44-BD18-5910E76022AF}">
    <text>Extension divided here between Nsanje and East Urema fault to south. Furthemore, rift extension here in the Urema Graben is 1.2 mm/yr (Saria et al 2014)</text>
  </threadedComment>
  <threadedComment ref="U173" dT="2021-03-04T20:22:21.80" personId="{4E0E87C1-68EB-9247-8467-D3A880703963}" id="{F49660B7-9D67-CC4B-BCC2-B50B55FBA0D6}">
    <text>Area estimated from fault polygon due to large bend in fault trace</text>
  </threadedComment>
  <threadedComment ref="U174" dT="2021-03-04T20:22:21.80" personId="{4E0E87C1-68EB-9247-8467-D3A880703963}" id="{A87BF1A0-47F5-454F-A3A1-3B8CEF2B4288}">
    <text>Area estimated from fault polygon due to large bend in fault trace</text>
  </threadedComment>
  <threadedComment ref="N233" dT="2021-08-20T20:53:37.76" personId="{4E0E87C1-68EB-9247-8467-D3A880703963}" id="{D0B43BDE-008A-CE4B-BF16-530F3189E0E2}">
    <text>Kolawole et al 2018</text>
  </threadedComment>
  <threadedComment ref="N240" dT="2021-08-20T20:08:32.63" personId="{4E0E87C1-68EB-9247-8467-D3A880703963}" id="{53B7B3D5-F884-A14F-9B51-9C7AA0DA1103}">
    <text>Gaherty et al 2019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64" dT="2021-03-04T20:51:25.16" personId="{4E0E87C1-68EB-9247-8467-D3A880703963}" id="{E802543A-F19B-FC4E-B907-587382867D3F}">
    <text>Area of fault 7a estimated from polygon due to high complexity of fault bend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E311"/>
  <sheetViews>
    <sheetView zoomScale="75" zoomScaleNormal="75" zoomScalePageLayoutView="80" workbookViewId="0">
      <pane xSplit="6" ySplit="3" topLeftCell="AY30" activePane="bottomRight" state="frozen"/>
      <selection pane="topRight" activeCell="G1" sqref="G1"/>
      <selection pane="bottomLeft" activeCell="A4" sqref="A4"/>
      <selection pane="bottomRight" activeCell="BC58" sqref="BC58"/>
    </sheetView>
  </sheetViews>
  <sheetFormatPr baseColWidth="10" defaultRowHeight="16" x14ac:dyDescent="0.2"/>
  <cols>
    <col min="3" max="3" width="15.1640625" bestFit="1" customWidth="1"/>
    <col min="4" max="4" width="19.33203125" style="4" bestFit="1" customWidth="1"/>
    <col min="5" max="5" width="25.5" bestFit="1" customWidth="1"/>
    <col min="6" max="6" width="34.83203125" customWidth="1"/>
    <col min="7" max="8" width="14.1640625" customWidth="1"/>
    <col min="9" max="9" width="10.83203125" customWidth="1"/>
    <col min="10" max="12" width="14.1640625" customWidth="1"/>
    <col min="29" max="29" width="17" customWidth="1"/>
    <col min="30" max="30" width="17.6640625" customWidth="1"/>
    <col min="31" max="31" width="17.83203125" customWidth="1"/>
    <col min="32" max="32" width="18.83203125" customWidth="1"/>
    <col min="33" max="33" width="17.1640625" customWidth="1"/>
    <col min="34" max="34" width="18.6640625" customWidth="1"/>
    <col min="35" max="35" width="18.5" customWidth="1"/>
    <col min="36" max="37" width="18.6640625" customWidth="1"/>
    <col min="38" max="38" width="14.1640625" customWidth="1"/>
    <col min="39" max="39" width="16.5" customWidth="1"/>
    <col min="40" max="46" width="14.6640625" customWidth="1"/>
    <col min="48" max="48" width="13.6640625" customWidth="1"/>
    <col min="49" max="49" width="16" customWidth="1"/>
    <col min="50" max="50" width="13.6640625" customWidth="1"/>
    <col min="51" max="51" width="13.1640625" customWidth="1"/>
    <col min="52" max="53" width="13.33203125" customWidth="1"/>
    <col min="54" max="54" width="12.33203125" customWidth="1"/>
    <col min="55" max="55" width="13.6640625" bestFit="1" customWidth="1"/>
    <col min="56" max="56" width="13" bestFit="1" customWidth="1"/>
    <col min="57" max="57" width="12.33203125" customWidth="1"/>
    <col min="59" max="59" width="13.6640625" customWidth="1"/>
    <col min="60" max="60" width="16" customWidth="1"/>
    <col min="61" max="61" width="13.6640625" customWidth="1"/>
    <col min="62" max="62" width="13.1640625" customWidth="1"/>
    <col min="63" max="64" width="13.33203125" customWidth="1"/>
    <col min="65" max="65" width="12.33203125" customWidth="1"/>
    <col min="66" max="66" width="13.6640625" bestFit="1" customWidth="1"/>
    <col min="67" max="67" width="13" bestFit="1" customWidth="1"/>
    <col min="68" max="68" width="12.33203125" customWidth="1"/>
    <col min="69" max="69" width="10.83203125" customWidth="1"/>
    <col min="70" max="70" width="13.6640625" customWidth="1"/>
    <col min="71" max="71" width="16" customWidth="1"/>
    <col min="72" max="72" width="13.6640625" customWidth="1"/>
    <col min="73" max="73" width="13.1640625" customWidth="1"/>
    <col min="74" max="75" width="13.33203125" customWidth="1"/>
    <col min="76" max="76" width="12.33203125" customWidth="1"/>
    <col min="77" max="77" width="13.6640625" bestFit="1" customWidth="1"/>
    <col min="78" max="78" width="13" bestFit="1" customWidth="1"/>
    <col min="79" max="79" width="12.33203125" customWidth="1"/>
  </cols>
  <sheetData>
    <row r="2" spans="1:83" x14ac:dyDescent="0.2">
      <c r="E2" s="103" t="s">
        <v>426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46"/>
      <c r="W2" s="46"/>
      <c r="X2" s="46"/>
      <c r="Y2" s="46"/>
      <c r="Z2" s="46"/>
      <c r="AB2" s="105" t="s">
        <v>223</v>
      </c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47"/>
      <c r="AS2" s="47"/>
      <c r="AT2" s="47"/>
      <c r="AV2" s="104" t="s">
        <v>47</v>
      </c>
      <c r="AW2" s="104"/>
      <c r="AX2" s="104"/>
      <c r="AY2" s="104"/>
      <c r="AZ2" s="104"/>
      <c r="BA2" s="104"/>
      <c r="BB2" s="25"/>
      <c r="BC2" s="104" t="s">
        <v>48</v>
      </c>
      <c r="BD2" s="104"/>
      <c r="BE2" s="104"/>
      <c r="BG2" s="101" t="s">
        <v>49</v>
      </c>
      <c r="BH2" s="101"/>
      <c r="BI2" s="101"/>
      <c r="BJ2" s="101"/>
      <c r="BK2" s="101"/>
      <c r="BL2" s="101"/>
      <c r="BM2" s="25"/>
      <c r="BN2" s="102" t="s">
        <v>40</v>
      </c>
      <c r="BO2" s="102"/>
      <c r="BP2" s="102"/>
      <c r="BR2" s="101" t="s">
        <v>191</v>
      </c>
      <c r="BS2" s="101"/>
      <c r="BT2" s="101"/>
      <c r="BU2" s="101"/>
      <c r="BV2" s="101"/>
      <c r="BW2" s="101"/>
      <c r="BX2" s="25"/>
      <c r="BY2" s="102" t="s">
        <v>190</v>
      </c>
      <c r="BZ2" s="102"/>
      <c r="CA2" s="102"/>
    </row>
    <row r="3" spans="1:83" ht="32" customHeight="1" x14ac:dyDescent="0.2">
      <c r="A3" t="s">
        <v>134</v>
      </c>
      <c r="B3" t="s">
        <v>427</v>
      </c>
      <c r="C3" s="4" t="s">
        <v>185</v>
      </c>
      <c r="D3" s="1" t="s">
        <v>33</v>
      </c>
      <c r="E3" s="38" t="s">
        <v>95</v>
      </c>
      <c r="F3" s="38" t="s">
        <v>186</v>
      </c>
      <c r="G3" s="38" t="s">
        <v>81</v>
      </c>
      <c r="H3" s="38" t="s">
        <v>82</v>
      </c>
      <c r="I3" s="38" t="s">
        <v>187</v>
      </c>
      <c r="J3" s="38" t="s">
        <v>80</v>
      </c>
      <c r="K3" s="38" t="s">
        <v>188</v>
      </c>
      <c r="L3" s="38" t="s">
        <v>189</v>
      </c>
      <c r="M3" s="38" t="s">
        <v>43</v>
      </c>
      <c r="N3" s="38" t="s">
        <v>44</v>
      </c>
      <c r="O3" s="38" t="s">
        <v>45</v>
      </c>
      <c r="P3" s="38" t="s">
        <v>46</v>
      </c>
      <c r="Q3" s="38" t="s">
        <v>233</v>
      </c>
      <c r="R3" s="38" t="s">
        <v>231</v>
      </c>
      <c r="S3" s="38" t="s">
        <v>307</v>
      </c>
      <c r="T3" s="38" t="s">
        <v>309</v>
      </c>
      <c r="U3" s="38" t="s">
        <v>310</v>
      </c>
      <c r="V3" s="38" t="s">
        <v>311</v>
      </c>
      <c r="W3" s="38" t="s">
        <v>312</v>
      </c>
      <c r="X3" s="38" t="s">
        <v>316</v>
      </c>
      <c r="Y3" s="38" t="s">
        <v>317</v>
      </c>
      <c r="Z3" s="38" t="s">
        <v>318</v>
      </c>
      <c r="AB3" s="3" t="s">
        <v>469</v>
      </c>
      <c r="AC3" s="3" t="s">
        <v>34</v>
      </c>
      <c r="AD3" s="3" t="s">
        <v>35</v>
      </c>
      <c r="AE3" s="3" t="s">
        <v>36</v>
      </c>
      <c r="AF3" s="3" t="s">
        <v>37</v>
      </c>
      <c r="AG3" s="3" t="s">
        <v>38</v>
      </c>
      <c r="AH3" s="3" t="s">
        <v>39</v>
      </c>
      <c r="AI3" s="3" t="s">
        <v>222</v>
      </c>
      <c r="AJ3" s="3" t="s">
        <v>220</v>
      </c>
      <c r="AK3" s="3" t="s">
        <v>221</v>
      </c>
      <c r="AL3" s="3" t="s">
        <v>85</v>
      </c>
      <c r="AM3" s="3" t="s">
        <v>84</v>
      </c>
      <c r="AN3" s="3" t="s">
        <v>83</v>
      </c>
      <c r="AO3" s="3" t="s">
        <v>79</v>
      </c>
      <c r="AP3" s="3" t="s">
        <v>78</v>
      </c>
      <c r="AQ3" s="3" t="s">
        <v>124</v>
      </c>
      <c r="AR3" s="3" t="s">
        <v>192</v>
      </c>
      <c r="AS3" s="3" t="s">
        <v>193</v>
      </c>
      <c r="AT3" s="3" t="s">
        <v>194</v>
      </c>
      <c r="AU3" s="1"/>
      <c r="AV3" s="26" t="s">
        <v>89</v>
      </c>
      <c r="AW3" s="26" t="s">
        <v>90</v>
      </c>
      <c r="AX3" s="26" t="s">
        <v>94</v>
      </c>
      <c r="AY3" s="5" t="s">
        <v>91</v>
      </c>
      <c r="AZ3" s="5" t="s">
        <v>92</v>
      </c>
      <c r="BA3" s="5" t="s">
        <v>93</v>
      </c>
      <c r="BB3" s="24"/>
      <c r="BC3" s="5" t="s">
        <v>86</v>
      </c>
      <c r="BD3" s="5" t="s">
        <v>87</v>
      </c>
      <c r="BE3" s="5" t="s">
        <v>88</v>
      </c>
      <c r="BG3" s="36" t="s">
        <v>69</v>
      </c>
      <c r="BH3" s="36" t="s">
        <v>70</v>
      </c>
      <c r="BI3" s="36" t="s">
        <v>71</v>
      </c>
      <c r="BJ3" s="37" t="s">
        <v>72</v>
      </c>
      <c r="BK3" s="37" t="s">
        <v>73</v>
      </c>
      <c r="BL3" s="37" t="s">
        <v>74</v>
      </c>
      <c r="BM3" s="24"/>
      <c r="BN3" s="15" t="s">
        <v>75</v>
      </c>
      <c r="BO3" s="15" t="s">
        <v>76</v>
      </c>
      <c r="BP3" s="15" t="s">
        <v>77</v>
      </c>
      <c r="BR3" s="36" t="s">
        <v>69</v>
      </c>
      <c r="BS3" s="36" t="s">
        <v>70</v>
      </c>
      <c r="BT3" s="36" t="s">
        <v>71</v>
      </c>
      <c r="BU3" s="37" t="s">
        <v>72</v>
      </c>
      <c r="BV3" s="37" t="s">
        <v>73</v>
      </c>
      <c r="BW3" s="37" t="s">
        <v>74</v>
      </c>
      <c r="BX3" s="24"/>
      <c r="BY3" s="15" t="s">
        <v>75</v>
      </c>
      <c r="BZ3" s="15" t="s">
        <v>76</v>
      </c>
      <c r="CA3" s="15" t="s">
        <v>77</v>
      </c>
      <c r="CC3" s="15" t="s">
        <v>234</v>
      </c>
      <c r="CD3" s="15" t="s">
        <v>184</v>
      </c>
      <c r="CE3" s="15" t="s">
        <v>227</v>
      </c>
    </row>
    <row r="4" spans="1:83" x14ac:dyDescent="0.2">
      <c r="A4">
        <v>301</v>
      </c>
      <c r="C4" s="34" t="s">
        <v>1</v>
      </c>
      <c r="D4" s="34" t="s">
        <v>1</v>
      </c>
      <c r="E4" s="27" t="s">
        <v>42</v>
      </c>
      <c r="F4" s="34" t="s">
        <v>42</v>
      </c>
      <c r="G4" s="20" t="s">
        <v>42</v>
      </c>
      <c r="H4" s="20" t="s">
        <v>42</v>
      </c>
      <c r="I4" s="27">
        <v>33.200000000000003</v>
      </c>
      <c r="J4" s="27">
        <v>22</v>
      </c>
      <c r="K4" s="27" t="s">
        <v>42</v>
      </c>
      <c r="L4" s="27" t="s">
        <v>42</v>
      </c>
      <c r="M4" s="27">
        <v>40</v>
      </c>
      <c r="N4" s="27">
        <v>53</v>
      </c>
      <c r="O4" s="27">
        <v>65</v>
      </c>
      <c r="P4" s="27" t="s">
        <v>13</v>
      </c>
      <c r="Q4" s="27">
        <v>0</v>
      </c>
      <c r="R4" s="27">
        <v>0</v>
      </c>
      <c r="S4" s="27" t="s">
        <v>211</v>
      </c>
      <c r="T4" s="39">
        <v>411.53936729562844</v>
      </c>
      <c r="U4" s="39">
        <v>600.16157730612485</v>
      </c>
      <c r="V4" s="39">
        <v>857.37368186589254</v>
      </c>
      <c r="W4" s="39" t="s">
        <v>42</v>
      </c>
      <c r="X4" s="39" t="s">
        <v>42</v>
      </c>
      <c r="Y4" s="39" t="s">
        <v>42</v>
      </c>
      <c r="Z4" s="39" t="s">
        <v>42</v>
      </c>
      <c r="AB4" s="27" t="s">
        <v>471</v>
      </c>
      <c r="AC4" s="27">
        <v>0.25</v>
      </c>
      <c r="AD4" s="27">
        <v>0.35</v>
      </c>
      <c r="AE4" s="27">
        <v>0.45</v>
      </c>
      <c r="AF4" s="27">
        <v>0.25</v>
      </c>
      <c r="AG4" s="27">
        <v>0.46</v>
      </c>
      <c r="AH4" s="27">
        <v>0.67</v>
      </c>
      <c r="AI4" s="27">
        <v>19</v>
      </c>
      <c r="AJ4" s="27">
        <v>67</v>
      </c>
      <c r="AK4" s="27">
        <v>115</v>
      </c>
      <c r="AL4" s="27" t="s">
        <v>42</v>
      </c>
      <c r="AM4" s="27" t="s">
        <v>42</v>
      </c>
      <c r="AN4" s="27" t="s">
        <v>42</v>
      </c>
      <c r="AO4" s="28">
        <v>4.2699836733571294E-3</v>
      </c>
      <c r="AP4" s="28">
        <v>0.18916807888039625</v>
      </c>
      <c r="AQ4" s="28">
        <v>0.71243207401491349</v>
      </c>
      <c r="AR4" s="28" t="s">
        <v>42</v>
      </c>
      <c r="AS4" s="28" t="s">
        <v>42</v>
      </c>
      <c r="AT4" s="28" t="s">
        <v>42</v>
      </c>
      <c r="AV4" s="33" t="s">
        <v>42</v>
      </c>
      <c r="AW4" s="33" t="s">
        <v>42</v>
      </c>
      <c r="AX4" s="33" t="s">
        <v>42</v>
      </c>
      <c r="AY4" s="33" t="s">
        <v>42</v>
      </c>
      <c r="AZ4" s="33" t="s">
        <v>42</v>
      </c>
      <c r="BA4" s="33" t="s">
        <v>42</v>
      </c>
      <c r="BB4" s="2"/>
      <c r="BC4" s="35" t="s">
        <v>42</v>
      </c>
      <c r="BD4" s="35" t="s">
        <v>42</v>
      </c>
      <c r="BE4" s="35" t="s">
        <v>42</v>
      </c>
      <c r="BG4" s="33">
        <v>6.3774815181767295</v>
      </c>
      <c r="BH4" s="33">
        <v>6.8104665458561513</v>
      </c>
      <c r="BI4" s="33">
        <v>7.2983002721291044</v>
      </c>
      <c r="BJ4" s="33">
        <v>0.30429649626887978</v>
      </c>
      <c r="BK4" s="33">
        <v>0.93093142477308344</v>
      </c>
      <c r="BL4" s="33">
        <v>3.513713280685955</v>
      </c>
      <c r="BM4" s="2"/>
      <c r="BN4" s="35">
        <v>427.12352148046307</v>
      </c>
      <c r="BO4" s="35">
        <v>4921.1866520126569</v>
      </c>
      <c r="BP4" s="35">
        <v>822886.81865694758</v>
      </c>
      <c r="BR4" s="33" t="s">
        <v>42</v>
      </c>
      <c r="BS4" s="33" t="s">
        <v>42</v>
      </c>
      <c r="BT4" s="33" t="s">
        <v>42</v>
      </c>
      <c r="BU4" s="33" t="s">
        <v>42</v>
      </c>
      <c r="BV4" s="33" t="s">
        <v>42</v>
      </c>
      <c r="BW4" s="33" t="s">
        <v>42</v>
      </c>
      <c r="BX4" s="2"/>
      <c r="BY4" s="35" t="s">
        <v>42</v>
      </c>
      <c r="BZ4" s="35" t="s">
        <v>42</v>
      </c>
      <c r="CA4" s="35" t="s">
        <v>42</v>
      </c>
      <c r="CC4">
        <v>301</v>
      </c>
    </row>
    <row r="5" spans="1:83" x14ac:dyDescent="0.2">
      <c r="A5">
        <v>302</v>
      </c>
      <c r="B5">
        <v>1</v>
      </c>
      <c r="C5" s="70" t="s">
        <v>431</v>
      </c>
      <c r="D5" s="70" t="s">
        <v>3</v>
      </c>
      <c r="E5" s="70" t="s">
        <v>97</v>
      </c>
      <c r="F5" s="70" t="s">
        <v>42</v>
      </c>
      <c r="G5" s="71">
        <v>30.4</v>
      </c>
      <c r="H5" s="71">
        <v>132</v>
      </c>
      <c r="I5" s="72">
        <v>143.99999999999997</v>
      </c>
      <c r="J5" s="72">
        <v>127</v>
      </c>
      <c r="K5" s="72" t="s">
        <v>42</v>
      </c>
      <c r="L5" s="72" t="s">
        <v>42</v>
      </c>
      <c r="M5" s="72">
        <v>40</v>
      </c>
      <c r="N5" s="72">
        <v>53</v>
      </c>
      <c r="O5" s="72">
        <v>65</v>
      </c>
      <c r="P5" s="72" t="s">
        <v>10</v>
      </c>
      <c r="Q5" s="72">
        <v>0</v>
      </c>
      <c r="R5" s="72">
        <v>0</v>
      </c>
      <c r="S5" s="72" t="s">
        <v>211</v>
      </c>
      <c r="T5" s="73">
        <v>4747.3589067171706</v>
      </c>
      <c r="U5" s="73">
        <v>6310.7637171073766</v>
      </c>
      <c r="V5" s="73">
        <v>6310.7637171073766</v>
      </c>
      <c r="W5" s="73" t="s">
        <v>42</v>
      </c>
      <c r="X5" s="73" t="s">
        <v>42</v>
      </c>
      <c r="Y5" s="73" t="s">
        <v>42</v>
      </c>
      <c r="Z5" s="42" t="s">
        <v>42</v>
      </c>
      <c r="AB5" s="41" t="s">
        <v>471</v>
      </c>
      <c r="AC5" s="41">
        <v>1</v>
      </c>
      <c r="AD5" s="41">
        <v>1</v>
      </c>
      <c r="AE5" s="41">
        <v>1</v>
      </c>
      <c r="AF5" s="72">
        <v>0.44999999999999996</v>
      </c>
      <c r="AG5" s="72">
        <v>0.61</v>
      </c>
      <c r="AH5" s="72">
        <v>0.77</v>
      </c>
      <c r="AI5" s="72">
        <v>28</v>
      </c>
      <c r="AJ5" s="72">
        <v>65</v>
      </c>
      <c r="AK5" s="72">
        <v>102</v>
      </c>
      <c r="AL5" s="44">
        <v>0.29371664009976256</v>
      </c>
      <c r="AM5" s="44">
        <v>0.93302416690273271</v>
      </c>
      <c r="AN5" s="44">
        <v>1.7678547684030819</v>
      </c>
      <c r="AO5" s="44">
        <v>0.24826003176656056</v>
      </c>
      <c r="AP5" s="44">
        <v>0.89495610930913727</v>
      </c>
      <c r="AQ5" s="44">
        <v>1.7995436806866589</v>
      </c>
      <c r="AR5" s="44" t="s">
        <v>42</v>
      </c>
      <c r="AS5" s="44" t="s">
        <v>42</v>
      </c>
      <c r="AT5" s="44" t="s">
        <v>42</v>
      </c>
      <c r="AV5" s="45">
        <v>6.2870406846845936</v>
      </c>
      <c r="AW5" s="45">
        <v>6.7200257123640155</v>
      </c>
      <c r="AX5" s="45">
        <v>7.2078594386369685</v>
      </c>
      <c r="AY5" s="45">
        <v>0.28275472333478174</v>
      </c>
      <c r="AZ5" s="45">
        <v>0.86502888032854186</v>
      </c>
      <c r="BA5" s="45">
        <v>3.2649703126394893</v>
      </c>
      <c r="BB5" s="2"/>
      <c r="BC5" s="43">
        <v>159.94228054728526</v>
      </c>
      <c r="BD5" s="43">
        <v>927.1237670081922</v>
      </c>
      <c r="BE5" s="43">
        <v>11116.054955315174</v>
      </c>
      <c r="BG5" s="45">
        <v>7.4395221988287519</v>
      </c>
      <c r="BH5" s="45">
        <v>7.8322802776133074</v>
      </c>
      <c r="BI5" s="45">
        <v>8.1652120439005174</v>
      </c>
      <c r="BJ5" s="45">
        <v>1.0335162088769401</v>
      </c>
      <c r="BK5" s="45">
        <v>3.0187319866962441</v>
      </c>
      <c r="BL5" s="45">
        <v>9.5328378527249882</v>
      </c>
      <c r="BM5" s="16"/>
      <c r="BN5" s="43">
        <v>574.32126820204621</v>
      </c>
      <c r="BO5" s="43">
        <v>3373.0503153127347</v>
      </c>
      <c r="BP5" s="43">
        <v>38398.6007932551</v>
      </c>
      <c r="BR5" s="45" t="s">
        <v>42</v>
      </c>
      <c r="BS5" s="45" t="s">
        <v>42</v>
      </c>
      <c r="BT5" s="45" t="s">
        <v>42</v>
      </c>
      <c r="BU5" s="45" t="s">
        <v>42</v>
      </c>
      <c r="BV5" s="45" t="s">
        <v>42</v>
      </c>
      <c r="BW5" s="45" t="s">
        <v>42</v>
      </c>
      <c r="BX5" s="2"/>
      <c r="BY5" s="43" t="s">
        <v>42</v>
      </c>
      <c r="BZ5" s="43" t="s">
        <v>42</v>
      </c>
      <c r="CA5" s="43" t="s">
        <v>42</v>
      </c>
      <c r="CC5">
        <v>302</v>
      </c>
      <c r="CD5">
        <v>1</v>
      </c>
    </row>
    <row r="6" spans="1:83" x14ac:dyDescent="0.2">
      <c r="A6">
        <v>302</v>
      </c>
      <c r="B6">
        <v>2</v>
      </c>
      <c r="C6" s="70" t="s">
        <v>431</v>
      </c>
      <c r="D6" s="70" t="s">
        <v>3</v>
      </c>
      <c r="E6" s="70" t="s">
        <v>297</v>
      </c>
      <c r="F6" s="70" t="s">
        <v>42</v>
      </c>
      <c r="G6" s="71">
        <v>62.4</v>
      </c>
      <c r="H6" s="71">
        <v>130</v>
      </c>
      <c r="I6" s="72">
        <v>143.99999999999997</v>
      </c>
      <c r="J6" s="72">
        <v>127</v>
      </c>
      <c r="K6" s="72" t="s">
        <v>42</v>
      </c>
      <c r="L6" s="72" t="s">
        <v>42</v>
      </c>
      <c r="M6" s="72">
        <v>40</v>
      </c>
      <c r="N6" s="72">
        <v>53</v>
      </c>
      <c r="O6" s="72">
        <v>65</v>
      </c>
      <c r="P6" s="72" t="s">
        <v>10</v>
      </c>
      <c r="Q6" s="72">
        <v>0</v>
      </c>
      <c r="R6" s="72">
        <v>0</v>
      </c>
      <c r="S6" s="72" t="s">
        <v>211</v>
      </c>
      <c r="T6" s="73">
        <v>4747.3589067171706</v>
      </c>
      <c r="U6" s="73">
        <v>6310.7637171073766</v>
      </c>
      <c r="V6" s="73">
        <v>6310.7637171073766</v>
      </c>
      <c r="W6" s="73" t="s">
        <v>42</v>
      </c>
      <c r="X6" s="73" t="s">
        <v>42</v>
      </c>
      <c r="Y6" s="73" t="s">
        <v>42</v>
      </c>
      <c r="Z6" s="42" t="s">
        <v>42</v>
      </c>
      <c r="AB6" s="41" t="s">
        <v>471</v>
      </c>
      <c r="AC6" s="41">
        <v>1</v>
      </c>
      <c r="AD6" s="41">
        <v>1</v>
      </c>
      <c r="AE6" s="41">
        <v>1</v>
      </c>
      <c r="AF6" s="72">
        <v>0.44999999999999996</v>
      </c>
      <c r="AG6" s="72">
        <v>0.61</v>
      </c>
      <c r="AH6" s="72">
        <v>0.77</v>
      </c>
      <c r="AI6" s="72">
        <v>28</v>
      </c>
      <c r="AJ6" s="72">
        <v>65</v>
      </c>
      <c r="AK6" s="72">
        <v>102</v>
      </c>
      <c r="AL6" s="44">
        <v>0.27578322008771328</v>
      </c>
      <c r="AM6" s="44">
        <v>0.91863401348271045</v>
      </c>
      <c r="AN6" s="44">
        <v>1.7821606890881245</v>
      </c>
      <c r="AO6" s="44">
        <v>0.24826003176656056</v>
      </c>
      <c r="AP6" s="44">
        <v>0.89495610930913727</v>
      </c>
      <c r="AQ6" s="44">
        <v>1.7995436806866589</v>
      </c>
      <c r="AR6" s="44" t="s">
        <v>42</v>
      </c>
      <c r="AS6" s="44" t="s">
        <v>42</v>
      </c>
      <c r="AT6" s="44" t="s">
        <v>42</v>
      </c>
      <c r="AV6" s="45">
        <v>6.8075590281407115</v>
      </c>
      <c r="AW6" s="45">
        <v>7.2405440558201333</v>
      </c>
      <c r="AX6" s="45">
        <v>7.7283777820930863</v>
      </c>
      <c r="AY6" s="45">
        <v>0.514836157350259</v>
      </c>
      <c r="AZ6" s="45">
        <v>1.5750334406193141</v>
      </c>
      <c r="BA6" s="45">
        <v>5.9448158806944935</v>
      </c>
      <c r="BC6" s="43">
        <v>288.88312962041846</v>
      </c>
      <c r="BD6" s="43">
        <v>1714.5385621506357</v>
      </c>
      <c r="BE6" s="43">
        <v>21556.118892236213</v>
      </c>
      <c r="BG6" s="45">
        <v>7.4395221988287519</v>
      </c>
      <c r="BH6" s="45">
        <v>7.8322802776133074</v>
      </c>
      <c r="BI6" s="45">
        <v>8.1652120439005174</v>
      </c>
      <c r="BJ6" s="45">
        <v>1.0335162088769401</v>
      </c>
      <c r="BK6" s="45">
        <v>3.0187319866962441</v>
      </c>
      <c r="BL6" s="45">
        <v>9.5328378527249882</v>
      </c>
      <c r="BN6" s="43">
        <v>574.32126820204621</v>
      </c>
      <c r="BO6" s="43">
        <v>3373.0503153127347</v>
      </c>
      <c r="BP6" s="43">
        <v>38398.6007932551</v>
      </c>
      <c r="BR6" s="45" t="s">
        <v>42</v>
      </c>
      <c r="BS6" s="45" t="s">
        <v>42</v>
      </c>
      <c r="BT6" s="45" t="s">
        <v>42</v>
      </c>
      <c r="BU6" s="45" t="s">
        <v>42</v>
      </c>
      <c r="BV6" s="45" t="s">
        <v>42</v>
      </c>
      <c r="BW6" s="45" t="s">
        <v>42</v>
      </c>
      <c r="BY6" s="43" t="s">
        <v>42</v>
      </c>
      <c r="BZ6" s="43" t="s">
        <v>42</v>
      </c>
      <c r="CA6" s="43" t="s">
        <v>42</v>
      </c>
      <c r="CC6">
        <v>302</v>
      </c>
      <c r="CD6">
        <v>2</v>
      </c>
    </row>
    <row r="7" spans="1:83" x14ac:dyDescent="0.2">
      <c r="A7">
        <v>302</v>
      </c>
      <c r="B7">
        <v>3</v>
      </c>
      <c r="C7" s="70" t="s">
        <v>431</v>
      </c>
      <c r="D7" s="70" t="s">
        <v>3</v>
      </c>
      <c r="E7" s="70" t="s">
        <v>156</v>
      </c>
      <c r="F7" s="70" t="s">
        <v>42</v>
      </c>
      <c r="G7" s="71">
        <v>0.8</v>
      </c>
      <c r="H7" s="71">
        <v>100</v>
      </c>
      <c r="I7" s="72">
        <v>143.99999999999997</v>
      </c>
      <c r="J7" s="72">
        <v>127</v>
      </c>
      <c r="K7" s="72" t="s">
        <v>42</v>
      </c>
      <c r="L7" s="72" t="s">
        <v>42</v>
      </c>
      <c r="M7" s="72">
        <v>40</v>
      </c>
      <c r="N7" s="72">
        <v>53</v>
      </c>
      <c r="O7" s="72">
        <v>65</v>
      </c>
      <c r="P7" s="72" t="s">
        <v>10</v>
      </c>
      <c r="Q7" s="72">
        <v>0</v>
      </c>
      <c r="R7" s="72">
        <v>0</v>
      </c>
      <c r="S7" s="72" t="s">
        <v>211</v>
      </c>
      <c r="T7" s="73">
        <v>4747.3589067171706</v>
      </c>
      <c r="U7" s="73">
        <v>6310.7637171073766</v>
      </c>
      <c r="V7" s="73">
        <v>6310.7637171073766</v>
      </c>
      <c r="W7" s="73" t="s">
        <v>42</v>
      </c>
      <c r="X7" s="73" t="s">
        <v>42</v>
      </c>
      <c r="Y7" s="73" t="s">
        <v>42</v>
      </c>
      <c r="Z7" s="42" t="s">
        <v>42</v>
      </c>
      <c r="AB7" s="41" t="s">
        <v>471</v>
      </c>
      <c r="AC7" s="41">
        <v>1</v>
      </c>
      <c r="AD7" s="41">
        <v>1</v>
      </c>
      <c r="AE7" s="41">
        <v>1</v>
      </c>
      <c r="AF7" s="72">
        <v>0.44999999999999996</v>
      </c>
      <c r="AG7" s="72">
        <v>0.61</v>
      </c>
      <c r="AH7" s="72">
        <v>0.77</v>
      </c>
      <c r="AI7" s="72">
        <v>28</v>
      </c>
      <c r="AJ7" s="72">
        <v>65</v>
      </c>
      <c r="AK7" s="72">
        <v>102</v>
      </c>
      <c r="AL7" s="44" t="s">
        <v>42</v>
      </c>
      <c r="AM7" s="44" t="s">
        <v>42</v>
      </c>
      <c r="AN7" s="44" t="s">
        <v>42</v>
      </c>
      <c r="AO7" s="44">
        <v>0.24826003176656056</v>
      </c>
      <c r="AP7" s="44">
        <v>0.89495610930913727</v>
      </c>
      <c r="AQ7" s="44">
        <v>1.7995436806866589</v>
      </c>
      <c r="AR7" s="44" t="s">
        <v>42</v>
      </c>
      <c r="AS7" s="44" t="s">
        <v>42</v>
      </c>
      <c r="AT7" s="44" t="s">
        <v>42</v>
      </c>
      <c r="AV7" s="44" t="s">
        <v>42</v>
      </c>
      <c r="AW7" s="44" t="s">
        <v>42</v>
      </c>
      <c r="AX7" s="44" t="s">
        <v>42</v>
      </c>
      <c r="AY7" s="44" t="s">
        <v>42</v>
      </c>
      <c r="AZ7" s="44" t="s">
        <v>42</v>
      </c>
      <c r="BA7" s="44" t="s">
        <v>42</v>
      </c>
      <c r="BC7" s="44" t="s">
        <v>42</v>
      </c>
      <c r="BD7" s="44" t="s">
        <v>42</v>
      </c>
      <c r="BE7" s="44" t="s">
        <v>42</v>
      </c>
      <c r="BG7" s="45">
        <v>7.4395221988287519</v>
      </c>
      <c r="BH7" s="45">
        <v>7.8322802776133074</v>
      </c>
      <c r="BI7" s="45">
        <v>8.1652120439005174</v>
      </c>
      <c r="BJ7" s="45">
        <v>1.0335162088769401</v>
      </c>
      <c r="BK7" s="45">
        <v>3.0187319866962441</v>
      </c>
      <c r="BL7" s="45">
        <v>9.5328378527249882</v>
      </c>
      <c r="BM7" s="16"/>
      <c r="BN7" s="43">
        <v>574.32126820204621</v>
      </c>
      <c r="BO7" s="43">
        <v>3373.0503153127347</v>
      </c>
      <c r="BP7" s="43">
        <v>38398.6007932551</v>
      </c>
      <c r="BR7" s="45" t="s">
        <v>42</v>
      </c>
      <c r="BS7" s="45" t="s">
        <v>42</v>
      </c>
      <c r="BT7" s="45" t="s">
        <v>42</v>
      </c>
      <c r="BU7" s="45" t="s">
        <v>42</v>
      </c>
      <c r="BV7" s="45" t="s">
        <v>42</v>
      </c>
      <c r="BW7" s="45" t="s">
        <v>42</v>
      </c>
      <c r="BY7" s="43" t="s">
        <v>42</v>
      </c>
      <c r="BZ7" s="43" t="s">
        <v>42</v>
      </c>
      <c r="CA7" s="43" t="s">
        <v>42</v>
      </c>
      <c r="CC7">
        <v>302</v>
      </c>
      <c r="CD7">
        <v>3</v>
      </c>
    </row>
    <row r="8" spans="1:83" x14ac:dyDescent="0.2">
      <c r="A8">
        <v>302</v>
      </c>
      <c r="B8">
        <v>4</v>
      </c>
      <c r="C8" s="70" t="s">
        <v>431</v>
      </c>
      <c r="D8" s="70" t="s">
        <v>3</v>
      </c>
      <c r="E8" s="70" t="s">
        <v>300</v>
      </c>
      <c r="F8" s="70" t="s">
        <v>42</v>
      </c>
      <c r="G8" s="71">
        <v>10</v>
      </c>
      <c r="H8" s="71">
        <v>138</v>
      </c>
      <c r="I8" s="72">
        <v>143.99999999999997</v>
      </c>
      <c r="J8" s="72">
        <v>127</v>
      </c>
      <c r="K8" s="72" t="s">
        <v>42</v>
      </c>
      <c r="L8" s="72" t="s">
        <v>42</v>
      </c>
      <c r="M8" s="72">
        <v>40</v>
      </c>
      <c r="N8" s="72">
        <v>53</v>
      </c>
      <c r="O8" s="72">
        <v>65</v>
      </c>
      <c r="P8" s="72" t="s">
        <v>10</v>
      </c>
      <c r="Q8" s="72">
        <v>0</v>
      </c>
      <c r="R8" s="72">
        <v>0</v>
      </c>
      <c r="S8" s="72" t="s">
        <v>211</v>
      </c>
      <c r="T8" s="73">
        <v>4747.3589067171706</v>
      </c>
      <c r="U8" s="73">
        <v>6310.7637171073766</v>
      </c>
      <c r="V8" s="73">
        <v>6310.7637171073766</v>
      </c>
      <c r="W8" s="73" t="s">
        <v>42</v>
      </c>
      <c r="X8" s="73" t="s">
        <v>42</v>
      </c>
      <c r="Y8" s="73" t="s">
        <v>42</v>
      </c>
      <c r="Z8" s="42" t="s">
        <v>42</v>
      </c>
      <c r="AB8" s="41" t="s">
        <v>471</v>
      </c>
      <c r="AC8" s="41">
        <v>1</v>
      </c>
      <c r="AD8" s="41">
        <v>1</v>
      </c>
      <c r="AE8" s="41">
        <v>1</v>
      </c>
      <c r="AF8" s="72">
        <v>0.44999999999999996</v>
      </c>
      <c r="AG8" s="72">
        <v>0.61</v>
      </c>
      <c r="AH8" s="72">
        <v>0.77</v>
      </c>
      <c r="AI8" s="72">
        <v>28</v>
      </c>
      <c r="AJ8" s="72">
        <v>65</v>
      </c>
      <c r="AK8" s="72">
        <v>102</v>
      </c>
      <c r="AL8" s="44">
        <v>0.34528461880707301</v>
      </c>
      <c r="AM8" s="44">
        <v>0.95247289719881634</v>
      </c>
      <c r="AN8" s="44">
        <v>1.7423635672027189</v>
      </c>
      <c r="AO8" s="44">
        <v>0.24826003176656056</v>
      </c>
      <c r="AP8" s="44">
        <v>0.89495610930913727</v>
      </c>
      <c r="AQ8" s="44">
        <v>1.7995436806866589</v>
      </c>
      <c r="AR8" s="44" t="s">
        <v>42</v>
      </c>
      <c r="AS8" s="44" t="s">
        <v>42</v>
      </c>
      <c r="AT8" s="44" t="s">
        <v>42</v>
      </c>
      <c r="AV8" s="45">
        <v>5.4822513786700044</v>
      </c>
      <c r="AW8" s="45">
        <v>5.9152364063494263</v>
      </c>
      <c r="AX8" s="45">
        <v>6.4030701326223793</v>
      </c>
      <c r="AY8" s="45">
        <v>0.11194771034172391</v>
      </c>
      <c r="AZ8" s="45">
        <v>0.34248058313632168</v>
      </c>
      <c r="BA8" s="45">
        <v>1.2926608140191327</v>
      </c>
      <c r="BC8" s="43">
        <v>64.250488502494676</v>
      </c>
      <c r="BD8" s="43">
        <v>359.5698986748526</v>
      </c>
      <c r="BE8" s="43">
        <v>3743.7544090007782</v>
      </c>
      <c r="BG8" s="45">
        <v>7.4395221988287519</v>
      </c>
      <c r="BH8" s="45">
        <v>7.8322802776133074</v>
      </c>
      <c r="BI8" s="45">
        <v>8.1652120439005174</v>
      </c>
      <c r="BJ8" s="45">
        <v>1.0335162088769401</v>
      </c>
      <c r="BK8" s="45">
        <v>3.0187319866962441</v>
      </c>
      <c r="BL8" s="45">
        <v>9.5328378527249882</v>
      </c>
      <c r="BM8" s="2"/>
      <c r="BN8" s="43">
        <v>574.32126820204621</v>
      </c>
      <c r="BO8" s="43">
        <v>3373.0503153127347</v>
      </c>
      <c r="BP8" s="43">
        <v>38398.6007932551</v>
      </c>
      <c r="BR8" s="45" t="s">
        <v>42</v>
      </c>
      <c r="BS8" s="45" t="s">
        <v>42</v>
      </c>
      <c r="BT8" s="45" t="s">
        <v>42</v>
      </c>
      <c r="BU8" s="45" t="s">
        <v>42</v>
      </c>
      <c r="BV8" s="45" t="s">
        <v>42</v>
      </c>
      <c r="BW8" s="45" t="s">
        <v>42</v>
      </c>
      <c r="BY8" s="43" t="s">
        <v>42</v>
      </c>
      <c r="BZ8" s="43" t="s">
        <v>42</v>
      </c>
      <c r="CA8" s="43" t="s">
        <v>42</v>
      </c>
      <c r="CC8">
        <v>302</v>
      </c>
      <c r="CD8">
        <v>4</v>
      </c>
    </row>
    <row r="9" spans="1:83" x14ac:dyDescent="0.2">
      <c r="A9">
        <v>302</v>
      </c>
      <c r="B9">
        <v>5</v>
      </c>
      <c r="C9" s="70" t="s">
        <v>431</v>
      </c>
      <c r="D9" s="70" t="s">
        <v>3</v>
      </c>
      <c r="E9" s="70" t="s">
        <v>157</v>
      </c>
      <c r="F9" s="70" t="s">
        <v>42</v>
      </c>
      <c r="G9" s="71">
        <v>2.1</v>
      </c>
      <c r="H9" s="71">
        <v>80</v>
      </c>
      <c r="I9" s="72">
        <v>143.99999999999997</v>
      </c>
      <c r="J9" s="72">
        <v>127</v>
      </c>
      <c r="K9" s="72" t="s">
        <v>42</v>
      </c>
      <c r="L9" s="72" t="s">
        <v>42</v>
      </c>
      <c r="M9" s="72">
        <v>40</v>
      </c>
      <c r="N9" s="72">
        <v>53</v>
      </c>
      <c r="O9" s="72">
        <v>65</v>
      </c>
      <c r="P9" s="72" t="s">
        <v>14</v>
      </c>
      <c r="Q9" s="72">
        <v>0</v>
      </c>
      <c r="R9" s="72">
        <v>0</v>
      </c>
      <c r="S9" s="72" t="s">
        <v>211</v>
      </c>
      <c r="T9" s="73">
        <v>4747.3589067171706</v>
      </c>
      <c r="U9" s="73">
        <v>6310.7637171073766</v>
      </c>
      <c r="V9" s="73">
        <v>6310.7637171073766</v>
      </c>
      <c r="W9" s="73" t="s">
        <v>42</v>
      </c>
      <c r="X9" s="73" t="s">
        <v>42</v>
      </c>
      <c r="Y9" s="73" t="s">
        <v>42</v>
      </c>
      <c r="Z9" s="42" t="s">
        <v>42</v>
      </c>
      <c r="AB9" s="41" t="s">
        <v>471</v>
      </c>
      <c r="AC9" s="41">
        <v>1</v>
      </c>
      <c r="AD9" s="41">
        <v>1</v>
      </c>
      <c r="AE9" s="41">
        <v>1</v>
      </c>
      <c r="AF9" s="72">
        <v>0.44999999999999996</v>
      </c>
      <c r="AG9" s="72">
        <v>0.61</v>
      </c>
      <c r="AH9" s="72">
        <v>0.77</v>
      </c>
      <c r="AI9" s="72">
        <v>28</v>
      </c>
      <c r="AJ9" s="72">
        <v>65</v>
      </c>
      <c r="AK9" s="72">
        <v>102</v>
      </c>
      <c r="AL9" s="44" t="s">
        <v>42</v>
      </c>
      <c r="AM9" s="44" t="s">
        <v>42</v>
      </c>
      <c r="AN9" s="44" t="s">
        <v>42</v>
      </c>
      <c r="AO9" s="44">
        <v>0.24826003176656056</v>
      </c>
      <c r="AP9" s="44">
        <v>0.89495610930913727</v>
      </c>
      <c r="AQ9" s="44">
        <v>1.7995436806866589</v>
      </c>
      <c r="AR9" s="44" t="s">
        <v>42</v>
      </c>
      <c r="AS9" s="44" t="s">
        <v>42</v>
      </c>
      <c r="AT9" s="44" t="s">
        <v>42</v>
      </c>
      <c r="AV9" s="44" t="s">
        <v>42</v>
      </c>
      <c r="AW9" s="44" t="s">
        <v>42</v>
      </c>
      <c r="AX9" s="44" t="s">
        <v>42</v>
      </c>
      <c r="AY9" s="44" t="s">
        <v>42</v>
      </c>
      <c r="AZ9" s="44" t="s">
        <v>42</v>
      </c>
      <c r="BA9" s="44" t="s">
        <v>42</v>
      </c>
      <c r="BC9" s="44" t="s">
        <v>42</v>
      </c>
      <c r="BD9" s="44" t="s">
        <v>42</v>
      </c>
      <c r="BE9" s="44" t="s">
        <v>42</v>
      </c>
      <c r="BG9" s="45">
        <v>7.4395221988287519</v>
      </c>
      <c r="BH9" s="45">
        <v>7.8322802776133074</v>
      </c>
      <c r="BI9" s="45">
        <v>8.1652120439005174</v>
      </c>
      <c r="BJ9" s="45">
        <v>1.0335162088769401</v>
      </c>
      <c r="BK9" s="45">
        <v>3.0187319866962441</v>
      </c>
      <c r="BL9" s="45">
        <v>9.5328378527249882</v>
      </c>
      <c r="BN9" s="43">
        <v>574.32126820204621</v>
      </c>
      <c r="BO9" s="43">
        <v>3373.0503153127347</v>
      </c>
      <c r="BP9" s="43">
        <v>38398.6007932551</v>
      </c>
      <c r="BR9" s="45" t="s">
        <v>42</v>
      </c>
      <c r="BS9" s="45" t="s">
        <v>42</v>
      </c>
      <c r="BT9" s="45" t="s">
        <v>42</v>
      </c>
      <c r="BU9" s="45" t="s">
        <v>42</v>
      </c>
      <c r="BV9" s="45" t="s">
        <v>42</v>
      </c>
      <c r="BW9" s="45" t="s">
        <v>42</v>
      </c>
      <c r="BY9" s="43" t="s">
        <v>42</v>
      </c>
      <c r="BZ9" s="43" t="s">
        <v>42</v>
      </c>
      <c r="CA9" s="43" t="s">
        <v>42</v>
      </c>
      <c r="CC9">
        <v>302</v>
      </c>
      <c r="CD9">
        <v>5</v>
      </c>
    </row>
    <row r="10" spans="1:83" x14ac:dyDescent="0.2">
      <c r="A10">
        <v>302</v>
      </c>
      <c r="B10">
        <v>6</v>
      </c>
      <c r="C10" s="70" t="s">
        <v>431</v>
      </c>
      <c r="D10" s="70" t="s">
        <v>3</v>
      </c>
      <c r="E10" s="70" t="s">
        <v>298</v>
      </c>
      <c r="F10" s="70" t="s">
        <v>42</v>
      </c>
      <c r="G10" s="71">
        <v>21.6</v>
      </c>
      <c r="H10" s="71">
        <v>133</v>
      </c>
      <c r="I10" s="72">
        <v>143.99999999999997</v>
      </c>
      <c r="J10" s="72">
        <v>127</v>
      </c>
      <c r="K10" s="72" t="s">
        <v>42</v>
      </c>
      <c r="L10" s="72" t="s">
        <v>42</v>
      </c>
      <c r="M10" s="72">
        <v>40</v>
      </c>
      <c r="N10" s="72">
        <v>53</v>
      </c>
      <c r="O10" s="72">
        <v>65</v>
      </c>
      <c r="P10" s="72" t="s">
        <v>10</v>
      </c>
      <c r="Q10" s="72">
        <v>0</v>
      </c>
      <c r="R10" s="72">
        <v>0</v>
      </c>
      <c r="S10" s="72" t="s">
        <v>211</v>
      </c>
      <c r="T10" s="73">
        <v>4747.3589067171706</v>
      </c>
      <c r="U10" s="73">
        <v>6310.7637171073766</v>
      </c>
      <c r="V10" s="73">
        <v>6310.7637171073766</v>
      </c>
      <c r="W10" s="73" t="s">
        <v>42</v>
      </c>
      <c r="X10" s="73" t="s">
        <v>42</v>
      </c>
      <c r="Y10" s="73" t="s">
        <v>42</v>
      </c>
      <c r="Z10" s="42" t="s">
        <v>42</v>
      </c>
      <c r="AB10" s="41" t="s">
        <v>471</v>
      </c>
      <c r="AC10" s="41">
        <v>1</v>
      </c>
      <c r="AD10" s="41">
        <v>1</v>
      </c>
      <c r="AE10" s="41">
        <v>1</v>
      </c>
      <c r="AF10" s="72">
        <v>0.44999999999999996</v>
      </c>
      <c r="AG10" s="72">
        <v>0.61</v>
      </c>
      <c r="AH10" s="72">
        <v>0.77</v>
      </c>
      <c r="AI10" s="72">
        <v>28</v>
      </c>
      <c r="AJ10" s="72">
        <v>65</v>
      </c>
      <c r="AK10" s="72">
        <v>102</v>
      </c>
      <c r="AL10" s="44">
        <v>0.30255050577206205</v>
      </c>
      <c r="AM10" s="44">
        <v>0.93979400567879512</v>
      </c>
      <c r="AN10" s="44">
        <v>1.7598929189172705</v>
      </c>
      <c r="AO10" s="44">
        <v>0.24826003176656056</v>
      </c>
      <c r="AP10" s="44">
        <v>0.89495610930913727</v>
      </c>
      <c r="AQ10" s="44">
        <v>1.7995436806866589</v>
      </c>
      <c r="AR10" s="44" t="s">
        <v>42</v>
      </c>
      <c r="AS10" s="44" t="s">
        <v>42</v>
      </c>
      <c r="AT10" s="44" t="s">
        <v>42</v>
      </c>
      <c r="AV10" s="45">
        <v>6.039674297254888</v>
      </c>
      <c r="AW10" s="45">
        <v>6.4726593249343098</v>
      </c>
      <c r="AX10" s="45">
        <v>6.9604930512072629</v>
      </c>
      <c r="AY10" s="45">
        <v>0.21268001129433256</v>
      </c>
      <c r="AZ10" s="45">
        <v>0.65064996923277707</v>
      </c>
      <c r="BA10" s="45">
        <v>2.455817235440712</v>
      </c>
      <c r="BC10" s="43">
        <v>120.84826810098113</v>
      </c>
      <c r="BD10" s="43">
        <v>692.33253808937104</v>
      </c>
      <c r="BE10" s="43">
        <v>8117.0488516416344</v>
      </c>
      <c r="BG10" s="45">
        <v>7.4395221988287519</v>
      </c>
      <c r="BH10" s="45">
        <v>7.8322802776133074</v>
      </c>
      <c r="BI10" s="45">
        <v>8.1652120439005174</v>
      </c>
      <c r="BJ10" s="45">
        <v>1.0335162088769401</v>
      </c>
      <c r="BK10" s="45">
        <v>3.0187319866962441</v>
      </c>
      <c r="BL10" s="45">
        <v>9.5328378527249882</v>
      </c>
      <c r="BN10" s="43">
        <v>574.32126820204621</v>
      </c>
      <c r="BO10" s="43">
        <v>3373.0503153127347</v>
      </c>
      <c r="BP10" s="43">
        <v>38398.6007932551</v>
      </c>
      <c r="BR10" s="45" t="s">
        <v>42</v>
      </c>
      <c r="BS10" s="45" t="s">
        <v>42</v>
      </c>
      <c r="BT10" s="45" t="s">
        <v>42</v>
      </c>
      <c r="BU10" s="45" t="s">
        <v>42</v>
      </c>
      <c r="BV10" s="45" t="s">
        <v>42</v>
      </c>
      <c r="BW10" s="45" t="s">
        <v>42</v>
      </c>
      <c r="BY10" s="43" t="s">
        <v>42</v>
      </c>
      <c r="BZ10" s="43" t="s">
        <v>42</v>
      </c>
      <c r="CA10" s="43" t="s">
        <v>42</v>
      </c>
      <c r="CC10">
        <v>302</v>
      </c>
      <c r="CD10">
        <v>6</v>
      </c>
    </row>
    <row r="11" spans="1:83" x14ac:dyDescent="0.2">
      <c r="A11">
        <v>302</v>
      </c>
      <c r="B11">
        <v>7</v>
      </c>
      <c r="C11" s="70" t="s">
        <v>431</v>
      </c>
      <c r="D11" s="70" t="s">
        <v>3</v>
      </c>
      <c r="E11" s="70" t="s">
        <v>299</v>
      </c>
      <c r="F11" s="70" t="s">
        <v>42</v>
      </c>
      <c r="G11" s="71">
        <v>16.7</v>
      </c>
      <c r="H11" s="71">
        <v>96</v>
      </c>
      <c r="I11" s="72">
        <v>143.99999999999997</v>
      </c>
      <c r="J11" s="72">
        <v>127</v>
      </c>
      <c r="K11" s="72" t="s">
        <v>42</v>
      </c>
      <c r="L11" s="72" t="s">
        <v>42</v>
      </c>
      <c r="M11" s="72">
        <v>40</v>
      </c>
      <c r="N11" s="72">
        <v>53</v>
      </c>
      <c r="O11" s="72">
        <v>65</v>
      </c>
      <c r="P11" s="72" t="s">
        <v>10</v>
      </c>
      <c r="Q11" s="72">
        <v>0</v>
      </c>
      <c r="R11" s="72">
        <v>0</v>
      </c>
      <c r="S11" s="72" t="s">
        <v>211</v>
      </c>
      <c r="T11" s="73">
        <v>4747.3589067171706</v>
      </c>
      <c r="U11" s="73">
        <v>6310.7637171073766</v>
      </c>
      <c r="V11" s="73">
        <v>6310.7637171073766</v>
      </c>
      <c r="W11" s="73" t="s">
        <v>42</v>
      </c>
      <c r="X11" s="73" t="s">
        <v>42</v>
      </c>
      <c r="Y11" s="73" t="s">
        <v>42</v>
      </c>
      <c r="Z11" s="42" t="s">
        <v>42</v>
      </c>
      <c r="AB11" s="41" t="s">
        <v>471</v>
      </c>
      <c r="AC11" s="41">
        <v>1</v>
      </c>
      <c r="AD11" s="41">
        <v>1</v>
      </c>
      <c r="AE11" s="41">
        <v>1</v>
      </c>
      <c r="AF11" s="72">
        <v>0.44999999999999996</v>
      </c>
      <c r="AG11" s="72">
        <v>0.61</v>
      </c>
      <c r="AH11" s="72">
        <v>0.77</v>
      </c>
      <c r="AI11" s="72">
        <v>28</v>
      </c>
      <c r="AJ11" s="72">
        <v>65</v>
      </c>
      <c r="AK11" s="72">
        <v>102</v>
      </c>
      <c r="AL11" s="44">
        <v>6.1403498051533265E-2</v>
      </c>
      <c r="AM11" s="44">
        <v>0.52204284308096682</v>
      </c>
      <c r="AN11" s="44">
        <v>1.6893060065030134</v>
      </c>
      <c r="AO11" s="44">
        <v>0.24826003176656056</v>
      </c>
      <c r="AP11" s="44">
        <v>0.89495610930913727</v>
      </c>
      <c r="AQ11" s="44">
        <v>1.7995436806866589</v>
      </c>
      <c r="AR11" s="44" t="s">
        <v>42</v>
      </c>
      <c r="AS11" s="44" t="s">
        <v>42</v>
      </c>
      <c r="AT11" s="44" t="s">
        <v>42</v>
      </c>
      <c r="AV11" s="45">
        <v>5.8534454972493108</v>
      </c>
      <c r="AW11" s="45">
        <v>6.2864305249287327</v>
      </c>
      <c r="AX11" s="45">
        <v>6.7742642512016857</v>
      </c>
      <c r="AY11" s="45">
        <v>0.17163753736610138</v>
      </c>
      <c r="AZ11" s="45">
        <v>0.52508911263829428</v>
      </c>
      <c r="BA11" s="45">
        <v>1.9818995680272662</v>
      </c>
      <c r="BC11" s="43">
        <v>101.60239572071586</v>
      </c>
      <c r="BD11" s="43">
        <v>1005.8352865051251</v>
      </c>
      <c r="BE11" s="43">
        <v>32276.65574303185</v>
      </c>
      <c r="BG11" s="45">
        <v>7.4395221988287519</v>
      </c>
      <c r="BH11" s="45">
        <v>7.8322802776133074</v>
      </c>
      <c r="BI11" s="45">
        <v>8.1652120439005174</v>
      </c>
      <c r="BJ11" s="45">
        <v>1.0335162088769401</v>
      </c>
      <c r="BK11" s="45">
        <v>3.0187319866962441</v>
      </c>
      <c r="BL11" s="45">
        <v>9.5328378527249882</v>
      </c>
      <c r="BN11" s="43">
        <v>574.32126820204621</v>
      </c>
      <c r="BO11" s="43">
        <v>3373.0503153127347</v>
      </c>
      <c r="BP11" s="43">
        <v>38398.6007932551</v>
      </c>
      <c r="BR11" s="45" t="s">
        <v>42</v>
      </c>
      <c r="BS11" s="45" t="s">
        <v>42</v>
      </c>
      <c r="BT11" s="45" t="s">
        <v>42</v>
      </c>
      <c r="BU11" s="45" t="s">
        <v>42</v>
      </c>
      <c r="BV11" s="45" t="s">
        <v>42</v>
      </c>
      <c r="BW11" s="45" t="s">
        <v>42</v>
      </c>
      <c r="BY11" s="43" t="s">
        <v>42</v>
      </c>
      <c r="BZ11" s="43" t="s">
        <v>42</v>
      </c>
      <c r="CA11" s="43" t="s">
        <v>42</v>
      </c>
      <c r="CC11">
        <v>302</v>
      </c>
      <c r="CD11">
        <v>7</v>
      </c>
    </row>
    <row r="12" spans="1:83" x14ac:dyDescent="0.2">
      <c r="A12">
        <v>303</v>
      </c>
      <c r="B12" t="s">
        <v>416</v>
      </c>
      <c r="C12" s="8" t="s">
        <v>30</v>
      </c>
      <c r="D12" s="8" t="s">
        <v>151</v>
      </c>
      <c r="E12" s="8" t="s">
        <v>42</v>
      </c>
      <c r="F12" s="8" t="s">
        <v>2</v>
      </c>
      <c r="G12" s="74" t="s">
        <v>42</v>
      </c>
      <c r="H12" s="74" t="s">
        <v>42</v>
      </c>
      <c r="I12" s="75">
        <v>6.2</v>
      </c>
      <c r="J12" s="75">
        <v>305</v>
      </c>
      <c r="K12" s="74">
        <v>63.7</v>
      </c>
      <c r="L12" s="75">
        <v>319</v>
      </c>
      <c r="M12" s="74">
        <v>40</v>
      </c>
      <c r="N12" s="74">
        <v>53</v>
      </c>
      <c r="O12" s="74">
        <v>65</v>
      </c>
      <c r="P12" s="74" t="s">
        <v>11</v>
      </c>
      <c r="Q12" s="74">
        <v>0</v>
      </c>
      <c r="R12" s="75">
        <v>0</v>
      </c>
      <c r="S12" s="75" t="s">
        <v>308</v>
      </c>
      <c r="T12" s="76">
        <v>25.109268565799724</v>
      </c>
      <c r="U12" s="76">
        <v>36.617683325124602</v>
      </c>
      <c r="V12" s="76">
        <v>52.310976178749428</v>
      </c>
      <c r="W12" s="76" t="s">
        <v>308</v>
      </c>
      <c r="X12" s="76">
        <v>1101.468332461194</v>
      </c>
      <c r="Y12" s="76">
        <v>1218</v>
      </c>
      <c r="Z12" s="76">
        <v>1218</v>
      </c>
      <c r="AB12" s="75" t="s">
        <v>470</v>
      </c>
      <c r="AC12" s="75">
        <v>3.3333333333333333E-2</v>
      </c>
      <c r="AD12" s="75">
        <v>9.9999999999999992E-2</v>
      </c>
      <c r="AE12" s="75">
        <v>0.16666666666666666</v>
      </c>
      <c r="AF12" s="75">
        <v>0.38999999999999996</v>
      </c>
      <c r="AG12" s="75">
        <v>0.56999999999999995</v>
      </c>
      <c r="AH12" s="75">
        <v>0.75</v>
      </c>
      <c r="AI12" s="75">
        <v>33</v>
      </c>
      <c r="AJ12" s="75">
        <v>70</v>
      </c>
      <c r="AK12" s="75">
        <v>107</v>
      </c>
      <c r="AL12" s="77" t="s">
        <v>42</v>
      </c>
      <c r="AM12" s="77" t="s">
        <v>42</v>
      </c>
      <c r="AN12" s="77" t="s">
        <v>42</v>
      </c>
      <c r="AO12" s="77">
        <v>5.2441094807999019E-3</v>
      </c>
      <c r="AP12" s="77">
        <v>7.7584747352968428E-2</v>
      </c>
      <c r="AQ12" s="77">
        <v>0.29559501963508367</v>
      </c>
      <c r="AR12" s="77">
        <v>8.9928861137391E-3</v>
      </c>
      <c r="AS12" s="77">
        <v>8.8422658563137871E-2</v>
      </c>
      <c r="AT12" s="77">
        <v>0.28431736834413818</v>
      </c>
      <c r="AV12" s="10" t="s">
        <v>42</v>
      </c>
      <c r="AW12" s="10" t="s">
        <v>42</v>
      </c>
      <c r="AX12" s="10" t="s">
        <v>42</v>
      </c>
      <c r="AY12" s="10" t="s">
        <v>42</v>
      </c>
      <c r="AZ12" s="10" t="s">
        <v>42</v>
      </c>
      <c r="BA12" s="10" t="s">
        <v>42</v>
      </c>
      <c r="BB12" s="2"/>
      <c r="BC12" s="10" t="s">
        <v>42</v>
      </c>
      <c r="BD12" s="10" t="s">
        <v>42</v>
      </c>
      <c r="BE12" s="10" t="s">
        <v>42</v>
      </c>
      <c r="BG12" s="21">
        <v>5.1629041945004275</v>
      </c>
      <c r="BH12" s="21">
        <v>5.5958892221798493</v>
      </c>
      <c r="BI12" s="21">
        <v>6.0837229484528024</v>
      </c>
      <c r="BJ12" s="21">
        <v>7.5163724144729147E-2</v>
      </c>
      <c r="BK12" s="21">
        <v>0.22994767822589532</v>
      </c>
      <c r="BL12" s="21">
        <v>0.86791592736508305</v>
      </c>
      <c r="BM12" s="2"/>
      <c r="BN12" s="17">
        <v>254.27939969191581</v>
      </c>
      <c r="BO12" s="17">
        <v>2963.8258300920716</v>
      </c>
      <c r="BP12" s="17">
        <v>165503.01448563518</v>
      </c>
      <c r="BR12" s="21">
        <v>6.8050421481944499</v>
      </c>
      <c r="BS12" s="21">
        <v>7.1178456459599886</v>
      </c>
      <c r="BT12" s="21">
        <v>7.4507774122471986</v>
      </c>
      <c r="BU12" s="21">
        <v>0.49782564699276871</v>
      </c>
      <c r="BV12" s="21">
        <v>1.326194555862751</v>
      </c>
      <c r="BW12" s="21">
        <v>4.1879828079876384</v>
      </c>
      <c r="BX12" s="2"/>
      <c r="BY12" s="17">
        <v>1750.950530711862</v>
      </c>
      <c r="BZ12" s="17">
        <v>14998.356500622369</v>
      </c>
      <c r="CA12" s="17">
        <v>465699.5268281388</v>
      </c>
      <c r="CC12">
        <v>303</v>
      </c>
      <c r="CE12">
        <v>601</v>
      </c>
    </row>
    <row r="13" spans="1:83" x14ac:dyDescent="0.2">
      <c r="A13">
        <v>304</v>
      </c>
      <c r="B13" t="s">
        <v>416</v>
      </c>
      <c r="C13" s="8" t="s">
        <v>30</v>
      </c>
      <c r="D13" s="8" t="s">
        <v>152</v>
      </c>
      <c r="E13" s="8" t="s">
        <v>42</v>
      </c>
      <c r="F13" s="8" t="s">
        <v>2</v>
      </c>
      <c r="G13" s="74" t="s">
        <v>42</v>
      </c>
      <c r="H13" s="74" t="s">
        <v>42</v>
      </c>
      <c r="I13" s="75">
        <v>11.9</v>
      </c>
      <c r="J13" s="75">
        <v>300</v>
      </c>
      <c r="K13" s="74">
        <v>63.7</v>
      </c>
      <c r="L13" s="75">
        <v>319</v>
      </c>
      <c r="M13" s="74">
        <v>40</v>
      </c>
      <c r="N13" s="74">
        <v>53</v>
      </c>
      <c r="O13" s="74">
        <v>65</v>
      </c>
      <c r="P13" s="74" t="s">
        <v>11</v>
      </c>
      <c r="Q13" s="74">
        <v>0</v>
      </c>
      <c r="R13" s="75">
        <v>0</v>
      </c>
      <c r="S13" s="75" t="s">
        <v>308</v>
      </c>
      <c r="T13" s="76">
        <v>74.43197023416991</v>
      </c>
      <c r="U13" s="76">
        <v>108.54662325816446</v>
      </c>
      <c r="V13" s="76">
        <v>155.06660465452063</v>
      </c>
      <c r="W13" s="76" t="s">
        <v>308</v>
      </c>
      <c r="X13" s="76">
        <v>1101.468332461194</v>
      </c>
      <c r="Y13" s="76">
        <v>1218</v>
      </c>
      <c r="Z13" s="76">
        <v>1218</v>
      </c>
      <c r="AB13" s="75" t="s">
        <v>470</v>
      </c>
      <c r="AC13" s="75">
        <v>3.3333333333333333E-2</v>
      </c>
      <c r="AD13" s="75">
        <v>9.9999999999999992E-2</v>
      </c>
      <c r="AE13" s="75">
        <v>0.16666666666666666</v>
      </c>
      <c r="AF13" s="75">
        <v>0.38999999999999996</v>
      </c>
      <c r="AG13" s="75">
        <v>0.56999999999999995</v>
      </c>
      <c r="AH13" s="75">
        <v>0.75</v>
      </c>
      <c r="AI13" s="75">
        <v>33</v>
      </c>
      <c r="AJ13" s="75">
        <v>70</v>
      </c>
      <c r="AK13" s="75">
        <v>107</v>
      </c>
      <c r="AL13" s="77" t="s">
        <v>42</v>
      </c>
      <c r="AM13" s="77" t="s">
        <v>42</v>
      </c>
      <c r="AN13" s="77" t="s">
        <v>42</v>
      </c>
      <c r="AO13" s="77">
        <v>3.8174856990850158E-3</v>
      </c>
      <c r="AP13" s="77">
        <v>7.2554741204507792E-2</v>
      </c>
      <c r="AQ13" s="77">
        <v>0.29536984826488943</v>
      </c>
      <c r="AR13" s="77">
        <v>8.9928861137391E-3</v>
      </c>
      <c r="AS13" s="77">
        <v>8.8422658563137871E-2</v>
      </c>
      <c r="AT13" s="77">
        <v>0.28431736834413818</v>
      </c>
      <c r="AV13" s="10" t="s">
        <v>42</v>
      </c>
      <c r="AW13" s="10" t="s">
        <v>42</v>
      </c>
      <c r="AX13" s="10" t="s">
        <v>42</v>
      </c>
      <c r="AY13" s="10" t="s">
        <v>42</v>
      </c>
      <c r="AZ13" s="10" t="s">
        <v>42</v>
      </c>
      <c r="BA13" s="10" t="s">
        <v>42</v>
      </c>
      <c r="BC13" s="10" t="s">
        <v>42</v>
      </c>
      <c r="BD13" s="10" t="s">
        <v>42</v>
      </c>
      <c r="BE13" s="10" t="s">
        <v>42</v>
      </c>
      <c r="BG13" s="21">
        <v>5.6348296476575541</v>
      </c>
      <c r="BH13" s="21">
        <v>6.0678146753369759</v>
      </c>
      <c r="BI13" s="21">
        <v>6.555648401609929</v>
      </c>
      <c r="BJ13" s="21">
        <v>0.12941094738347386</v>
      </c>
      <c r="BK13" s="21">
        <v>0.39590570087432359</v>
      </c>
      <c r="BL13" s="21">
        <v>1.494308906158663</v>
      </c>
      <c r="BM13" s="2"/>
      <c r="BN13" s="17">
        <v>438.13188158399078</v>
      </c>
      <c r="BO13" s="17">
        <v>5456.6482396842475</v>
      </c>
      <c r="BP13" s="17">
        <v>391437.98404191073</v>
      </c>
      <c r="BR13" s="21">
        <v>6.8050421481944499</v>
      </c>
      <c r="BS13" s="21">
        <v>7.1178456459599886</v>
      </c>
      <c r="BT13" s="21">
        <v>7.4507774122471986</v>
      </c>
      <c r="BU13" s="21">
        <v>0.49782564699276871</v>
      </c>
      <c r="BV13" s="21">
        <v>1.326194555862751</v>
      </c>
      <c r="BW13" s="21">
        <v>4.1879828079876384</v>
      </c>
      <c r="BY13" s="17">
        <v>1750.950530711862</v>
      </c>
      <c r="BZ13" s="17">
        <v>14998.356500622369</v>
      </c>
      <c r="CA13" s="17">
        <v>465699.5268281388</v>
      </c>
      <c r="CC13">
        <v>304</v>
      </c>
      <c r="CE13">
        <v>601</v>
      </c>
    </row>
    <row r="14" spans="1:83" x14ac:dyDescent="0.2">
      <c r="A14">
        <v>305</v>
      </c>
      <c r="B14" t="s">
        <v>416</v>
      </c>
      <c r="C14" s="8" t="s">
        <v>30</v>
      </c>
      <c r="D14" s="8" t="s">
        <v>153</v>
      </c>
      <c r="E14" s="8" t="s">
        <v>42</v>
      </c>
      <c r="F14" s="8" t="s">
        <v>2</v>
      </c>
      <c r="G14" s="74" t="s">
        <v>42</v>
      </c>
      <c r="H14" s="74" t="s">
        <v>42</v>
      </c>
      <c r="I14" s="75">
        <v>17.399999999999999</v>
      </c>
      <c r="J14" s="75">
        <v>305</v>
      </c>
      <c r="K14" s="74">
        <v>63.7</v>
      </c>
      <c r="L14" s="75">
        <v>319</v>
      </c>
      <c r="M14" s="74">
        <v>40</v>
      </c>
      <c r="N14" s="74">
        <v>53</v>
      </c>
      <c r="O14" s="74">
        <v>65</v>
      </c>
      <c r="P14" s="74" t="s">
        <v>11</v>
      </c>
      <c r="Q14" s="74">
        <v>0</v>
      </c>
      <c r="R14" s="75">
        <v>0</v>
      </c>
      <c r="S14" s="75" t="s">
        <v>308</v>
      </c>
      <c r="T14" s="76">
        <v>140.20494343086025</v>
      </c>
      <c r="U14" s="76">
        <v>204.46554250333793</v>
      </c>
      <c r="V14" s="76">
        <v>292.09363214762556</v>
      </c>
      <c r="W14" s="76" t="s">
        <v>308</v>
      </c>
      <c r="X14" s="76">
        <v>1101.468332461194</v>
      </c>
      <c r="Y14" s="76">
        <v>1218</v>
      </c>
      <c r="Z14" s="76">
        <v>1218</v>
      </c>
      <c r="AB14" s="75" t="s">
        <v>470</v>
      </c>
      <c r="AC14" s="75">
        <v>3.3333333333333333E-2</v>
      </c>
      <c r="AD14" s="75">
        <v>9.9999999999999992E-2</v>
      </c>
      <c r="AE14" s="75">
        <v>0.16666666666666666</v>
      </c>
      <c r="AF14" s="75">
        <v>0.38999999999999996</v>
      </c>
      <c r="AG14" s="75">
        <v>0.56999999999999995</v>
      </c>
      <c r="AH14" s="75">
        <v>0.75</v>
      </c>
      <c r="AI14" s="75">
        <v>33</v>
      </c>
      <c r="AJ14" s="75">
        <v>70</v>
      </c>
      <c r="AK14" s="75">
        <v>107</v>
      </c>
      <c r="AL14" s="77" t="s">
        <v>42</v>
      </c>
      <c r="AM14" s="77" t="s">
        <v>42</v>
      </c>
      <c r="AN14" s="77" t="s">
        <v>42</v>
      </c>
      <c r="AO14" s="77">
        <v>5.2441094807999019E-3</v>
      </c>
      <c r="AP14" s="77">
        <v>7.7584747352968428E-2</v>
      </c>
      <c r="AQ14" s="77">
        <v>0.29559501963508367</v>
      </c>
      <c r="AR14" s="77">
        <v>8.9928861137391E-3</v>
      </c>
      <c r="AS14" s="77">
        <v>8.8422658563137871E-2</v>
      </c>
      <c r="AT14" s="77">
        <v>0.28431736834413818</v>
      </c>
      <c r="AV14" s="10" t="s">
        <v>42</v>
      </c>
      <c r="AW14" s="10" t="s">
        <v>42</v>
      </c>
      <c r="AX14" s="10" t="s">
        <v>42</v>
      </c>
      <c r="AY14" s="10" t="s">
        <v>42</v>
      </c>
      <c r="AZ14" s="10" t="s">
        <v>42</v>
      </c>
      <c r="BA14" s="10" t="s">
        <v>42</v>
      </c>
      <c r="BC14" s="10" t="s">
        <v>42</v>
      </c>
      <c r="BD14" s="10" t="s">
        <v>42</v>
      </c>
      <c r="BE14" s="10" t="s">
        <v>42</v>
      </c>
      <c r="BG14" s="21">
        <v>5.9098334591410024</v>
      </c>
      <c r="BH14" s="21">
        <v>6.3428184868204269</v>
      </c>
      <c r="BI14" s="21">
        <v>6.83065221309338</v>
      </c>
      <c r="BJ14" s="21">
        <v>0.17761225259520674</v>
      </c>
      <c r="BK14" s="21">
        <v>0.54336750305370707</v>
      </c>
      <c r="BL14" s="21">
        <v>2.050889636944373</v>
      </c>
      <c r="BM14" s="16"/>
      <c r="BN14" s="17">
        <v>600.86348144319766</v>
      </c>
      <c r="BO14" s="17">
        <v>7003.5351224600927</v>
      </c>
      <c r="BP14" s="17">
        <v>391084.44330791198</v>
      </c>
      <c r="BR14" s="21">
        <v>6.8050421481944499</v>
      </c>
      <c r="BS14" s="21">
        <v>7.1178456459599886</v>
      </c>
      <c r="BT14" s="21">
        <v>7.4507774122471986</v>
      </c>
      <c r="BU14" s="21">
        <v>0.49782564699276871</v>
      </c>
      <c r="BV14" s="21">
        <v>1.326194555862751</v>
      </c>
      <c r="BW14" s="21">
        <v>4.1879828079876384</v>
      </c>
      <c r="BY14" s="17">
        <v>1750.950530711862</v>
      </c>
      <c r="BZ14" s="17">
        <v>14998.356500622369</v>
      </c>
      <c r="CA14" s="17">
        <v>465699.5268281388</v>
      </c>
      <c r="CC14">
        <v>305</v>
      </c>
      <c r="CE14">
        <v>601</v>
      </c>
    </row>
    <row r="15" spans="1:83" x14ac:dyDescent="0.2">
      <c r="A15">
        <v>306</v>
      </c>
      <c r="B15" t="s">
        <v>416</v>
      </c>
      <c r="C15" s="8" t="s">
        <v>30</v>
      </c>
      <c r="D15" s="8" t="s">
        <v>154</v>
      </c>
      <c r="E15" s="8" t="s">
        <v>42</v>
      </c>
      <c r="F15" s="8" t="s">
        <v>2</v>
      </c>
      <c r="G15" s="74" t="s">
        <v>42</v>
      </c>
      <c r="H15" s="74" t="s">
        <v>42</v>
      </c>
      <c r="I15" s="75">
        <v>28.2</v>
      </c>
      <c r="J15" s="75">
        <v>309</v>
      </c>
      <c r="K15" s="74">
        <v>63.7</v>
      </c>
      <c r="L15" s="75">
        <v>319</v>
      </c>
      <c r="M15" s="74">
        <v>40</v>
      </c>
      <c r="N15" s="74">
        <v>53</v>
      </c>
      <c r="O15" s="74">
        <v>65</v>
      </c>
      <c r="P15" s="74" t="s">
        <v>11</v>
      </c>
      <c r="Q15" s="74">
        <v>0</v>
      </c>
      <c r="R15" s="75">
        <v>0</v>
      </c>
      <c r="S15" s="75" t="s">
        <v>308</v>
      </c>
      <c r="T15" s="76">
        <v>313.51844269025793</v>
      </c>
      <c r="U15" s="76">
        <v>422</v>
      </c>
      <c r="V15" s="76">
        <v>422</v>
      </c>
      <c r="W15" s="76" t="s">
        <v>308</v>
      </c>
      <c r="X15" s="76">
        <v>1101.468332461194</v>
      </c>
      <c r="Y15" s="76">
        <v>1218</v>
      </c>
      <c r="Z15" s="76">
        <v>1218</v>
      </c>
      <c r="AB15" s="75" t="s">
        <v>470</v>
      </c>
      <c r="AC15" s="75">
        <v>3.3333333333333333E-2</v>
      </c>
      <c r="AD15" s="75">
        <v>9.9999999999999992E-2</v>
      </c>
      <c r="AE15" s="75">
        <v>0.16666666666666666</v>
      </c>
      <c r="AF15" s="75">
        <v>0.38999999999999996</v>
      </c>
      <c r="AG15" s="75">
        <v>0.56999999999999995</v>
      </c>
      <c r="AH15" s="75">
        <v>0.75</v>
      </c>
      <c r="AI15" s="75">
        <v>33</v>
      </c>
      <c r="AJ15" s="75">
        <v>70</v>
      </c>
      <c r="AK15" s="75">
        <v>107</v>
      </c>
      <c r="AL15" s="77" t="s">
        <v>42</v>
      </c>
      <c r="AM15" s="77" t="s">
        <v>42</v>
      </c>
      <c r="AN15" s="77" t="s">
        <v>42</v>
      </c>
      <c r="AO15" s="77">
        <v>6.3571843098018397E-3</v>
      </c>
      <c r="AP15" s="77">
        <v>8.1185304886741402E-2</v>
      </c>
      <c r="AQ15" s="77">
        <v>0.294154910412529</v>
      </c>
      <c r="AR15" s="77">
        <v>8.9928861137391E-3</v>
      </c>
      <c r="AS15" s="77">
        <v>8.8422658563137871E-2</v>
      </c>
      <c r="AT15" s="77">
        <v>0.28431736834413818</v>
      </c>
      <c r="AV15" s="10" t="s">
        <v>42</v>
      </c>
      <c r="AW15" s="10" t="s">
        <v>42</v>
      </c>
      <c r="AX15" s="10" t="s">
        <v>42</v>
      </c>
      <c r="AY15" s="10" t="s">
        <v>42</v>
      </c>
      <c r="AZ15" s="10" t="s">
        <v>42</v>
      </c>
      <c r="BA15" s="10" t="s">
        <v>42</v>
      </c>
      <c r="BC15" s="10" t="s">
        <v>42</v>
      </c>
      <c r="BD15" s="10" t="s">
        <v>42</v>
      </c>
      <c r="BE15" s="10" t="s">
        <v>42</v>
      </c>
      <c r="BG15" s="21">
        <v>6.2593332258689385</v>
      </c>
      <c r="BH15" s="21">
        <v>6.6575108086248065</v>
      </c>
      <c r="BI15" s="21">
        <v>6.9904425749120165</v>
      </c>
      <c r="BJ15" s="21">
        <v>0.26559678011095683</v>
      </c>
      <c r="BK15" s="21">
        <v>0.78062026619861746</v>
      </c>
      <c r="BL15" s="21">
        <v>2.4651166301008995</v>
      </c>
      <c r="BN15" s="17">
        <v>902.91465724124191</v>
      </c>
      <c r="BO15" s="17">
        <v>9615.2901967619855</v>
      </c>
      <c r="BP15" s="17">
        <v>387768.62679599418</v>
      </c>
      <c r="BR15" s="21">
        <v>6.8050421481944499</v>
      </c>
      <c r="BS15" s="21">
        <v>7.1178456459599886</v>
      </c>
      <c r="BT15" s="21">
        <v>7.4507774122471986</v>
      </c>
      <c r="BU15" s="21">
        <v>0.49782564699276871</v>
      </c>
      <c r="BV15" s="21">
        <v>1.326194555862751</v>
      </c>
      <c r="BW15" s="21">
        <v>4.1879828079876384</v>
      </c>
      <c r="BY15" s="17">
        <v>1750.950530711862</v>
      </c>
      <c r="BZ15" s="17">
        <v>14998.356500622369</v>
      </c>
      <c r="CA15" s="17">
        <v>465699.5268281388</v>
      </c>
      <c r="CC15">
        <v>306</v>
      </c>
      <c r="CE15">
        <v>601</v>
      </c>
    </row>
    <row r="16" spans="1:83" x14ac:dyDescent="0.2">
      <c r="A16">
        <v>307</v>
      </c>
      <c r="B16" t="s">
        <v>416</v>
      </c>
      <c r="C16" s="8" t="s">
        <v>30</v>
      </c>
      <c r="D16" s="8" t="s">
        <v>428</v>
      </c>
      <c r="E16" s="8" t="s">
        <v>42</v>
      </c>
      <c r="F16" s="8" t="s">
        <v>430</v>
      </c>
      <c r="G16" s="74" t="s">
        <v>42</v>
      </c>
      <c r="H16" s="74" t="s">
        <v>42</v>
      </c>
      <c r="I16" s="74">
        <v>39.5</v>
      </c>
      <c r="J16" s="75">
        <v>141</v>
      </c>
      <c r="K16" s="74">
        <v>72.599999999999994</v>
      </c>
      <c r="L16" s="75">
        <v>137</v>
      </c>
      <c r="M16" s="74">
        <v>40</v>
      </c>
      <c r="N16" s="74">
        <v>53</v>
      </c>
      <c r="O16" s="74">
        <v>65</v>
      </c>
      <c r="P16" s="74" t="s">
        <v>10</v>
      </c>
      <c r="Q16" s="74">
        <v>0</v>
      </c>
      <c r="R16" s="75">
        <v>0</v>
      </c>
      <c r="S16" s="75" t="s">
        <v>211</v>
      </c>
      <c r="T16" s="76">
        <v>549.76413638226495</v>
      </c>
      <c r="U16" s="76">
        <v>801.7393655574698</v>
      </c>
      <c r="V16" s="76">
        <v>1145.3419507963854</v>
      </c>
      <c r="W16" s="76" t="s">
        <v>211</v>
      </c>
      <c r="X16" s="76">
        <v>1516.1503850211138</v>
      </c>
      <c r="Y16" s="76">
        <v>2147.8797121132443</v>
      </c>
      <c r="Z16" s="76">
        <v>3158.6466354606532</v>
      </c>
      <c r="AB16" s="75" t="s">
        <v>470</v>
      </c>
      <c r="AC16" s="75">
        <v>3.3333333333333333E-2</v>
      </c>
      <c r="AD16" s="75">
        <v>9.9999999999999992E-2</v>
      </c>
      <c r="AE16" s="75">
        <v>0.16666666666666666</v>
      </c>
      <c r="AF16" s="75">
        <v>0.38999999999999996</v>
      </c>
      <c r="AG16" s="75">
        <v>0.56999999999999995</v>
      </c>
      <c r="AH16" s="75">
        <v>0.75</v>
      </c>
      <c r="AI16" s="75">
        <v>33</v>
      </c>
      <c r="AJ16" s="75">
        <v>70</v>
      </c>
      <c r="AK16" s="75">
        <v>107</v>
      </c>
      <c r="AL16" s="77" t="s">
        <v>42</v>
      </c>
      <c r="AM16" s="77" t="s">
        <v>42</v>
      </c>
      <c r="AN16" s="77" t="s">
        <v>42</v>
      </c>
      <c r="AO16" s="77">
        <v>9.4896684003367201E-3</v>
      </c>
      <c r="AP16" s="77">
        <v>8.9553362305388337E-2</v>
      </c>
      <c r="AQ16" s="77">
        <v>0.28129892931563655</v>
      </c>
      <c r="AR16" s="77">
        <v>8.4851473806598077E-3</v>
      </c>
      <c r="AS16" s="77">
        <v>8.7184225431894677E-2</v>
      </c>
      <c r="AT16" s="77">
        <v>0.28698941045504578</v>
      </c>
      <c r="AV16" s="10" t="s">
        <v>42</v>
      </c>
      <c r="AW16" s="10" t="s">
        <v>42</v>
      </c>
      <c r="AX16" s="10" t="s">
        <v>42</v>
      </c>
      <c r="AY16" s="10" t="s">
        <v>42</v>
      </c>
      <c r="AZ16" s="10" t="s">
        <v>42</v>
      </c>
      <c r="BA16" s="10" t="s">
        <v>42</v>
      </c>
      <c r="BB16" s="2"/>
      <c r="BC16" s="10" t="s">
        <v>42</v>
      </c>
      <c r="BD16" s="10" t="s">
        <v>42</v>
      </c>
      <c r="BE16" s="10" t="s">
        <v>42</v>
      </c>
      <c r="BG16" s="21">
        <v>6.5032465380474376</v>
      </c>
      <c r="BH16" s="21">
        <v>6.9362315657268594</v>
      </c>
      <c r="BI16" s="21">
        <v>7.4240652919998125</v>
      </c>
      <c r="BJ16" s="21">
        <v>0.35170574445978231</v>
      </c>
      <c r="BK16" s="21">
        <v>1.0759700943172099</v>
      </c>
      <c r="BL16" s="21">
        <v>4.061148124787862</v>
      </c>
      <c r="BM16" s="2"/>
      <c r="BN16" s="17">
        <v>1250.2917992451528</v>
      </c>
      <c r="BO16" s="17">
        <v>12014.84865133277</v>
      </c>
      <c r="BP16" s="17">
        <v>427954.69277343358</v>
      </c>
      <c r="BR16" s="21">
        <v>6.9438124131701597</v>
      </c>
      <c r="BS16" s="21">
        <v>7.3642083135415604</v>
      </c>
      <c r="BT16" s="21">
        <v>7.8646311671225346</v>
      </c>
      <c r="BU16" s="21">
        <v>0.58406663714832308</v>
      </c>
      <c r="BV16" s="21">
        <v>1.7611184810487697</v>
      </c>
      <c r="BW16" s="21">
        <v>6.7442206036452763</v>
      </c>
      <c r="BY16" s="17">
        <v>2035.1504824593924</v>
      </c>
      <c r="BZ16" s="17">
        <v>20199.967050512994</v>
      </c>
      <c r="CA16" s="17">
        <v>794826.57178322854</v>
      </c>
      <c r="CC16">
        <v>307</v>
      </c>
      <c r="CE16">
        <v>602</v>
      </c>
    </row>
    <row r="17" spans="1:83" x14ac:dyDescent="0.2">
      <c r="A17">
        <v>308</v>
      </c>
      <c r="B17" t="s">
        <v>416</v>
      </c>
      <c r="C17" s="8" t="s">
        <v>30</v>
      </c>
      <c r="D17" s="8" t="s">
        <v>429</v>
      </c>
      <c r="E17" s="8" t="s">
        <v>42</v>
      </c>
      <c r="F17" s="8" t="s">
        <v>430</v>
      </c>
      <c r="G17" s="74" t="s">
        <v>42</v>
      </c>
      <c r="H17" s="74" t="s">
        <v>42</v>
      </c>
      <c r="I17" s="75">
        <v>33.1</v>
      </c>
      <c r="J17" s="75">
        <v>137</v>
      </c>
      <c r="K17" s="74">
        <v>72.599999999999994</v>
      </c>
      <c r="L17" s="75">
        <v>137</v>
      </c>
      <c r="M17" s="74">
        <v>40</v>
      </c>
      <c r="N17" s="74">
        <v>53</v>
      </c>
      <c r="O17" s="74">
        <v>65</v>
      </c>
      <c r="P17" s="74" t="s">
        <v>10</v>
      </c>
      <c r="Q17" s="74">
        <v>0</v>
      </c>
      <c r="R17" s="75">
        <v>0</v>
      </c>
      <c r="S17" s="75" t="s">
        <v>211</v>
      </c>
      <c r="T17" s="76">
        <v>409.47548156903775</v>
      </c>
      <c r="U17" s="76">
        <v>597.15174395484667</v>
      </c>
      <c r="V17" s="76">
        <v>853.07391993549527</v>
      </c>
      <c r="W17" s="76" t="s">
        <v>42</v>
      </c>
      <c r="X17" s="76">
        <v>1516.1503850211138</v>
      </c>
      <c r="Y17" s="76">
        <v>2147.8797121132443</v>
      </c>
      <c r="Z17" s="76">
        <v>3158.6466354606532</v>
      </c>
      <c r="AB17" s="75" t="s">
        <v>470</v>
      </c>
      <c r="AC17" s="75">
        <v>3.3333333333333333E-2</v>
      </c>
      <c r="AD17" s="75">
        <v>9.9999999999999992E-2</v>
      </c>
      <c r="AE17" s="75">
        <v>0.16666666666666666</v>
      </c>
      <c r="AF17" s="75">
        <v>0.38999999999999996</v>
      </c>
      <c r="AG17" s="75">
        <v>0.56999999999999995</v>
      </c>
      <c r="AH17" s="75">
        <v>0.75</v>
      </c>
      <c r="AI17" s="75">
        <v>33</v>
      </c>
      <c r="AJ17" s="75">
        <v>70</v>
      </c>
      <c r="AK17" s="75">
        <v>107</v>
      </c>
      <c r="AL17" s="77" t="s">
        <v>42</v>
      </c>
      <c r="AM17" s="77" t="s">
        <v>42</v>
      </c>
      <c r="AN17" s="77" t="s">
        <v>42</v>
      </c>
      <c r="AO17" s="77">
        <v>8.4851473806598077E-3</v>
      </c>
      <c r="AP17" s="77">
        <v>8.7184225431894677E-2</v>
      </c>
      <c r="AQ17" s="77">
        <v>0.28698941045504578</v>
      </c>
      <c r="AR17" s="77">
        <v>8.4851473806598077E-3</v>
      </c>
      <c r="AS17" s="77">
        <v>8.7184225431894677E-2</v>
      </c>
      <c r="AT17" s="77">
        <v>0.28698941045504578</v>
      </c>
      <c r="AV17" s="10" t="s">
        <v>42</v>
      </c>
      <c r="AW17" s="10" t="s">
        <v>42</v>
      </c>
      <c r="AX17" s="10" t="s">
        <v>42</v>
      </c>
      <c r="AY17" s="10" t="s">
        <v>42</v>
      </c>
      <c r="AZ17" s="10" t="s">
        <v>42</v>
      </c>
      <c r="BA17" s="10" t="s">
        <v>42</v>
      </c>
      <c r="BC17" s="10" t="s">
        <v>42</v>
      </c>
      <c r="BD17" s="10" t="s">
        <v>42</v>
      </c>
      <c r="BE17" s="10" t="s">
        <v>42</v>
      </c>
      <c r="BG17" s="21">
        <v>6.3752980349628672</v>
      </c>
      <c r="BH17" s="21">
        <v>6.808283062642289</v>
      </c>
      <c r="BI17" s="21">
        <v>7.2961167889152421</v>
      </c>
      <c r="BJ17" s="21">
        <v>0.30353250790159775</v>
      </c>
      <c r="BK17" s="21">
        <v>0.92859416230708536</v>
      </c>
      <c r="BL17" s="21">
        <v>3.5048915028957937</v>
      </c>
      <c r="BN17" s="17">
        <v>1057.6435814141068</v>
      </c>
      <c r="BO17" s="17">
        <v>10650.942389027374</v>
      </c>
      <c r="BP17" s="17">
        <v>413061.94761973032</v>
      </c>
      <c r="BR17" s="21">
        <v>6.9438124131701597</v>
      </c>
      <c r="BS17" s="21">
        <v>7.3642083135415604</v>
      </c>
      <c r="BT17" s="21">
        <v>7.8646311671225346</v>
      </c>
      <c r="BU17" s="21">
        <v>0.58406663714832308</v>
      </c>
      <c r="BV17" s="21">
        <v>1.7611184810487697</v>
      </c>
      <c r="BW17" s="21">
        <v>6.7442206036452763</v>
      </c>
      <c r="BY17" s="17">
        <v>2035.1504824593924</v>
      </c>
      <c r="BZ17" s="17">
        <v>20199.967050512994</v>
      </c>
      <c r="CA17" s="17">
        <v>794826.57178322854</v>
      </c>
      <c r="CC17">
        <v>308</v>
      </c>
      <c r="CE17">
        <v>602</v>
      </c>
    </row>
    <row r="18" spans="1:83" x14ac:dyDescent="0.2">
      <c r="A18">
        <v>309</v>
      </c>
      <c r="B18">
        <v>8</v>
      </c>
      <c r="C18" s="8" t="s">
        <v>30</v>
      </c>
      <c r="D18" s="8" t="s">
        <v>53</v>
      </c>
      <c r="E18" s="8" t="s">
        <v>50</v>
      </c>
      <c r="F18" s="8" t="s">
        <v>42</v>
      </c>
      <c r="G18" s="74">
        <v>13.8</v>
      </c>
      <c r="H18" s="74">
        <v>120</v>
      </c>
      <c r="I18" s="74">
        <v>36</v>
      </c>
      <c r="J18" s="75">
        <v>135</v>
      </c>
      <c r="K18" s="74" t="s">
        <v>42</v>
      </c>
      <c r="L18" s="75" t="s">
        <v>42</v>
      </c>
      <c r="M18" s="74">
        <v>40</v>
      </c>
      <c r="N18" s="74">
        <v>53</v>
      </c>
      <c r="O18" s="74">
        <v>65</v>
      </c>
      <c r="P18" s="74" t="s">
        <v>10</v>
      </c>
      <c r="Q18" s="74">
        <v>0</v>
      </c>
      <c r="R18" s="75">
        <v>0</v>
      </c>
      <c r="S18" s="75" t="s">
        <v>211</v>
      </c>
      <c r="T18" s="76">
        <v>470.99765766209049</v>
      </c>
      <c r="U18" s="76">
        <v>686.87158409054859</v>
      </c>
      <c r="V18" s="76">
        <v>981.2451201293552</v>
      </c>
      <c r="W18" s="76" t="s">
        <v>42</v>
      </c>
      <c r="X18" s="76" t="s">
        <v>42</v>
      </c>
      <c r="Y18" s="76" t="s">
        <v>42</v>
      </c>
      <c r="Z18" s="76" t="s">
        <v>42</v>
      </c>
      <c r="AB18" s="75" t="s">
        <v>470</v>
      </c>
      <c r="AC18" s="75">
        <v>3.3333333333333333E-2</v>
      </c>
      <c r="AD18" s="75">
        <v>9.9999999999999992E-2</v>
      </c>
      <c r="AE18" s="75">
        <v>0.16666666666666666</v>
      </c>
      <c r="AF18" s="75">
        <v>0.38999999999999996</v>
      </c>
      <c r="AG18" s="75">
        <v>0.56999999999999995</v>
      </c>
      <c r="AH18" s="75">
        <v>0.75</v>
      </c>
      <c r="AI18" s="75">
        <v>33</v>
      </c>
      <c r="AJ18" s="75">
        <v>70</v>
      </c>
      <c r="AK18" s="75">
        <v>107</v>
      </c>
      <c r="AL18" s="77">
        <v>3.8174856990850175E-3</v>
      </c>
      <c r="AM18" s="77">
        <v>7.2554741204507806E-2</v>
      </c>
      <c r="AN18" s="77">
        <v>0.29536984826488943</v>
      </c>
      <c r="AO18" s="77">
        <v>7.9670708025339401E-3</v>
      </c>
      <c r="AP18" s="77">
        <v>8.5839571751663096E-2</v>
      </c>
      <c r="AQ18" s="77">
        <v>0.2893118001766436</v>
      </c>
      <c r="AR18" s="77" t="s">
        <v>42</v>
      </c>
      <c r="AS18" s="77" t="s">
        <v>42</v>
      </c>
      <c r="AT18" s="77" t="s">
        <v>42</v>
      </c>
      <c r="AV18" s="21">
        <v>5.7153831893387332</v>
      </c>
      <c r="AW18" s="21">
        <v>6.1483682170181551</v>
      </c>
      <c r="AX18" s="21">
        <v>6.6362019432911081</v>
      </c>
      <c r="AY18" s="21">
        <v>0.14641349940134796</v>
      </c>
      <c r="AZ18" s="21">
        <v>0.44792144922783728</v>
      </c>
      <c r="BA18" s="21">
        <v>1.6906374658472674</v>
      </c>
      <c r="BB18" s="2"/>
      <c r="BC18" s="17">
        <v>495.69548232981271</v>
      </c>
      <c r="BD18" s="17">
        <v>6173.5655284786271</v>
      </c>
      <c r="BE18" s="17">
        <v>442866.74505486235</v>
      </c>
      <c r="BG18" s="21">
        <v>6.436088879948815</v>
      </c>
      <c r="BH18" s="21">
        <v>6.8690739076282386</v>
      </c>
      <c r="BI18" s="21">
        <v>7.3569076339011916</v>
      </c>
      <c r="BJ18" s="21">
        <v>0.32553720674290099</v>
      </c>
      <c r="BK18" s="21">
        <v>0.99591293164952632</v>
      </c>
      <c r="BL18" s="21">
        <v>3.7589798788850626</v>
      </c>
      <c r="BM18" s="2"/>
      <c r="BN18" s="17">
        <v>1125.212336808037</v>
      </c>
      <c r="BO18" s="17">
        <v>11602.02586437334</v>
      </c>
      <c r="BP18" s="17">
        <v>471814.5441470801</v>
      </c>
      <c r="BR18" s="21" t="s">
        <v>42</v>
      </c>
      <c r="BS18" s="21" t="s">
        <v>42</v>
      </c>
      <c r="BT18" s="21" t="s">
        <v>42</v>
      </c>
      <c r="BU18" s="21" t="s">
        <v>42</v>
      </c>
      <c r="BV18" s="21" t="s">
        <v>42</v>
      </c>
      <c r="BW18" s="21" t="s">
        <v>42</v>
      </c>
      <c r="BX18" s="2"/>
      <c r="BY18" s="17" t="s">
        <v>42</v>
      </c>
      <c r="BZ18" s="17" t="s">
        <v>42</v>
      </c>
      <c r="CA18" s="17" t="s">
        <v>42</v>
      </c>
      <c r="CC18">
        <v>309</v>
      </c>
      <c r="CD18">
        <v>8</v>
      </c>
    </row>
    <row r="19" spans="1:83" x14ac:dyDescent="0.2">
      <c r="A19">
        <v>309</v>
      </c>
      <c r="B19">
        <v>9</v>
      </c>
      <c r="C19" s="8" t="s">
        <v>30</v>
      </c>
      <c r="D19" s="8" t="s">
        <v>53</v>
      </c>
      <c r="E19" s="8" t="s">
        <v>51</v>
      </c>
      <c r="F19" s="8" t="s">
        <v>42</v>
      </c>
      <c r="G19" s="74">
        <v>9.8000000000000007</v>
      </c>
      <c r="H19" s="74">
        <v>158</v>
      </c>
      <c r="I19" s="74">
        <v>36</v>
      </c>
      <c r="J19" s="75">
        <v>135</v>
      </c>
      <c r="K19" s="74" t="s">
        <v>42</v>
      </c>
      <c r="L19" s="75" t="s">
        <v>42</v>
      </c>
      <c r="M19" s="74">
        <v>40</v>
      </c>
      <c r="N19" s="74">
        <v>53</v>
      </c>
      <c r="O19" s="74">
        <v>65</v>
      </c>
      <c r="P19" s="74" t="s">
        <v>10</v>
      </c>
      <c r="Q19" s="74">
        <v>0</v>
      </c>
      <c r="R19" s="75">
        <v>0</v>
      </c>
      <c r="S19" s="75" t="s">
        <v>211</v>
      </c>
      <c r="T19" s="76">
        <v>470.99765766209049</v>
      </c>
      <c r="U19" s="76">
        <v>686.87158409054859</v>
      </c>
      <c r="V19" s="76">
        <v>981.2451201293552</v>
      </c>
      <c r="W19" s="76" t="s">
        <v>42</v>
      </c>
      <c r="X19" s="76" t="s">
        <v>42</v>
      </c>
      <c r="Y19" s="76" t="s">
        <v>42</v>
      </c>
      <c r="Z19" s="76" t="s">
        <v>42</v>
      </c>
      <c r="AB19" s="75" t="s">
        <v>470</v>
      </c>
      <c r="AC19" s="75">
        <v>3.3333333333333333E-2</v>
      </c>
      <c r="AD19" s="75">
        <v>9.9999999999999992E-2</v>
      </c>
      <c r="AE19" s="75">
        <v>0.16666666666666666</v>
      </c>
      <c r="AF19" s="75">
        <v>0.38999999999999996</v>
      </c>
      <c r="AG19" s="75">
        <v>0.56999999999999995</v>
      </c>
      <c r="AH19" s="75">
        <v>0.75</v>
      </c>
      <c r="AI19" s="75">
        <v>33</v>
      </c>
      <c r="AJ19" s="75">
        <v>70</v>
      </c>
      <c r="AK19" s="75">
        <v>107</v>
      </c>
      <c r="AL19" s="77">
        <v>1.3188396038493932E-2</v>
      </c>
      <c r="AM19" s="77">
        <v>7.7584747352968442E-2</v>
      </c>
      <c r="AN19" s="77">
        <v>0.29559501963508367</v>
      </c>
      <c r="AO19" s="77">
        <v>7.9670708025339401E-3</v>
      </c>
      <c r="AP19" s="77">
        <v>8.5839571751663096E-2</v>
      </c>
      <c r="AQ19" s="77">
        <v>0.2893118001766436</v>
      </c>
      <c r="AR19" s="77" t="s">
        <v>42</v>
      </c>
      <c r="AS19" s="77" t="s">
        <v>42</v>
      </c>
      <c r="AT19" s="77" t="s">
        <v>42</v>
      </c>
      <c r="AV19" s="21">
        <v>5.4676281714908272</v>
      </c>
      <c r="AW19" s="21">
        <v>5.9006131991702491</v>
      </c>
      <c r="AX19" s="21">
        <v>6.3884469254432021</v>
      </c>
      <c r="AY19" s="21">
        <v>0.11007878105912429</v>
      </c>
      <c r="AZ19" s="21">
        <v>0.33676298526324838</v>
      </c>
      <c r="BA19" s="21">
        <v>1.2710802775310275</v>
      </c>
      <c r="BB19" s="2"/>
      <c r="BC19" s="17">
        <v>372.39727920659197</v>
      </c>
      <c r="BD19" s="17">
        <v>4340.5823535283262</v>
      </c>
      <c r="BE19" s="17">
        <v>96378.685764442678</v>
      </c>
      <c r="BG19" s="21">
        <v>6.436088879948815</v>
      </c>
      <c r="BH19" s="21">
        <v>6.8690739076282386</v>
      </c>
      <c r="BI19" s="21">
        <v>7.3569076339011916</v>
      </c>
      <c r="BJ19" s="21">
        <v>0.32553720674290099</v>
      </c>
      <c r="BK19" s="21">
        <v>0.99591293164952632</v>
      </c>
      <c r="BL19" s="21">
        <v>3.7589798788850626</v>
      </c>
      <c r="BM19" s="2"/>
      <c r="BN19" s="17">
        <v>1125.212336808037</v>
      </c>
      <c r="BO19" s="17">
        <v>11602.02586437334</v>
      </c>
      <c r="BP19" s="17">
        <v>471814.5441470801</v>
      </c>
      <c r="BR19" s="21" t="s">
        <v>42</v>
      </c>
      <c r="BS19" s="21" t="s">
        <v>42</v>
      </c>
      <c r="BT19" s="21" t="s">
        <v>42</v>
      </c>
      <c r="BU19" s="21" t="s">
        <v>42</v>
      </c>
      <c r="BV19" s="21" t="s">
        <v>42</v>
      </c>
      <c r="BW19" s="21" t="s">
        <v>42</v>
      </c>
      <c r="BX19" s="2"/>
      <c r="BY19" s="17" t="s">
        <v>42</v>
      </c>
      <c r="BZ19" s="17" t="s">
        <v>42</v>
      </c>
      <c r="CA19" s="17" t="s">
        <v>42</v>
      </c>
      <c r="CC19">
        <v>309</v>
      </c>
      <c r="CD19">
        <v>9</v>
      </c>
    </row>
    <row r="20" spans="1:83" x14ac:dyDescent="0.2">
      <c r="A20">
        <v>309</v>
      </c>
      <c r="B20">
        <v>10</v>
      </c>
      <c r="C20" s="8" t="s">
        <v>30</v>
      </c>
      <c r="D20" s="8" t="s">
        <v>53</v>
      </c>
      <c r="E20" s="8" t="s">
        <v>52</v>
      </c>
      <c r="F20" s="8" t="s">
        <v>42</v>
      </c>
      <c r="G20" s="74">
        <v>12.4</v>
      </c>
      <c r="H20" s="74">
        <v>134</v>
      </c>
      <c r="I20" s="74">
        <v>36</v>
      </c>
      <c r="J20" s="75">
        <v>135</v>
      </c>
      <c r="K20" s="74" t="s">
        <v>42</v>
      </c>
      <c r="L20" s="75" t="s">
        <v>42</v>
      </c>
      <c r="M20" s="74">
        <v>40</v>
      </c>
      <c r="N20" s="74">
        <v>53</v>
      </c>
      <c r="O20" s="74">
        <v>65</v>
      </c>
      <c r="P20" s="74" t="s">
        <v>10</v>
      </c>
      <c r="Q20" s="74">
        <v>0</v>
      </c>
      <c r="R20" s="75">
        <v>0</v>
      </c>
      <c r="S20" s="75" t="s">
        <v>211</v>
      </c>
      <c r="T20" s="76">
        <v>470.99765766209049</v>
      </c>
      <c r="U20" s="76">
        <v>686.87158409054859</v>
      </c>
      <c r="V20" s="76">
        <v>981.2451201293552</v>
      </c>
      <c r="W20" s="76" t="s">
        <v>42</v>
      </c>
      <c r="X20" s="76" t="s">
        <v>42</v>
      </c>
      <c r="Y20" s="76" t="s">
        <v>42</v>
      </c>
      <c r="Z20" s="76" t="s">
        <v>42</v>
      </c>
      <c r="AB20" s="75" t="s">
        <v>470</v>
      </c>
      <c r="AC20" s="75">
        <v>3.3333333333333333E-2</v>
      </c>
      <c r="AD20" s="75">
        <v>9.9999999999999992E-2</v>
      </c>
      <c r="AE20" s="75">
        <v>0.16666666666666666</v>
      </c>
      <c r="AF20" s="75">
        <v>0.38999999999999996</v>
      </c>
      <c r="AG20" s="75">
        <v>0.56999999999999995</v>
      </c>
      <c r="AH20" s="75">
        <v>0.75</v>
      </c>
      <c r="AI20" s="75">
        <v>33</v>
      </c>
      <c r="AJ20" s="75">
        <v>70</v>
      </c>
      <c r="AK20" s="75">
        <v>107</v>
      </c>
      <c r="AL20" s="77">
        <v>7.7043525994189063E-3</v>
      </c>
      <c r="AM20" s="77">
        <v>8.5127919158157941E-2</v>
      </c>
      <c r="AN20" s="77">
        <v>0.29034097444242379</v>
      </c>
      <c r="AO20" s="77">
        <v>7.9670708025339401E-3</v>
      </c>
      <c r="AP20" s="77">
        <v>8.5839571751663096E-2</v>
      </c>
      <c r="AQ20" s="77">
        <v>0.2893118001766436</v>
      </c>
      <c r="AR20" s="77" t="s">
        <v>42</v>
      </c>
      <c r="AS20" s="77" t="s">
        <v>42</v>
      </c>
      <c r="AT20" s="77" t="s">
        <v>42</v>
      </c>
      <c r="AV20" s="21">
        <v>5.6379541872737278</v>
      </c>
      <c r="AW20" s="21">
        <v>6.0709392149531496</v>
      </c>
      <c r="AX20" s="21">
        <v>6.5587729412261027</v>
      </c>
      <c r="AY20" s="21">
        <v>0.13392653098238649</v>
      </c>
      <c r="AZ20" s="21">
        <v>0.40972018354159495</v>
      </c>
      <c r="BA20" s="21">
        <v>1.5464503742862741</v>
      </c>
      <c r="BC20" s="17">
        <v>461.27327098623084</v>
      </c>
      <c r="BD20" s="17">
        <v>4812.9942279028537</v>
      </c>
      <c r="BE20" s="17">
        <v>200724.24701887523</v>
      </c>
      <c r="BG20" s="21">
        <v>6.436088879948815</v>
      </c>
      <c r="BH20" s="21">
        <v>6.8690739076282386</v>
      </c>
      <c r="BI20" s="21">
        <v>7.3569076339011916</v>
      </c>
      <c r="BJ20" s="21">
        <v>0.32553720674290099</v>
      </c>
      <c r="BK20" s="21">
        <v>0.99591293164952632</v>
      </c>
      <c r="BL20" s="21">
        <v>3.7589798788850626</v>
      </c>
      <c r="BN20" s="17">
        <v>1125.212336808037</v>
      </c>
      <c r="BO20" s="17">
        <v>11602.02586437334</v>
      </c>
      <c r="BP20" s="17">
        <v>471814.5441470801</v>
      </c>
      <c r="BR20" s="21" t="s">
        <v>42</v>
      </c>
      <c r="BS20" s="21" t="s">
        <v>42</v>
      </c>
      <c r="BT20" s="21" t="s">
        <v>42</v>
      </c>
      <c r="BU20" s="21" t="s">
        <v>42</v>
      </c>
      <c r="BV20" s="21" t="s">
        <v>42</v>
      </c>
      <c r="BW20" s="21" t="s">
        <v>42</v>
      </c>
      <c r="BY20" s="17" t="s">
        <v>42</v>
      </c>
      <c r="BZ20" s="17" t="s">
        <v>42</v>
      </c>
      <c r="CA20" s="17" t="s">
        <v>42</v>
      </c>
      <c r="CC20">
        <v>309</v>
      </c>
      <c r="CD20">
        <v>10</v>
      </c>
    </row>
    <row r="21" spans="1:83" x14ac:dyDescent="0.2">
      <c r="A21">
        <v>310</v>
      </c>
      <c r="B21">
        <v>11</v>
      </c>
      <c r="C21" s="8" t="s">
        <v>30</v>
      </c>
      <c r="D21" s="8" t="s">
        <v>433</v>
      </c>
      <c r="E21" s="62" t="s">
        <v>358</v>
      </c>
      <c r="F21" s="8" t="s">
        <v>42</v>
      </c>
      <c r="G21" s="74">
        <v>32.4</v>
      </c>
      <c r="H21" s="74">
        <v>153</v>
      </c>
      <c r="I21" s="74">
        <v>95.1</v>
      </c>
      <c r="J21" s="75">
        <v>146</v>
      </c>
      <c r="K21" s="75" t="s">
        <v>42</v>
      </c>
      <c r="L21" s="75" t="s">
        <v>42</v>
      </c>
      <c r="M21" s="74">
        <v>40</v>
      </c>
      <c r="N21" s="74">
        <v>53</v>
      </c>
      <c r="O21" s="74">
        <v>65</v>
      </c>
      <c r="P21" s="74" t="s">
        <v>10</v>
      </c>
      <c r="Q21" s="74">
        <v>0</v>
      </c>
      <c r="R21" s="75">
        <v>0</v>
      </c>
      <c r="S21" s="75" t="s">
        <v>211</v>
      </c>
      <c r="T21" s="76">
        <v>2377.6546494218883</v>
      </c>
      <c r="U21" s="76">
        <v>3467.4130304069204</v>
      </c>
      <c r="V21" s="76">
        <v>4167.7335381729972</v>
      </c>
      <c r="W21" s="76" t="s">
        <v>42</v>
      </c>
      <c r="X21" s="76" t="s">
        <v>42</v>
      </c>
      <c r="Y21" s="76" t="s">
        <v>42</v>
      </c>
      <c r="Z21" s="76" t="s">
        <v>42</v>
      </c>
      <c r="AB21" s="75" t="s">
        <v>471</v>
      </c>
      <c r="AC21" s="75">
        <v>0.5</v>
      </c>
      <c r="AD21" s="75">
        <v>0.7</v>
      </c>
      <c r="AE21" s="75">
        <v>0.9</v>
      </c>
      <c r="AF21" s="75">
        <v>0.38999999999999996</v>
      </c>
      <c r="AG21" s="75">
        <v>0.56999999999999995</v>
      </c>
      <c r="AH21" s="75">
        <v>0.75</v>
      </c>
      <c r="AI21" s="75">
        <v>33</v>
      </c>
      <c r="AJ21" s="75">
        <v>70</v>
      </c>
      <c r="AK21" s="75">
        <v>107</v>
      </c>
      <c r="AL21" s="77">
        <v>0.18311112667943574</v>
      </c>
      <c r="AM21" s="77">
        <v>0.57417000708985189</v>
      </c>
      <c r="AN21" s="77">
        <v>1.5852808858717908</v>
      </c>
      <c r="AO21" s="77">
        <v>0.16019628803137001</v>
      </c>
      <c r="AP21" s="77">
        <v>0.61028957802326278</v>
      </c>
      <c r="AQ21" s="77">
        <v>1.5497428164572473</v>
      </c>
      <c r="AR21" s="77" t="s">
        <v>42</v>
      </c>
      <c r="AS21" s="77" t="s">
        <v>42</v>
      </c>
      <c r="AT21" s="77" t="s">
        <v>42</v>
      </c>
      <c r="AV21" s="21">
        <v>6.3331597290143575</v>
      </c>
      <c r="AW21" s="21">
        <v>6.7661447566937793</v>
      </c>
      <c r="AX21" s="21">
        <v>7.2539784829667324</v>
      </c>
      <c r="AY21" s="21">
        <v>0.29817373853348189</v>
      </c>
      <c r="AZ21" s="21">
        <v>0.91220012930289851</v>
      </c>
      <c r="BA21" s="21">
        <v>3.4430137641516647</v>
      </c>
      <c r="BC21" s="17">
        <v>188.0889003272803</v>
      </c>
      <c r="BD21" s="17">
        <v>1588.728282632409</v>
      </c>
      <c r="BE21" s="17">
        <v>18802.864831797968</v>
      </c>
      <c r="BG21" s="21">
        <v>7.1392189068990275</v>
      </c>
      <c r="BH21" s="21">
        <v>7.5722039345784493</v>
      </c>
      <c r="BI21" s="21">
        <v>7.985030068742681</v>
      </c>
      <c r="BJ21" s="21">
        <v>0.73141800368867471</v>
      </c>
      <c r="BK21" s="21">
        <v>2.2376202573063195</v>
      </c>
      <c r="BL21" s="21">
        <v>7.7469583030819988</v>
      </c>
      <c r="BN21" s="17">
        <v>471.96089307302964</v>
      </c>
      <c r="BO21" s="17">
        <v>3666.4893812442378</v>
      </c>
      <c r="BP21" s="17">
        <v>48359.162364392432</v>
      </c>
      <c r="BR21" s="21" t="s">
        <v>42</v>
      </c>
      <c r="BS21" s="21" t="s">
        <v>42</v>
      </c>
      <c r="BT21" s="21" t="s">
        <v>42</v>
      </c>
      <c r="BU21" s="21" t="s">
        <v>42</v>
      </c>
      <c r="BV21" s="21" t="s">
        <v>42</v>
      </c>
      <c r="BW21" s="21" t="s">
        <v>42</v>
      </c>
      <c r="BY21" s="17" t="s">
        <v>42</v>
      </c>
      <c r="BZ21" s="17" t="s">
        <v>42</v>
      </c>
      <c r="CA21" s="17" t="s">
        <v>42</v>
      </c>
      <c r="CC21">
        <v>310</v>
      </c>
      <c r="CD21">
        <v>11</v>
      </c>
    </row>
    <row r="22" spans="1:83" x14ac:dyDescent="0.2">
      <c r="A22">
        <v>310</v>
      </c>
      <c r="B22">
        <v>12</v>
      </c>
      <c r="C22" s="8" t="s">
        <v>30</v>
      </c>
      <c r="D22" s="8" t="s">
        <v>433</v>
      </c>
      <c r="E22" s="62" t="s">
        <v>357</v>
      </c>
      <c r="F22" s="8" t="s">
        <v>42</v>
      </c>
      <c r="G22" s="74">
        <v>14</v>
      </c>
      <c r="H22" s="74">
        <v>132</v>
      </c>
      <c r="I22" s="74">
        <v>95.1</v>
      </c>
      <c r="J22" s="75">
        <v>146</v>
      </c>
      <c r="K22" s="75" t="s">
        <v>42</v>
      </c>
      <c r="L22" s="75" t="s">
        <v>42</v>
      </c>
      <c r="M22" s="74">
        <v>40</v>
      </c>
      <c r="N22" s="74">
        <v>53</v>
      </c>
      <c r="O22" s="74">
        <v>65</v>
      </c>
      <c r="P22" s="74" t="s">
        <v>10</v>
      </c>
      <c r="Q22" s="74">
        <v>0</v>
      </c>
      <c r="R22" s="75">
        <v>0</v>
      </c>
      <c r="S22" s="75" t="s">
        <v>211</v>
      </c>
      <c r="T22" s="76">
        <v>2377.6546494218883</v>
      </c>
      <c r="U22" s="76">
        <v>3467.4130304069204</v>
      </c>
      <c r="V22" s="76">
        <v>4167.7335381729972</v>
      </c>
      <c r="W22" s="76" t="s">
        <v>42</v>
      </c>
      <c r="X22" s="76" t="s">
        <v>42</v>
      </c>
      <c r="Y22" s="76" t="s">
        <v>42</v>
      </c>
      <c r="Z22" s="76" t="s">
        <v>42</v>
      </c>
      <c r="AB22" s="75" t="s">
        <v>471</v>
      </c>
      <c r="AC22" s="75">
        <v>0.5</v>
      </c>
      <c r="AD22" s="75">
        <v>0.7</v>
      </c>
      <c r="AE22" s="75">
        <v>0.9</v>
      </c>
      <c r="AF22" s="75">
        <v>0.38999999999999996</v>
      </c>
      <c r="AG22" s="75">
        <v>0.56999999999999995</v>
      </c>
      <c r="AH22" s="75">
        <v>0.75</v>
      </c>
      <c r="AI22" s="75">
        <v>33</v>
      </c>
      <c r="AJ22" s="75">
        <v>70</v>
      </c>
      <c r="AK22" s="75">
        <v>107</v>
      </c>
      <c r="AL22" s="77">
        <v>0.10757934709884291</v>
      </c>
      <c r="AM22" s="77">
        <v>0.58538932395794385</v>
      </c>
      <c r="AN22" s="77">
        <v>1.5775220577447984</v>
      </c>
      <c r="AO22" s="77">
        <v>0.16019628803137001</v>
      </c>
      <c r="AP22" s="77">
        <v>0.61028957802326278</v>
      </c>
      <c r="AQ22" s="77">
        <v>1.5497428164572473</v>
      </c>
      <c r="AR22" s="77" t="s">
        <v>42</v>
      </c>
      <c r="AS22" s="77" t="s">
        <v>42</v>
      </c>
      <c r="AT22" s="77" t="s">
        <v>42</v>
      </c>
      <c r="AV22" s="21">
        <v>5.7257981048004014</v>
      </c>
      <c r="AW22" s="21">
        <v>6.1587831324798232</v>
      </c>
      <c r="AX22" s="21">
        <v>6.6466168587527763</v>
      </c>
      <c r="AY22" s="21">
        <v>0.14817965471977201</v>
      </c>
      <c r="AZ22" s="21">
        <v>0.45332463167361342</v>
      </c>
      <c r="BA22" s="21">
        <v>1.7110312708177253</v>
      </c>
      <c r="BC22" s="17">
        <v>93.931906683832608</v>
      </c>
      <c r="BD22" s="17">
        <v>774.39852952661909</v>
      </c>
      <c r="BE22" s="17">
        <v>15904.83040620841</v>
      </c>
      <c r="BG22" s="21">
        <v>7.1392189068990275</v>
      </c>
      <c r="BH22" s="21">
        <v>7.5722039345784493</v>
      </c>
      <c r="BI22" s="21">
        <v>7.985030068742681</v>
      </c>
      <c r="BJ22" s="21">
        <v>0.73141800368867471</v>
      </c>
      <c r="BK22" s="21">
        <v>2.2376202573063195</v>
      </c>
      <c r="BL22" s="21">
        <v>7.7469583030819988</v>
      </c>
      <c r="BN22" s="17">
        <v>471.96089307302964</v>
      </c>
      <c r="BO22" s="17">
        <v>3666.4893812442378</v>
      </c>
      <c r="BP22" s="17">
        <v>48359.162364392432</v>
      </c>
      <c r="BR22" s="21" t="s">
        <v>42</v>
      </c>
      <c r="BS22" s="21" t="s">
        <v>42</v>
      </c>
      <c r="BT22" s="21" t="s">
        <v>42</v>
      </c>
      <c r="BU22" s="21" t="s">
        <v>42</v>
      </c>
      <c r="BV22" s="21" t="s">
        <v>42</v>
      </c>
      <c r="BW22" s="21" t="s">
        <v>42</v>
      </c>
      <c r="BY22" s="17" t="s">
        <v>42</v>
      </c>
      <c r="BZ22" s="17" t="s">
        <v>42</v>
      </c>
      <c r="CA22" s="17" t="s">
        <v>42</v>
      </c>
      <c r="CC22">
        <v>310</v>
      </c>
      <c r="CD22">
        <v>12</v>
      </c>
    </row>
    <row r="23" spans="1:83" x14ac:dyDescent="0.2">
      <c r="A23">
        <v>310</v>
      </c>
      <c r="B23">
        <v>13</v>
      </c>
      <c r="C23" s="8" t="s">
        <v>30</v>
      </c>
      <c r="D23" s="8" t="s">
        <v>433</v>
      </c>
      <c r="E23" s="62" t="s">
        <v>301</v>
      </c>
      <c r="F23" s="8" t="s">
        <v>42</v>
      </c>
      <c r="G23" s="74">
        <v>17.3</v>
      </c>
      <c r="H23" s="74">
        <v>138</v>
      </c>
      <c r="I23" s="74">
        <v>95.1</v>
      </c>
      <c r="J23" s="75">
        <v>146</v>
      </c>
      <c r="K23" s="75" t="s">
        <v>42</v>
      </c>
      <c r="L23" s="75" t="s">
        <v>42</v>
      </c>
      <c r="M23" s="74">
        <v>40</v>
      </c>
      <c r="N23" s="74">
        <v>53</v>
      </c>
      <c r="O23" s="74">
        <v>65</v>
      </c>
      <c r="P23" s="74" t="s">
        <v>10</v>
      </c>
      <c r="Q23" s="74">
        <v>0</v>
      </c>
      <c r="R23" s="75">
        <v>0</v>
      </c>
      <c r="S23" s="75" t="s">
        <v>211</v>
      </c>
      <c r="T23" s="76">
        <v>2377.6546494218883</v>
      </c>
      <c r="U23" s="76">
        <v>3467.4130304069204</v>
      </c>
      <c r="V23" s="76">
        <v>4167.7335381729972</v>
      </c>
      <c r="W23" s="76" t="s">
        <v>42</v>
      </c>
      <c r="X23" s="76" t="s">
        <v>42</v>
      </c>
      <c r="Y23" s="76" t="s">
        <v>42</v>
      </c>
      <c r="Z23" s="76" t="s">
        <v>42</v>
      </c>
      <c r="AB23" s="75" t="s">
        <v>471</v>
      </c>
      <c r="AC23" s="75">
        <v>0.5</v>
      </c>
      <c r="AD23" s="75">
        <v>0.7</v>
      </c>
      <c r="AE23" s="75">
        <v>0.9</v>
      </c>
      <c r="AF23" s="75">
        <v>0.38999999999999996</v>
      </c>
      <c r="AG23" s="75">
        <v>0.56999999999999995</v>
      </c>
      <c r="AH23" s="75">
        <v>0.75</v>
      </c>
      <c r="AI23" s="75">
        <v>33</v>
      </c>
      <c r="AJ23" s="75">
        <v>70</v>
      </c>
      <c r="AK23" s="75">
        <v>107</v>
      </c>
      <c r="AL23" s="77">
        <v>0.13110521916789356</v>
      </c>
      <c r="AM23" s="77">
        <v>0.6147177184685888</v>
      </c>
      <c r="AN23" s="77">
        <v>1.5427632730768281</v>
      </c>
      <c r="AO23" s="77">
        <v>0.16019628803137001</v>
      </c>
      <c r="AP23" s="77">
        <v>0.61028957802326278</v>
      </c>
      <c r="AQ23" s="77">
        <v>1.5497428164572473</v>
      </c>
      <c r="AR23" s="77" t="s">
        <v>42</v>
      </c>
      <c r="AS23" s="77" t="s">
        <v>42</v>
      </c>
      <c r="AT23" s="77" t="s">
        <v>42</v>
      </c>
      <c r="AV23" s="21">
        <v>5.8789948838846628</v>
      </c>
      <c r="AW23" s="21">
        <v>6.3119799115640847</v>
      </c>
      <c r="AX23" s="21">
        <v>6.7998136378370377</v>
      </c>
      <c r="AY23" s="21">
        <v>0.17676121089671729</v>
      </c>
      <c r="AZ23" s="21">
        <v>0.5407639191458069</v>
      </c>
      <c r="BA23" s="21">
        <v>2.0410626538700831</v>
      </c>
      <c r="BC23" s="17">
        <v>114.57442238963303</v>
      </c>
      <c r="BD23" s="17">
        <v>879.69470034633332</v>
      </c>
      <c r="BE23" s="17">
        <v>15568.126630079425</v>
      </c>
      <c r="BG23" s="21">
        <v>7.1392189068990275</v>
      </c>
      <c r="BH23" s="21">
        <v>7.5722039345784493</v>
      </c>
      <c r="BI23" s="21">
        <v>7.985030068742681</v>
      </c>
      <c r="BJ23" s="21">
        <v>0.73141800368867471</v>
      </c>
      <c r="BK23" s="21">
        <v>2.2376202573063195</v>
      </c>
      <c r="BL23" s="21">
        <v>7.7469583030819988</v>
      </c>
      <c r="BN23" s="17">
        <v>471.96089307302964</v>
      </c>
      <c r="BO23" s="17">
        <v>3666.4893812442378</v>
      </c>
      <c r="BP23" s="17">
        <v>48359.162364392432</v>
      </c>
      <c r="BR23" s="21" t="s">
        <v>42</v>
      </c>
      <c r="BS23" s="21" t="s">
        <v>42</v>
      </c>
      <c r="BT23" s="21" t="s">
        <v>42</v>
      </c>
      <c r="BU23" s="21" t="s">
        <v>42</v>
      </c>
      <c r="BV23" s="21" t="s">
        <v>42</v>
      </c>
      <c r="BW23" s="21" t="s">
        <v>42</v>
      </c>
      <c r="BY23" s="17" t="s">
        <v>42</v>
      </c>
      <c r="BZ23" s="17" t="s">
        <v>42</v>
      </c>
      <c r="CA23" s="17" t="s">
        <v>42</v>
      </c>
      <c r="CC23">
        <v>310</v>
      </c>
      <c r="CD23">
        <v>13</v>
      </c>
    </row>
    <row r="24" spans="1:83" x14ac:dyDescent="0.2">
      <c r="A24">
        <v>310</v>
      </c>
      <c r="B24">
        <v>14</v>
      </c>
      <c r="C24" s="8" t="s">
        <v>30</v>
      </c>
      <c r="D24" s="8" t="s">
        <v>433</v>
      </c>
      <c r="E24" s="62" t="s">
        <v>54</v>
      </c>
      <c r="F24" s="8" t="s">
        <v>42</v>
      </c>
      <c r="G24" s="74">
        <v>4.5999999999999996</v>
      </c>
      <c r="H24" s="74">
        <v>213</v>
      </c>
      <c r="I24" s="74">
        <v>95.1</v>
      </c>
      <c r="J24" s="75">
        <v>146</v>
      </c>
      <c r="K24" s="75" t="s">
        <v>42</v>
      </c>
      <c r="L24" s="75" t="s">
        <v>42</v>
      </c>
      <c r="M24" s="74">
        <v>40</v>
      </c>
      <c r="N24" s="74">
        <v>53</v>
      </c>
      <c r="O24" s="74">
        <v>65</v>
      </c>
      <c r="P24" s="74" t="s">
        <v>12</v>
      </c>
      <c r="Q24" s="74">
        <v>0</v>
      </c>
      <c r="R24" s="75">
        <v>0</v>
      </c>
      <c r="S24" s="75" t="s">
        <v>211</v>
      </c>
      <c r="T24" s="76">
        <v>2377.6546494218883</v>
      </c>
      <c r="U24" s="76">
        <v>3467.4130304069204</v>
      </c>
      <c r="V24" s="76">
        <v>4167.7335381729972</v>
      </c>
      <c r="W24" s="76" t="s">
        <v>42</v>
      </c>
      <c r="X24" s="76" t="s">
        <v>42</v>
      </c>
      <c r="Y24" s="76" t="s">
        <v>42</v>
      </c>
      <c r="Z24" s="76" t="s">
        <v>42</v>
      </c>
      <c r="AB24" s="75" t="s">
        <v>471</v>
      </c>
      <c r="AC24" s="75">
        <v>0.5</v>
      </c>
      <c r="AD24" s="75">
        <v>0.7</v>
      </c>
      <c r="AE24" s="75">
        <v>0.9</v>
      </c>
      <c r="AF24" s="75">
        <v>0.38999999999999996</v>
      </c>
      <c r="AG24" s="75">
        <v>0.56999999999999995</v>
      </c>
      <c r="AH24" s="75">
        <v>0.75</v>
      </c>
      <c r="AI24" s="75">
        <v>33</v>
      </c>
      <c r="AJ24" s="75">
        <v>70</v>
      </c>
      <c r="AK24" s="75">
        <v>107</v>
      </c>
      <c r="AL24" s="77" t="s">
        <v>42</v>
      </c>
      <c r="AM24" s="77" t="s">
        <v>42</v>
      </c>
      <c r="AN24" s="77" t="s">
        <v>42</v>
      </c>
      <c r="AO24" s="77">
        <v>0.16019628803137001</v>
      </c>
      <c r="AP24" s="77">
        <v>0.61028957802326278</v>
      </c>
      <c r="AQ24" s="77">
        <v>1.5497428164572473</v>
      </c>
      <c r="AR24" s="77" t="s">
        <v>42</v>
      </c>
      <c r="AS24" s="77" t="s">
        <v>42</v>
      </c>
      <c r="AT24" s="77" t="s">
        <v>42</v>
      </c>
      <c r="AV24" s="10" t="s">
        <v>42</v>
      </c>
      <c r="AW24" s="10" t="s">
        <v>42</v>
      </c>
      <c r="AX24" s="10" t="s">
        <v>42</v>
      </c>
      <c r="AY24" s="10" t="s">
        <v>42</v>
      </c>
      <c r="AZ24" s="10" t="s">
        <v>42</v>
      </c>
      <c r="BA24" s="10" t="s">
        <v>42</v>
      </c>
      <c r="BC24" s="10" t="s">
        <v>42</v>
      </c>
      <c r="BD24" s="10" t="s">
        <v>42</v>
      </c>
      <c r="BE24" s="10" t="s">
        <v>42</v>
      </c>
      <c r="BG24" s="21">
        <v>7.1392189068990275</v>
      </c>
      <c r="BH24" s="21">
        <v>7.5722039345784493</v>
      </c>
      <c r="BI24" s="21">
        <v>7.985030068742681</v>
      </c>
      <c r="BJ24" s="21">
        <v>0.73141800368867471</v>
      </c>
      <c r="BK24" s="21">
        <v>2.2376202573063195</v>
      </c>
      <c r="BL24" s="21">
        <v>7.7469583030819988</v>
      </c>
      <c r="BN24" s="17">
        <v>471.96089307302964</v>
      </c>
      <c r="BO24" s="17">
        <v>3666.4893812442378</v>
      </c>
      <c r="BP24" s="17">
        <v>48359.162364392432</v>
      </c>
      <c r="BR24" s="21" t="s">
        <v>42</v>
      </c>
      <c r="BS24" s="21" t="s">
        <v>42</v>
      </c>
      <c r="BT24" s="21" t="s">
        <v>42</v>
      </c>
      <c r="BU24" s="21" t="s">
        <v>42</v>
      </c>
      <c r="BV24" s="21" t="s">
        <v>42</v>
      </c>
      <c r="BW24" s="21" t="s">
        <v>42</v>
      </c>
      <c r="BY24" s="17" t="s">
        <v>42</v>
      </c>
      <c r="BZ24" s="17" t="s">
        <v>42</v>
      </c>
      <c r="CA24" s="17" t="s">
        <v>42</v>
      </c>
      <c r="CC24">
        <v>310</v>
      </c>
      <c r="CD24">
        <v>14</v>
      </c>
    </row>
    <row r="25" spans="1:83" x14ac:dyDescent="0.2">
      <c r="A25">
        <v>310</v>
      </c>
      <c r="B25">
        <v>15</v>
      </c>
      <c r="C25" s="8" t="s">
        <v>30</v>
      </c>
      <c r="D25" s="8" t="s">
        <v>433</v>
      </c>
      <c r="E25" s="62" t="s">
        <v>435</v>
      </c>
      <c r="F25" s="8" t="s">
        <v>42</v>
      </c>
      <c r="G25" s="74">
        <v>26.8</v>
      </c>
      <c r="H25" s="74">
        <v>140</v>
      </c>
      <c r="I25" s="74">
        <v>95.1</v>
      </c>
      <c r="J25" s="75">
        <v>146</v>
      </c>
      <c r="K25" s="75" t="s">
        <v>42</v>
      </c>
      <c r="L25" s="75" t="s">
        <v>42</v>
      </c>
      <c r="M25" s="74">
        <v>40</v>
      </c>
      <c r="N25" s="74">
        <v>53</v>
      </c>
      <c r="O25" s="74">
        <v>65</v>
      </c>
      <c r="P25" s="74" t="s">
        <v>10</v>
      </c>
      <c r="Q25" s="74">
        <v>0</v>
      </c>
      <c r="R25" s="75">
        <v>0</v>
      </c>
      <c r="S25" s="75" t="s">
        <v>211</v>
      </c>
      <c r="T25" s="76">
        <v>2377.6546494218883</v>
      </c>
      <c r="U25" s="76">
        <v>3467.4130304069204</v>
      </c>
      <c r="V25" s="76">
        <v>4167.7335381729972</v>
      </c>
      <c r="W25" s="76" t="s">
        <v>42</v>
      </c>
      <c r="X25" s="76" t="s">
        <v>42</v>
      </c>
      <c r="Y25" s="76" t="s">
        <v>42</v>
      </c>
      <c r="Z25" s="76" t="s">
        <v>42</v>
      </c>
      <c r="AB25" s="75" t="s">
        <v>471</v>
      </c>
      <c r="AC25" s="75">
        <v>0.5</v>
      </c>
      <c r="AD25" s="75">
        <v>0.7</v>
      </c>
      <c r="AE25" s="75">
        <v>0.9</v>
      </c>
      <c r="AF25" s="75">
        <v>0.38999999999999996</v>
      </c>
      <c r="AG25" s="75">
        <v>0.56999999999999995</v>
      </c>
      <c r="AH25" s="75">
        <v>0.75</v>
      </c>
      <c r="AI25" s="75">
        <v>33</v>
      </c>
      <c r="AJ25" s="75">
        <v>70</v>
      </c>
      <c r="AK25" s="75">
        <v>107</v>
      </c>
      <c r="AL25" s="77">
        <v>0.13864027444088534</v>
      </c>
      <c r="AM25" s="77">
        <v>0.62301096062676664</v>
      </c>
      <c r="AN25" s="77">
        <v>1.527396633586799</v>
      </c>
      <c r="AO25" s="77">
        <v>0.16019628803137001</v>
      </c>
      <c r="AP25" s="77">
        <v>0.61028957802326278</v>
      </c>
      <c r="AQ25" s="77">
        <v>1.5497428164572473</v>
      </c>
      <c r="AR25" s="77" t="s">
        <v>42</v>
      </c>
      <c r="AS25" s="77" t="s">
        <v>42</v>
      </c>
      <c r="AT25" s="77" t="s">
        <v>42</v>
      </c>
      <c r="AV25" s="21">
        <v>6.1958093687179856</v>
      </c>
      <c r="AW25" s="21">
        <v>6.6287943963974074</v>
      </c>
      <c r="AX25" s="21">
        <v>7.1166281226703605</v>
      </c>
      <c r="AY25" s="21">
        <v>0.25456237280904065</v>
      </c>
      <c r="AZ25" s="21">
        <v>0.77878028606461258</v>
      </c>
      <c r="BA25" s="21">
        <v>2.9394330893369962</v>
      </c>
      <c r="BC25" s="17">
        <v>166.66422277705928</v>
      </c>
      <c r="BD25" s="17">
        <v>1250.0266211707376</v>
      </c>
      <c r="BE25" s="17">
        <v>21201.870100093733</v>
      </c>
      <c r="BG25" s="21">
        <v>7.1392189068990275</v>
      </c>
      <c r="BH25" s="21">
        <v>7.5722039345784493</v>
      </c>
      <c r="BI25" s="21">
        <v>7.985030068742681</v>
      </c>
      <c r="BJ25" s="21">
        <v>0.73141800368867471</v>
      </c>
      <c r="BK25" s="21">
        <v>2.2376202573063195</v>
      </c>
      <c r="BL25" s="21">
        <v>7.7469583030819988</v>
      </c>
      <c r="BN25" s="17">
        <v>471.96089307302964</v>
      </c>
      <c r="BO25" s="17">
        <v>3666.4893812442378</v>
      </c>
      <c r="BP25" s="17">
        <v>48359.162364392432</v>
      </c>
      <c r="BR25" s="21" t="s">
        <v>42</v>
      </c>
      <c r="BS25" s="21" t="s">
        <v>42</v>
      </c>
      <c r="BT25" s="21" t="s">
        <v>42</v>
      </c>
      <c r="BU25" s="21" t="s">
        <v>42</v>
      </c>
      <c r="BV25" s="21" t="s">
        <v>42</v>
      </c>
      <c r="BW25" s="21" t="s">
        <v>42</v>
      </c>
      <c r="BY25" s="17" t="s">
        <v>42</v>
      </c>
      <c r="BZ25" s="17" t="s">
        <v>42</v>
      </c>
      <c r="CA25" s="17" t="s">
        <v>42</v>
      </c>
      <c r="CC25">
        <v>310</v>
      </c>
      <c r="CD25">
        <v>15</v>
      </c>
    </row>
    <row r="26" spans="1:83" x14ac:dyDescent="0.2">
      <c r="A26">
        <v>311</v>
      </c>
      <c r="B26" t="s">
        <v>416</v>
      </c>
      <c r="C26" s="8" t="s">
        <v>30</v>
      </c>
      <c r="D26" s="8" t="s">
        <v>434</v>
      </c>
      <c r="E26" s="62" t="s">
        <v>42</v>
      </c>
      <c r="F26" s="8" t="s">
        <v>42</v>
      </c>
      <c r="G26" s="74" t="s">
        <v>42</v>
      </c>
      <c r="H26" s="74" t="s">
        <v>42</v>
      </c>
      <c r="I26" s="74">
        <v>41.3</v>
      </c>
      <c r="J26" s="75">
        <v>139</v>
      </c>
      <c r="K26" s="75" t="s">
        <v>42</v>
      </c>
      <c r="L26" s="75" t="s">
        <v>42</v>
      </c>
      <c r="M26" s="74">
        <v>40</v>
      </c>
      <c r="N26" s="74">
        <v>53</v>
      </c>
      <c r="O26" s="74">
        <v>65</v>
      </c>
      <c r="P26" s="74" t="s">
        <v>10</v>
      </c>
      <c r="Q26" s="74">
        <v>0</v>
      </c>
      <c r="R26" s="75">
        <v>0</v>
      </c>
      <c r="S26" s="75" t="s">
        <v>211</v>
      </c>
      <c r="T26" s="76">
        <v>592.14945259987462</v>
      </c>
      <c r="U26" s="76">
        <v>863.55128504148388</v>
      </c>
      <c r="V26" s="76">
        <v>1233.6446929164056</v>
      </c>
      <c r="W26" s="76" t="s">
        <v>42</v>
      </c>
      <c r="X26" s="76" t="s">
        <v>42</v>
      </c>
      <c r="Y26" s="76" t="s">
        <v>42</v>
      </c>
      <c r="Z26" s="76" t="s">
        <v>42</v>
      </c>
      <c r="AB26" s="75" t="s">
        <v>471</v>
      </c>
      <c r="AC26" s="75">
        <v>0.5</v>
      </c>
      <c r="AD26" s="75">
        <v>0.7</v>
      </c>
      <c r="AE26" s="75">
        <v>0.9</v>
      </c>
      <c r="AF26" s="75">
        <v>0.38999999999999996</v>
      </c>
      <c r="AG26" s="75">
        <v>0.56999999999999995</v>
      </c>
      <c r="AH26" s="75">
        <v>0.75</v>
      </c>
      <c r="AI26" s="75">
        <v>33</v>
      </c>
      <c r="AJ26" s="75">
        <v>70</v>
      </c>
      <c r="AK26" s="75">
        <v>107</v>
      </c>
      <c r="AL26" s="77" t="s">
        <v>42</v>
      </c>
      <c r="AM26" s="77" t="s">
        <v>42</v>
      </c>
      <c r="AN26" s="77" t="s">
        <v>42</v>
      </c>
      <c r="AO26" s="77">
        <v>0.13489329170608655</v>
      </c>
      <c r="AP26" s="77">
        <v>0.61895860994196528</v>
      </c>
      <c r="AQ26" s="77">
        <v>1.5353137890583466</v>
      </c>
      <c r="AR26" s="77" t="s">
        <v>42</v>
      </c>
      <c r="AS26" s="77" t="s">
        <v>42</v>
      </c>
      <c r="AT26" s="77" t="s">
        <v>42</v>
      </c>
      <c r="AV26" s="10" t="s">
        <v>42</v>
      </c>
      <c r="AW26" s="10" t="s">
        <v>42</v>
      </c>
      <c r="AX26" s="10" t="s">
        <v>42</v>
      </c>
      <c r="AY26" s="10" t="s">
        <v>42</v>
      </c>
      <c r="AZ26" s="10" t="s">
        <v>42</v>
      </c>
      <c r="BA26" s="10" t="s">
        <v>42</v>
      </c>
      <c r="BC26" s="10" t="s">
        <v>42</v>
      </c>
      <c r="BD26" s="10" t="s">
        <v>42</v>
      </c>
      <c r="BE26" s="10" t="s">
        <v>42</v>
      </c>
      <c r="BG26" s="21">
        <v>6.535501464764006</v>
      </c>
      <c r="BH26" s="21">
        <v>6.9684864924434278</v>
      </c>
      <c r="BI26" s="21">
        <v>7.4563202187163808</v>
      </c>
      <c r="BJ26" s="21">
        <v>0.36501181739085115</v>
      </c>
      <c r="BK26" s="21">
        <v>1.1166772387757815</v>
      </c>
      <c r="BL26" s="21">
        <v>4.2147934205600492</v>
      </c>
      <c r="BN26" s="17">
        <v>237.74411458567289</v>
      </c>
      <c r="BO26" s="17">
        <v>1804.1226357292021</v>
      </c>
      <c r="BP26" s="17">
        <v>31245.389353708484</v>
      </c>
      <c r="BR26" s="21" t="s">
        <v>42</v>
      </c>
      <c r="BS26" s="21" t="s">
        <v>42</v>
      </c>
      <c r="BT26" s="21" t="s">
        <v>42</v>
      </c>
      <c r="BU26" s="21" t="s">
        <v>42</v>
      </c>
      <c r="BV26" s="21" t="s">
        <v>42</v>
      </c>
      <c r="BW26" s="21" t="s">
        <v>42</v>
      </c>
      <c r="BY26" s="17" t="s">
        <v>42</v>
      </c>
      <c r="BZ26" s="17" t="s">
        <v>42</v>
      </c>
      <c r="CA26" s="17" t="s">
        <v>42</v>
      </c>
      <c r="CC26">
        <v>311</v>
      </c>
    </row>
    <row r="27" spans="1:83" x14ac:dyDescent="0.2">
      <c r="A27">
        <v>312</v>
      </c>
      <c r="B27">
        <v>16</v>
      </c>
      <c r="C27" s="8" t="s">
        <v>30</v>
      </c>
      <c r="D27" s="8" t="s">
        <v>245</v>
      </c>
      <c r="E27" s="62" t="s">
        <v>359</v>
      </c>
      <c r="F27" s="8" t="s">
        <v>42</v>
      </c>
      <c r="G27" s="74">
        <v>32.4</v>
      </c>
      <c r="H27" s="74">
        <v>153</v>
      </c>
      <c r="I27" s="74">
        <v>73.099999999999994</v>
      </c>
      <c r="J27" s="75">
        <v>142</v>
      </c>
      <c r="K27" s="75" t="s">
        <v>42</v>
      </c>
      <c r="L27" s="75" t="s">
        <v>42</v>
      </c>
      <c r="M27" s="74">
        <v>40</v>
      </c>
      <c r="N27" s="74">
        <v>53</v>
      </c>
      <c r="O27" s="74">
        <v>65</v>
      </c>
      <c r="P27" s="74" t="s">
        <v>10</v>
      </c>
      <c r="Q27" s="74">
        <v>0</v>
      </c>
      <c r="R27" s="75">
        <v>0</v>
      </c>
      <c r="S27" s="75" t="s">
        <v>211</v>
      </c>
      <c r="T27" s="76">
        <v>1533.5933181020891</v>
      </c>
      <c r="U27" s="76">
        <v>2236.4902555655462</v>
      </c>
      <c r="V27" s="76">
        <v>3194.9860793793518</v>
      </c>
      <c r="W27" s="76" t="s">
        <v>42</v>
      </c>
      <c r="X27" s="76" t="s">
        <v>42</v>
      </c>
      <c r="Y27" s="76" t="s">
        <v>42</v>
      </c>
      <c r="Z27" s="76" t="s">
        <v>42</v>
      </c>
      <c r="AB27" s="75" t="s">
        <v>471</v>
      </c>
      <c r="AC27" s="75">
        <v>0.5</v>
      </c>
      <c r="AD27" s="75">
        <v>0.7</v>
      </c>
      <c r="AE27" s="75">
        <v>0.9</v>
      </c>
      <c r="AF27" s="75">
        <v>0.38999999999999996</v>
      </c>
      <c r="AG27" s="75">
        <v>0.56999999999999995</v>
      </c>
      <c r="AH27" s="75">
        <v>0.75</v>
      </c>
      <c r="AI27" s="75">
        <v>33</v>
      </c>
      <c r="AJ27" s="75">
        <v>70</v>
      </c>
      <c r="AK27" s="75">
        <v>107</v>
      </c>
      <c r="AL27" s="77">
        <v>0.18311112667943574</v>
      </c>
      <c r="AM27" s="77">
        <v>0.57417000708985189</v>
      </c>
      <c r="AN27" s="77">
        <v>1.5852808858717908</v>
      </c>
      <c r="AO27" s="77">
        <v>0.14600641789536803</v>
      </c>
      <c r="AP27" s="77">
        <v>0.62687353613771846</v>
      </c>
      <c r="AQ27" s="77">
        <v>1.5190142183044373</v>
      </c>
      <c r="AR27" s="77" t="s">
        <v>42</v>
      </c>
      <c r="AS27" s="77" t="s">
        <v>42</v>
      </c>
      <c r="AT27" s="77" t="s">
        <v>42</v>
      </c>
      <c r="AV27" s="21">
        <v>6.3331597290143575</v>
      </c>
      <c r="AW27" s="21">
        <v>6.7661447566937793</v>
      </c>
      <c r="AX27" s="21">
        <v>7.2539784829667324</v>
      </c>
      <c r="AY27" s="21">
        <v>0.29817373853348189</v>
      </c>
      <c r="AZ27" s="21">
        <v>0.91220012930289851</v>
      </c>
      <c r="BA27" s="21">
        <v>3.4430137641516647</v>
      </c>
      <c r="BC27" s="17">
        <v>188.0889003272803</v>
      </c>
      <c r="BD27" s="17">
        <v>1588.728282632409</v>
      </c>
      <c r="BE27" s="17">
        <v>18802.864831797968</v>
      </c>
      <c r="BG27" s="21">
        <v>6.9487803402664383</v>
      </c>
      <c r="BH27" s="21">
        <v>7.3817653679458601</v>
      </c>
      <c r="BI27" s="21">
        <v>7.8695990942188132</v>
      </c>
      <c r="BJ27" s="21">
        <v>0.58741679970270699</v>
      </c>
      <c r="BK27" s="21">
        <v>1.7970787208791514</v>
      </c>
      <c r="BL27" s="21">
        <v>6.782904948697329</v>
      </c>
      <c r="BN27" s="17">
        <v>386.70921748079269</v>
      </c>
      <c r="BO27" s="17">
        <v>2866.7324703979043</v>
      </c>
      <c r="BP27" s="17">
        <v>46456.210942440448</v>
      </c>
      <c r="BR27" s="21" t="s">
        <v>42</v>
      </c>
      <c r="BS27" s="21" t="s">
        <v>42</v>
      </c>
      <c r="BT27" s="21" t="s">
        <v>42</v>
      </c>
      <c r="BU27" s="21" t="s">
        <v>42</v>
      </c>
      <c r="BV27" s="21" t="s">
        <v>42</v>
      </c>
      <c r="BW27" s="21" t="s">
        <v>42</v>
      </c>
      <c r="BY27" s="17" t="s">
        <v>42</v>
      </c>
      <c r="BZ27" s="17" t="s">
        <v>42</v>
      </c>
      <c r="CA27" s="17" t="s">
        <v>42</v>
      </c>
      <c r="CC27">
        <v>312</v>
      </c>
      <c r="CD27">
        <v>16</v>
      </c>
    </row>
    <row r="28" spans="1:83" x14ac:dyDescent="0.2">
      <c r="A28">
        <v>312</v>
      </c>
      <c r="B28">
        <v>17</v>
      </c>
      <c r="C28" s="8" t="s">
        <v>30</v>
      </c>
      <c r="D28" s="8" t="s">
        <v>245</v>
      </c>
      <c r="E28" s="62" t="s">
        <v>360</v>
      </c>
      <c r="F28" s="8" t="s">
        <v>42</v>
      </c>
      <c r="G28" s="74">
        <v>14</v>
      </c>
      <c r="H28" s="74">
        <v>132</v>
      </c>
      <c r="I28" s="74">
        <v>73.099999999999994</v>
      </c>
      <c r="J28" s="75">
        <v>142</v>
      </c>
      <c r="K28" s="75" t="s">
        <v>42</v>
      </c>
      <c r="L28" s="75" t="s">
        <v>42</v>
      </c>
      <c r="M28" s="74">
        <v>40</v>
      </c>
      <c r="N28" s="74">
        <v>53</v>
      </c>
      <c r="O28" s="74">
        <v>65</v>
      </c>
      <c r="P28" s="74" t="s">
        <v>10</v>
      </c>
      <c r="Q28" s="74">
        <v>0</v>
      </c>
      <c r="R28" s="75">
        <v>0</v>
      </c>
      <c r="S28" s="75" t="s">
        <v>211</v>
      </c>
      <c r="T28" s="76">
        <v>1533.5933181020891</v>
      </c>
      <c r="U28" s="76">
        <v>2236.4902555655462</v>
      </c>
      <c r="V28" s="76">
        <v>3194.9860793793518</v>
      </c>
      <c r="W28" s="76" t="s">
        <v>42</v>
      </c>
      <c r="X28" s="76" t="s">
        <v>42</v>
      </c>
      <c r="Y28" s="76" t="s">
        <v>42</v>
      </c>
      <c r="Z28" s="76" t="s">
        <v>42</v>
      </c>
      <c r="AB28" s="75" t="s">
        <v>471</v>
      </c>
      <c r="AC28" s="75">
        <v>0.5</v>
      </c>
      <c r="AD28" s="75">
        <v>0.7</v>
      </c>
      <c r="AE28" s="75">
        <v>0.9</v>
      </c>
      <c r="AF28" s="75">
        <v>0.38999999999999996</v>
      </c>
      <c r="AG28" s="75">
        <v>0.56999999999999995</v>
      </c>
      <c r="AH28" s="75">
        <v>0.75</v>
      </c>
      <c r="AI28" s="75">
        <v>33</v>
      </c>
      <c r="AJ28" s="75">
        <v>70</v>
      </c>
      <c r="AK28" s="75">
        <v>107</v>
      </c>
      <c r="AL28" s="77">
        <v>0.10757934709884291</v>
      </c>
      <c r="AM28" s="77">
        <v>0.58538932395794385</v>
      </c>
      <c r="AN28" s="77">
        <v>1.5775220577447984</v>
      </c>
      <c r="AO28" s="77">
        <v>0.14600641789536803</v>
      </c>
      <c r="AP28" s="77">
        <v>0.62687353613771846</v>
      </c>
      <c r="AQ28" s="77">
        <v>1.5190142183044373</v>
      </c>
      <c r="AR28" s="77" t="s">
        <v>42</v>
      </c>
      <c r="AS28" s="77" t="s">
        <v>42</v>
      </c>
      <c r="AT28" s="77" t="s">
        <v>42</v>
      </c>
      <c r="AV28" s="21">
        <v>5.7257981048004014</v>
      </c>
      <c r="AW28" s="21">
        <v>6.1587831324798232</v>
      </c>
      <c r="AX28" s="21">
        <v>6.6466168587527763</v>
      </c>
      <c r="AY28" s="21">
        <v>0.14817965471977201</v>
      </c>
      <c r="AZ28" s="21">
        <v>0.45332463167361342</v>
      </c>
      <c r="BA28" s="21">
        <v>1.7110312708177253</v>
      </c>
      <c r="BC28" s="17">
        <v>93.931906683832608</v>
      </c>
      <c r="BD28" s="17">
        <v>774.39852952661909</v>
      </c>
      <c r="BE28" s="17">
        <v>15904.83040620841</v>
      </c>
      <c r="BG28" s="21">
        <v>6.9487803402664383</v>
      </c>
      <c r="BH28" s="21">
        <v>7.3817653679458601</v>
      </c>
      <c r="BI28" s="21">
        <v>7.8695990942188132</v>
      </c>
      <c r="BJ28" s="21">
        <v>0.58741679970270699</v>
      </c>
      <c r="BK28" s="21">
        <v>1.7970787208791514</v>
      </c>
      <c r="BL28" s="21">
        <v>6.782904948697329</v>
      </c>
      <c r="BN28" s="17">
        <v>386.70921748079269</v>
      </c>
      <c r="BO28" s="17">
        <v>2866.7324703979043</v>
      </c>
      <c r="BP28" s="17">
        <v>46456.210942440448</v>
      </c>
      <c r="BR28" s="21" t="s">
        <v>42</v>
      </c>
      <c r="BS28" s="21" t="s">
        <v>42</v>
      </c>
      <c r="BT28" s="21" t="s">
        <v>42</v>
      </c>
      <c r="BU28" s="21" t="s">
        <v>42</v>
      </c>
      <c r="BV28" s="21" t="s">
        <v>42</v>
      </c>
      <c r="BW28" s="21" t="s">
        <v>42</v>
      </c>
      <c r="BY28" s="17" t="s">
        <v>42</v>
      </c>
      <c r="BZ28" s="17" t="s">
        <v>42</v>
      </c>
      <c r="CA28" s="17" t="s">
        <v>42</v>
      </c>
      <c r="CC28">
        <v>312</v>
      </c>
      <c r="CD28">
        <v>17</v>
      </c>
    </row>
    <row r="29" spans="1:83" x14ac:dyDescent="0.2">
      <c r="A29">
        <v>312</v>
      </c>
      <c r="B29">
        <v>18</v>
      </c>
      <c r="C29" s="8" t="s">
        <v>30</v>
      </c>
      <c r="D29" s="8" t="s">
        <v>245</v>
      </c>
      <c r="E29" s="62" t="s">
        <v>302</v>
      </c>
      <c r="F29" s="8" t="s">
        <v>42</v>
      </c>
      <c r="G29" s="74">
        <v>26.7</v>
      </c>
      <c r="H29" s="74">
        <v>134</v>
      </c>
      <c r="I29" s="74">
        <v>73.099999999999994</v>
      </c>
      <c r="J29" s="75">
        <v>142</v>
      </c>
      <c r="K29" s="75" t="s">
        <v>42</v>
      </c>
      <c r="L29" s="75" t="s">
        <v>42</v>
      </c>
      <c r="M29" s="74">
        <v>40</v>
      </c>
      <c r="N29" s="74">
        <v>53</v>
      </c>
      <c r="O29" s="74">
        <v>65</v>
      </c>
      <c r="P29" s="74" t="s">
        <v>10</v>
      </c>
      <c r="Q29" s="74">
        <v>0</v>
      </c>
      <c r="R29" s="75">
        <v>0</v>
      </c>
      <c r="S29" s="75" t="s">
        <v>211</v>
      </c>
      <c r="T29" s="76">
        <v>1533.5933181020891</v>
      </c>
      <c r="U29" s="76">
        <v>2236.4902555655462</v>
      </c>
      <c r="V29" s="76">
        <v>3194.9860793793518</v>
      </c>
      <c r="W29" s="76" t="s">
        <v>42</v>
      </c>
      <c r="X29" s="76" t="s">
        <v>42</v>
      </c>
      <c r="Y29" s="76" t="s">
        <v>42</v>
      </c>
      <c r="Z29" s="76" t="s">
        <v>42</v>
      </c>
      <c r="AB29" s="75" t="s">
        <v>471</v>
      </c>
      <c r="AC29" s="75">
        <v>0.5</v>
      </c>
      <c r="AD29" s="75">
        <v>0.7</v>
      </c>
      <c r="AE29" s="75">
        <v>0.9</v>
      </c>
      <c r="AF29" s="75">
        <v>0.38999999999999996</v>
      </c>
      <c r="AG29" s="75">
        <v>0.56999999999999995</v>
      </c>
      <c r="AH29" s="75">
        <v>0.75</v>
      </c>
      <c r="AI29" s="75">
        <v>33</v>
      </c>
      <c r="AJ29" s="75">
        <v>70</v>
      </c>
      <c r="AK29" s="75">
        <v>107</v>
      </c>
      <c r="AL29" s="77">
        <v>0.1155652889912836</v>
      </c>
      <c r="AM29" s="77">
        <v>0.59589543410710566</v>
      </c>
      <c r="AN29" s="77">
        <v>1.5678412619890889</v>
      </c>
      <c r="AO29" s="77">
        <v>0.14600641789536803</v>
      </c>
      <c r="AP29" s="77">
        <v>0.62687353613771846</v>
      </c>
      <c r="AQ29" s="77">
        <v>1.5190142183044373</v>
      </c>
      <c r="AR29" s="77" t="s">
        <v>42</v>
      </c>
      <c r="AS29" s="77" t="s">
        <v>42</v>
      </c>
      <c r="AT29" s="77" t="s">
        <v>42</v>
      </c>
      <c r="AV29" s="21">
        <v>6.1931034809442949</v>
      </c>
      <c r="AW29" s="21">
        <v>6.6260885086237167</v>
      </c>
      <c r="AX29" s="21">
        <v>7.1139222348966697</v>
      </c>
      <c r="AY29" s="21">
        <v>0.25377057665584263</v>
      </c>
      <c r="AZ29" s="21">
        <v>0.77635795149926423</v>
      </c>
      <c r="BA29" s="21">
        <v>2.9302902148931529</v>
      </c>
      <c r="BC29" s="17">
        <v>161.85986605167474</v>
      </c>
      <c r="BD29" s="17">
        <v>1302.8425912720156</v>
      </c>
      <c r="BE29" s="17">
        <v>25356.144915746867</v>
      </c>
      <c r="BG29" s="21">
        <v>6.9487803402664383</v>
      </c>
      <c r="BH29" s="21">
        <v>7.3817653679458601</v>
      </c>
      <c r="BI29" s="21">
        <v>7.8695990942188132</v>
      </c>
      <c r="BJ29" s="21">
        <v>0.58741679970270699</v>
      </c>
      <c r="BK29" s="21">
        <v>1.7970787208791514</v>
      </c>
      <c r="BL29" s="21">
        <v>6.782904948697329</v>
      </c>
      <c r="BN29" s="17">
        <v>386.70921748079269</v>
      </c>
      <c r="BO29" s="17">
        <v>2866.7324703979043</v>
      </c>
      <c r="BP29" s="17">
        <v>46456.210942440448</v>
      </c>
      <c r="BR29" s="21" t="s">
        <v>42</v>
      </c>
      <c r="BS29" s="21" t="s">
        <v>42</v>
      </c>
      <c r="BT29" s="21" t="s">
        <v>42</v>
      </c>
      <c r="BU29" s="21" t="s">
        <v>42</v>
      </c>
      <c r="BV29" s="21" t="s">
        <v>42</v>
      </c>
      <c r="BW29" s="21" t="s">
        <v>42</v>
      </c>
      <c r="BY29" s="17" t="s">
        <v>42</v>
      </c>
      <c r="BZ29" s="17" t="s">
        <v>42</v>
      </c>
      <c r="CA29" s="17" t="s">
        <v>42</v>
      </c>
      <c r="CC29">
        <v>312</v>
      </c>
      <c r="CD29">
        <v>18</v>
      </c>
    </row>
    <row r="30" spans="1:83" x14ac:dyDescent="0.2">
      <c r="A30">
        <v>313</v>
      </c>
      <c r="B30">
        <v>19</v>
      </c>
      <c r="C30" s="11" t="s">
        <v>4</v>
      </c>
      <c r="D30" s="11" t="s">
        <v>4</v>
      </c>
      <c r="E30" s="11" t="s">
        <v>102</v>
      </c>
      <c r="F30" s="11" t="s">
        <v>42</v>
      </c>
      <c r="G30" s="78">
        <v>27.5</v>
      </c>
      <c r="H30" s="78">
        <v>202</v>
      </c>
      <c r="I30" s="79">
        <v>70.400000000000006</v>
      </c>
      <c r="J30" s="79">
        <v>205</v>
      </c>
      <c r="K30" s="79" t="s">
        <v>42</v>
      </c>
      <c r="L30" s="79" t="s">
        <v>42</v>
      </c>
      <c r="M30" s="79">
        <v>40</v>
      </c>
      <c r="N30" s="79">
        <v>53</v>
      </c>
      <c r="O30" s="79">
        <v>65</v>
      </c>
      <c r="P30" s="79" t="s">
        <v>12</v>
      </c>
      <c r="Q30" s="79">
        <v>0</v>
      </c>
      <c r="R30" s="79">
        <v>0</v>
      </c>
      <c r="S30" s="79" t="s">
        <v>211</v>
      </c>
      <c r="T30" s="80">
        <v>1440.3532313926917</v>
      </c>
      <c r="U30" s="80">
        <v>2100.515129114342</v>
      </c>
      <c r="V30" s="80">
        <v>3000.7358987347748</v>
      </c>
      <c r="W30" s="80" t="s">
        <v>42</v>
      </c>
      <c r="X30" s="80" t="s">
        <v>42</v>
      </c>
      <c r="Y30" s="80" t="s">
        <v>42</v>
      </c>
      <c r="Z30" s="80" t="s">
        <v>42</v>
      </c>
      <c r="AB30" s="79" t="s">
        <v>471</v>
      </c>
      <c r="AC30" s="79">
        <v>0.5</v>
      </c>
      <c r="AD30" s="79">
        <v>0.7</v>
      </c>
      <c r="AE30" s="79">
        <v>0.9</v>
      </c>
      <c r="AF30" s="79">
        <v>0.49</v>
      </c>
      <c r="AG30" s="79">
        <v>0.66</v>
      </c>
      <c r="AH30" s="79">
        <v>0.83000000000000007</v>
      </c>
      <c r="AI30" s="79">
        <v>39</v>
      </c>
      <c r="AJ30" s="79">
        <v>71</v>
      </c>
      <c r="AK30" s="79">
        <v>103</v>
      </c>
      <c r="AL30" s="81">
        <v>9.3507717862193571E-2</v>
      </c>
      <c r="AM30" s="81">
        <v>0.57937374882518999</v>
      </c>
      <c r="AN30" s="81">
        <v>1.7457910772375771</v>
      </c>
      <c r="AO30" s="81">
        <v>7.7372618461397757E-2</v>
      </c>
      <c r="AP30" s="81">
        <v>0.55222115595557753</v>
      </c>
      <c r="AQ30" s="81">
        <v>1.7289273178556226</v>
      </c>
      <c r="AR30" s="81" t="s">
        <v>42</v>
      </c>
      <c r="AS30" s="81" t="s">
        <v>42</v>
      </c>
      <c r="AT30" s="81" t="s">
        <v>42</v>
      </c>
      <c r="AV30" s="82">
        <v>6.2144725350537753</v>
      </c>
      <c r="AW30" s="82">
        <v>6.6474575627331971</v>
      </c>
      <c r="AX30" s="82">
        <v>7.1352912890061502</v>
      </c>
      <c r="AY30" s="82">
        <v>0.26009128097120821</v>
      </c>
      <c r="AZ30" s="82">
        <v>0.79569482309003292</v>
      </c>
      <c r="BA30" s="82">
        <v>3.0032754216520332</v>
      </c>
      <c r="BB30" s="2"/>
      <c r="BC30" s="18">
        <v>148.98190531639057</v>
      </c>
      <c r="BD30" s="18">
        <v>1373.3705137719519</v>
      </c>
      <c r="BE30" s="18">
        <v>32117.941602190444</v>
      </c>
      <c r="BG30" s="22">
        <v>6.9215391439068554</v>
      </c>
      <c r="BH30" s="22">
        <v>7.3545241715862799</v>
      </c>
      <c r="BI30" s="22">
        <v>7.842357897859233</v>
      </c>
      <c r="BJ30" s="22">
        <v>0.56927978803340207</v>
      </c>
      <c r="BK30" s="22">
        <v>1.7415923307252805</v>
      </c>
      <c r="BL30" s="22">
        <v>6.573476777305971</v>
      </c>
      <c r="BM30" s="2"/>
      <c r="BN30" s="18">
        <v>329.26762285153552</v>
      </c>
      <c r="BO30" s="18">
        <v>3153.7950184316733</v>
      </c>
      <c r="BP30" s="18">
        <v>84958.696086853612</v>
      </c>
      <c r="BR30" s="22" t="s">
        <v>42</v>
      </c>
      <c r="BS30" s="22" t="s">
        <v>42</v>
      </c>
      <c r="BT30" s="22" t="s">
        <v>42</v>
      </c>
      <c r="BU30" s="22" t="s">
        <v>42</v>
      </c>
      <c r="BV30" s="22" t="s">
        <v>42</v>
      </c>
      <c r="BW30" s="22" t="s">
        <v>42</v>
      </c>
      <c r="BX30" s="2"/>
      <c r="BY30" s="18" t="s">
        <v>42</v>
      </c>
      <c r="BZ30" s="18" t="s">
        <v>42</v>
      </c>
      <c r="CA30" s="18" t="s">
        <v>42</v>
      </c>
      <c r="CC30">
        <v>313</v>
      </c>
      <c r="CD30">
        <v>19</v>
      </c>
    </row>
    <row r="31" spans="1:83" x14ac:dyDescent="0.2">
      <c r="A31">
        <v>313</v>
      </c>
      <c r="B31">
        <v>20</v>
      </c>
      <c r="C31" s="11" t="s">
        <v>4</v>
      </c>
      <c r="D31" s="11" t="s">
        <v>4</v>
      </c>
      <c r="E31" s="11" t="s">
        <v>306</v>
      </c>
      <c r="F31" s="11" t="s">
        <v>42</v>
      </c>
      <c r="G31" s="78">
        <v>13</v>
      </c>
      <c r="H31" s="78">
        <v>206</v>
      </c>
      <c r="I31" s="79">
        <v>70.400000000000006</v>
      </c>
      <c r="J31" s="79">
        <v>205</v>
      </c>
      <c r="K31" s="79" t="s">
        <v>42</v>
      </c>
      <c r="L31" s="79" t="s">
        <v>42</v>
      </c>
      <c r="M31" s="79">
        <v>40</v>
      </c>
      <c r="N31" s="79">
        <v>53</v>
      </c>
      <c r="O31" s="79">
        <v>65</v>
      </c>
      <c r="P31" s="79" t="s">
        <v>12</v>
      </c>
      <c r="Q31" s="79">
        <v>0</v>
      </c>
      <c r="R31" s="79">
        <v>0</v>
      </c>
      <c r="S31" s="79" t="s">
        <v>211</v>
      </c>
      <c r="T31" s="80">
        <v>1440.3532313926917</v>
      </c>
      <c r="U31" s="80">
        <v>2100.515129114342</v>
      </c>
      <c r="V31" s="80">
        <v>3000.7358987347748</v>
      </c>
      <c r="W31" s="80" t="s">
        <v>42</v>
      </c>
      <c r="X31" s="80" t="s">
        <v>42</v>
      </c>
      <c r="Y31" s="80" t="s">
        <v>42</v>
      </c>
      <c r="Z31" s="80" t="s">
        <v>42</v>
      </c>
      <c r="AB31" s="79" t="s">
        <v>471</v>
      </c>
      <c r="AC31" s="79">
        <v>0.5</v>
      </c>
      <c r="AD31" s="79">
        <v>0.7</v>
      </c>
      <c r="AE31" s="79">
        <v>0.9</v>
      </c>
      <c r="AF31" s="79">
        <v>0.49</v>
      </c>
      <c r="AG31" s="79">
        <v>0.66</v>
      </c>
      <c r="AH31" s="79">
        <v>0.83000000000000007</v>
      </c>
      <c r="AI31" s="79">
        <v>39</v>
      </c>
      <c r="AJ31" s="79">
        <v>71</v>
      </c>
      <c r="AK31" s="79">
        <v>103</v>
      </c>
      <c r="AL31" s="81">
        <v>7.1944922790448493E-2</v>
      </c>
      <c r="AM31" s="81">
        <v>0.54283013939591973</v>
      </c>
      <c r="AN31" s="81">
        <v>1.7222503244338063</v>
      </c>
      <c r="AO31" s="81">
        <v>7.7372618461397757E-2</v>
      </c>
      <c r="AP31" s="81">
        <v>0.55222115595557753</v>
      </c>
      <c r="AQ31" s="81">
        <v>1.7289273178556226</v>
      </c>
      <c r="AR31" s="81" t="s">
        <v>42</v>
      </c>
      <c r="AS31" s="81" t="s">
        <v>42</v>
      </c>
      <c r="AT31" s="81" t="s">
        <v>42</v>
      </c>
      <c r="AV31" s="82">
        <v>5.6721569658480648</v>
      </c>
      <c r="AW31" s="82">
        <v>6.1051419935274867</v>
      </c>
      <c r="AX31" s="82">
        <v>6.5929757198004397</v>
      </c>
      <c r="AY31" s="82">
        <v>0.13930541840148528</v>
      </c>
      <c r="AZ31" s="82">
        <v>0.42617576351097758</v>
      </c>
      <c r="BA31" s="82">
        <v>1.6085604162734195</v>
      </c>
      <c r="BB31" s="2"/>
      <c r="BC31" s="18">
        <v>80.88569729100341</v>
      </c>
      <c r="BD31" s="18">
        <v>785.09967037799481</v>
      </c>
      <c r="BE31" s="18">
        <v>22358.220064515441</v>
      </c>
      <c r="BG31" s="22">
        <v>6.9215391439068554</v>
      </c>
      <c r="BH31" s="22">
        <v>7.3545241715862799</v>
      </c>
      <c r="BI31" s="22">
        <v>7.842357897859233</v>
      </c>
      <c r="BJ31" s="22">
        <v>0.56927978803340207</v>
      </c>
      <c r="BK31" s="22">
        <v>1.7415923307252805</v>
      </c>
      <c r="BL31" s="22">
        <v>6.573476777305971</v>
      </c>
      <c r="BM31" s="2"/>
      <c r="BN31" s="18">
        <v>329.26762285153552</v>
      </c>
      <c r="BO31" s="18">
        <v>3153.7950184316733</v>
      </c>
      <c r="BP31" s="18">
        <v>84958.696086853612</v>
      </c>
      <c r="BR31" s="22" t="s">
        <v>42</v>
      </c>
      <c r="BS31" s="22" t="s">
        <v>42</v>
      </c>
      <c r="BT31" s="22" t="s">
        <v>42</v>
      </c>
      <c r="BU31" s="22" t="s">
        <v>42</v>
      </c>
      <c r="BV31" s="22" t="s">
        <v>42</v>
      </c>
      <c r="BW31" s="22" t="s">
        <v>42</v>
      </c>
      <c r="BX31" s="2"/>
      <c r="BY31" s="18" t="s">
        <v>42</v>
      </c>
      <c r="BZ31" s="18" t="s">
        <v>42</v>
      </c>
      <c r="CA31" s="18" t="s">
        <v>42</v>
      </c>
      <c r="CC31">
        <v>313</v>
      </c>
      <c r="CD31">
        <v>20</v>
      </c>
    </row>
    <row r="32" spans="1:83" x14ac:dyDescent="0.2">
      <c r="A32">
        <v>313</v>
      </c>
      <c r="B32">
        <v>21</v>
      </c>
      <c r="C32" s="11" t="s">
        <v>4</v>
      </c>
      <c r="D32" s="11" t="s">
        <v>4</v>
      </c>
      <c r="E32" s="11" t="s">
        <v>305</v>
      </c>
      <c r="F32" s="11" t="s">
        <v>42</v>
      </c>
      <c r="G32" s="78">
        <v>8</v>
      </c>
      <c r="H32" s="78">
        <v>208</v>
      </c>
      <c r="I32" s="79">
        <v>70.400000000000006</v>
      </c>
      <c r="J32" s="79">
        <v>205</v>
      </c>
      <c r="K32" s="79" t="s">
        <v>42</v>
      </c>
      <c r="L32" s="79" t="s">
        <v>42</v>
      </c>
      <c r="M32" s="79">
        <v>40</v>
      </c>
      <c r="N32" s="79">
        <v>53</v>
      </c>
      <c r="O32" s="79">
        <v>65</v>
      </c>
      <c r="P32" s="79" t="s">
        <v>12</v>
      </c>
      <c r="Q32" s="79">
        <v>0</v>
      </c>
      <c r="R32" s="79">
        <v>0</v>
      </c>
      <c r="S32" s="79" t="s">
        <v>211</v>
      </c>
      <c r="T32" s="80">
        <v>1440.3532313926917</v>
      </c>
      <c r="U32" s="80">
        <v>2100.515129114342</v>
      </c>
      <c r="V32" s="80">
        <v>3000.7358987347748</v>
      </c>
      <c r="W32" s="80" t="s">
        <v>42</v>
      </c>
      <c r="X32" s="80" t="s">
        <v>42</v>
      </c>
      <c r="Y32" s="80" t="s">
        <v>42</v>
      </c>
      <c r="Z32" s="80" t="s">
        <v>42</v>
      </c>
      <c r="AB32" s="79" t="s">
        <v>471</v>
      </c>
      <c r="AC32" s="79">
        <v>0.5</v>
      </c>
      <c r="AD32" s="79">
        <v>0.7</v>
      </c>
      <c r="AE32" s="79">
        <v>0.9</v>
      </c>
      <c r="AF32" s="79">
        <v>0.49</v>
      </c>
      <c r="AG32" s="79">
        <v>0.66</v>
      </c>
      <c r="AH32" s="79">
        <v>0.83000000000000007</v>
      </c>
      <c r="AI32" s="79">
        <v>39</v>
      </c>
      <c r="AJ32" s="79">
        <v>71</v>
      </c>
      <c r="AK32" s="79">
        <v>103</v>
      </c>
      <c r="AL32" s="81">
        <v>6.1025446091504044E-2</v>
      </c>
      <c r="AM32" s="81">
        <v>0.52355496328191309</v>
      </c>
      <c r="AN32" s="81">
        <v>1.70732468887169</v>
      </c>
      <c r="AO32" s="81">
        <v>7.7372618461397757E-2</v>
      </c>
      <c r="AP32" s="81">
        <v>0.55222115595557753</v>
      </c>
      <c r="AQ32" s="81">
        <v>1.7289273178556226</v>
      </c>
      <c r="AR32" s="81" t="s">
        <v>42</v>
      </c>
      <c r="AS32" s="81" t="s">
        <v>42</v>
      </c>
      <c r="AT32" s="81" t="s">
        <v>42</v>
      </c>
      <c r="AV32" s="82">
        <v>5.3207346903232446</v>
      </c>
      <c r="AW32" s="82">
        <v>5.7537197180026665</v>
      </c>
      <c r="AX32" s="82">
        <v>6.2415534442756195</v>
      </c>
      <c r="AY32" s="82">
        <v>9.2951600308978061E-2</v>
      </c>
      <c r="AZ32" s="82">
        <v>0.28436596139481957</v>
      </c>
      <c r="BA32" s="82">
        <v>1.0733126291999</v>
      </c>
      <c r="BB32" s="2"/>
      <c r="BC32" s="18">
        <v>54.442837331899916</v>
      </c>
      <c r="BD32" s="18">
        <v>543.14442864272883</v>
      </c>
      <c r="BE32" s="18">
        <v>17587.952205880334</v>
      </c>
      <c r="BG32" s="22">
        <v>6.9215391439068554</v>
      </c>
      <c r="BH32" s="22">
        <v>7.3545241715862799</v>
      </c>
      <c r="BI32" s="22">
        <v>7.842357897859233</v>
      </c>
      <c r="BJ32" s="22">
        <v>0.56927978803340207</v>
      </c>
      <c r="BK32" s="22">
        <v>1.7415923307252805</v>
      </c>
      <c r="BL32" s="22">
        <v>6.573476777305971</v>
      </c>
      <c r="BM32" s="2"/>
      <c r="BN32" s="18">
        <v>329.26762285153552</v>
      </c>
      <c r="BO32" s="18">
        <v>3153.7950184316733</v>
      </c>
      <c r="BP32" s="18">
        <v>84958.696086853612</v>
      </c>
      <c r="BR32" s="22" t="s">
        <v>42</v>
      </c>
      <c r="BS32" s="22" t="s">
        <v>42</v>
      </c>
      <c r="BT32" s="22" t="s">
        <v>42</v>
      </c>
      <c r="BU32" s="22" t="s">
        <v>42</v>
      </c>
      <c r="BV32" s="22" t="s">
        <v>42</v>
      </c>
      <c r="BW32" s="22" t="s">
        <v>42</v>
      </c>
      <c r="BX32" s="2"/>
      <c r="BY32" s="18" t="s">
        <v>42</v>
      </c>
      <c r="BZ32" s="18" t="s">
        <v>42</v>
      </c>
      <c r="CA32" s="18" t="s">
        <v>42</v>
      </c>
      <c r="CC32">
        <v>313</v>
      </c>
      <c r="CD32">
        <v>21</v>
      </c>
    </row>
    <row r="33" spans="1:83" x14ac:dyDescent="0.2">
      <c r="A33">
        <v>313</v>
      </c>
      <c r="B33">
        <v>22</v>
      </c>
      <c r="C33" s="11" t="s">
        <v>4</v>
      </c>
      <c r="D33" s="11" t="s">
        <v>4</v>
      </c>
      <c r="E33" s="11" t="s">
        <v>103</v>
      </c>
      <c r="F33" s="11" t="s">
        <v>42</v>
      </c>
      <c r="G33" s="78">
        <v>21.9</v>
      </c>
      <c r="H33" s="78">
        <v>205</v>
      </c>
      <c r="I33" s="79">
        <v>70.400000000000006</v>
      </c>
      <c r="J33" s="79">
        <v>205</v>
      </c>
      <c r="K33" s="79" t="s">
        <v>42</v>
      </c>
      <c r="L33" s="79" t="s">
        <v>42</v>
      </c>
      <c r="M33" s="79">
        <v>40</v>
      </c>
      <c r="N33" s="79">
        <v>53</v>
      </c>
      <c r="O33" s="79">
        <v>65</v>
      </c>
      <c r="P33" s="79" t="s">
        <v>12</v>
      </c>
      <c r="Q33" s="79">
        <v>0</v>
      </c>
      <c r="R33" s="79">
        <v>0</v>
      </c>
      <c r="S33" s="79" t="s">
        <v>211</v>
      </c>
      <c r="T33" s="80">
        <v>1440.3532313926917</v>
      </c>
      <c r="U33" s="80">
        <v>2100.515129114342</v>
      </c>
      <c r="V33" s="80">
        <v>3000.7358987347748</v>
      </c>
      <c r="W33" s="80" t="s">
        <v>42</v>
      </c>
      <c r="X33" s="80" t="s">
        <v>42</v>
      </c>
      <c r="Y33" s="80" t="s">
        <v>42</v>
      </c>
      <c r="Z33" s="80" t="s">
        <v>42</v>
      </c>
      <c r="AB33" s="79" t="s">
        <v>471</v>
      </c>
      <c r="AC33" s="79">
        <v>0.5</v>
      </c>
      <c r="AD33" s="79">
        <v>0.7</v>
      </c>
      <c r="AE33" s="79">
        <v>0.9</v>
      </c>
      <c r="AF33" s="79">
        <v>0.49</v>
      </c>
      <c r="AG33" s="79">
        <v>0.66</v>
      </c>
      <c r="AH33" s="79">
        <v>0.83000000000000007</v>
      </c>
      <c r="AI33" s="79">
        <v>39</v>
      </c>
      <c r="AJ33" s="79">
        <v>71</v>
      </c>
      <c r="AK33" s="79">
        <v>103</v>
      </c>
      <c r="AL33" s="81">
        <v>7.7372618461397757E-2</v>
      </c>
      <c r="AM33" s="81">
        <v>0.55222115595557753</v>
      </c>
      <c r="AN33" s="81">
        <v>1.7289273178556226</v>
      </c>
      <c r="AO33" s="81">
        <v>7.7372618461397757E-2</v>
      </c>
      <c r="AP33" s="81">
        <v>0.55222115595557753</v>
      </c>
      <c r="AQ33" s="81">
        <v>1.7289273178556226</v>
      </c>
      <c r="AR33" s="81" t="s">
        <v>42</v>
      </c>
      <c r="AS33" s="81" t="s">
        <v>42</v>
      </c>
      <c r="AT33" s="81" t="s">
        <v>42</v>
      </c>
      <c r="AV33" s="82">
        <v>6.0496582367368674</v>
      </c>
      <c r="AW33" s="82">
        <v>6.4826432644162892</v>
      </c>
      <c r="AX33" s="82">
        <v>6.9704769906892423</v>
      </c>
      <c r="AY33" s="82">
        <v>0.21513875172850533</v>
      </c>
      <c r="AZ33" s="82">
        <v>0.65817197084501211</v>
      </c>
      <c r="BA33" s="82">
        <v>2.4842083244714575</v>
      </c>
      <c r="BB33" s="2"/>
      <c r="BC33" s="18">
        <v>124.43481545270539</v>
      </c>
      <c r="BD33" s="18">
        <v>1191.8630131185296</v>
      </c>
      <c r="BE33" s="18">
        <v>32107.073198134851</v>
      </c>
      <c r="BG33" s="22">
        <v>6.9215391439068554</v>
      </c>
      <c r="BH33" s="22">
        <v>7.3545241715862799</v>
      </c>
      <c r="BI33" s="22">
        <v>7.842357897859233</v>
      </c>
      <c r="BJ33" s="22">
        <v>0.56927978803340207</v>
      </c>
      <c r="BK33" s="22">
        <v>1.7415923307252805</v>
      </c>
      <c r="BL33" s="22">
        <v>6.573476777305971</v>
      </c>
      <c r="BM33" s="2"/>
      <c r="BN33" s="18">
        <v>329.26762285153552</v>
      </c>
      <c r="BO33" s="18">
        <v>3153.7950184316733</v>
      </c>
      <c r="BP33" s="18">
        <v>84958.696086853612</v>
      </c>
      <c r="BR33" s="22" t="s">
        <v>42</v>
      </c>
      <c r="BS33" s="22" t="s">
        <v>42</v>
      </c>
      <c r="BT33" s="22" t="s">
        <v>42</v>
      </c>
      <c r="BU33" s="22" t="s">
        <v>42</v>
      </c>
      <c r="BV33" s="22" t="s">
        <v>42</v>
      </c>
      <c r="BW33" s="22" t="s">
        <v>42</v>
      </c>
      <c r="BX33" s="2"/>
      <c r="BY33" s="18" t="s">
        <v>42</v>
      </c>
      <c r="BZ33" s="18" t="s">
        <v>42</v>
      </c>
      <c r="CA33" s="18" t="s">
        <v>42</v>
      </c>
      <c r="CC33">
        <v>313</v>
      </c>
      <c r="CD33">
        <v>22</v>
      </c>
    </row>
    <row r="34" spans="1:83" x14ac:dyDescent="0.2">
      <c r="A34">
        <v>314</v>
      </c>
      <c r="B34">
        <v>23</v>
      </c>
      <c r="C34" s="11" t="s">
        <v>4</v>
      </c>
      <c r="D34" s="11" t="s">
        <v>31</v>
      </c>
      <c r="E34" s="11" t="s">
        <v>55</v>
      </c>
      <c r="F34" s="11" t="s">
        <v>42</v>
      </c>
      <c r="G34" s="78">
        <v>39.4</v>
      </c>
      <c r="H34" s="78">
        <v>213</v>
      </c>
      <c r="I34" s="79">
        <v>80</v>
      </c>
      <c r="J34" s="79">
        <v>205</v>
      </c>
      <c r="K34" s="79" t="s">
        <v>42</v>
      </c>
      <c r="L34" s="79" t="s">
        <v>42</v>
      </c>
      <c r="M34" s="79">
        <v>54</v>
      </c>
      <c r="N34" s="79">
        <v>53</v>
      </c>
      <c r="O34" s="79">
        <v>65</v>
      </c>
      <c r="P34" s="79" t="s">
        <v>12</v>
      </c>
      <c r="Q34" s="79">
        <v>0</v>
      </c>
      <c r="R34" s="79">
        <v>0</v>
      </c>
      <c r="S34" s="79" t="s">
        <v>211</v>
      </c>
      <c r="T34" s="80">
        <v>1782.3701121073054</v>
      </c>
      <c r="U34" s="80">
        <v>2599.2897468231536</v>
      </c>
      <c r="V34" s="80">
        <v>3505.979842837432</v>
      </c>
      <c r="W34" s="80" t="s">
        <v>42</v>
      </c>
      <c r="X34" s="80" t="s">
        <v>42</v>
      </c>
      <c r="Y34" s="80" t="s">
        <v>42</v>
      </c>
      <c r="Z34" s="80" t="s">
        <v>42</v>
      </c>
      <c r="AB34" s="79" t="s">
        <v>470</v>
      </c>
      <c r="AC34" s="79">
        <v>1.6666666666666666E-2</v>
      </c>
      <c r="AD34" s="79">
        <v>4.9999999999999996E-2</v>
      </c>
      <c r="AE34" s="79">
        <v>8.3333333333333329E-2</v>
      </c>
      <c r="AF34" s="79">
        <v>0.49</v>
      </c>
      <c r="AG34" s="79">
        <v>0.66</v>
      </c>
      <c r="AH34" s="79">
        <v>0.83000000000000007</v>
      </c>
      <c r="AI34" s="79">
        <v>39</v>
      </c>
      <c r="AJ34" s="79">
        <v>71</v>
      </c>
      <c r="AK34" s="79">
        <v>103</v>
      </c>
      <c r="AL34" s="81">
        <v>1.4523146223156219E-3</v>
      </c>
      <c r="AM34" s="81">
        <v>3.3759258084545496E-2</v>
      </c>
      <c r="AN34" s="81">
        <v>0.15379223321613997</v>
      </c>
      <c r="AO34" s="81">
        <v>3.3612539154819483E-3</v>
      </c>
      <c r="AP34" s="81">
        <v>3.9444368282541262E-2</v>
      </c>
      <c r="AQ34" s="81">
        <v>0.16008586276440945</v>
      </c>
      <c r="AR34" s="81" t="s">
        <v>42</v>
      </c>
      <c r="AS34" s="81" t="s">
        <v>42</v>
      </c>
      <c r="AT34" s="81" t="s">
        <v>42</v>
      </c>
      <c r="AV34" s="82">
        <v>6.4747450817126264</v>
      </c>
      <c r="AW34" s="82">
        <v>6.9077301093920482</v>
      </c>
      <c r="AX34" s="82">
        <v>7.3955638356650013</v>
      </c>
      <c r="AY34" s="82">
        <v>0.35096359252489601</v>
      </c>
      <c r="AZ34" s="82">
        <v>1.0736996358445938</v>
      </c>
      <c r="BA34" s="82">
        <v>4.0525784924001469</v>
      </c>
      <c r="BB34" s="2"/>
      <c r="BC34" s="18">
        <v>2282.0631782597952</v>
      </c>
      <c r="BD34" s="18">
        <v>31804.598109225572</v>
      </c>
      <c r="BE34" s="18">
        <v>2790427.3840736877</v>
      </c>
      <c r="BG34" s="22">
        <v>7.0140680236565771</v>
      </c>
      <c r="BH34" s="22">
        <v>7.4470530513359989</v>
      </c>
      <c r="BI34" s="22">
        <v>7.9099395387972109</v>
      </c>
      <c r="BJ34" s="22">
        <v>0.63327188096752263</v>
      </c>
      <c r="BK34" s="22">
        <v>1.9373627420833288</v>
      </c>
      <c r="BL34" s="22">
        <v>7.1053578190587316</v>
      </c>
      <c r="BM34" s="2"/>
      <c r="BN34" s="18">
        <v>3955.8263923621912</v>
      </c>
      <c r="BO34" s="18">
        <v>49116.333368706481</v>
      </c>
      <c r="BP34" s="18">
        <v>2113900.9422440315</v>
      </c>
      <c r="BR34" s="22" t="s">
        <v>42</v>
      </c>
      <c r="BS34" s="22" t="s">
        <v>42</v>
      </c>
      <c r="BT34" s="22" t="s">
        <v>42</v>
      </c>
      <c r="BU34" s="22" t="s">
        <v>42</v>
      </c>
      <c r="BV34" s="22" t="s">
        <v>42</v>
      </c>
      <c r="BW34" s="22" t="s">
        <v>42</v>
      </c>
      <c r="BX34" s="2"/>
      <c r="BY34" s="18" t="s">
        <v>42</v>
      </c>
      <c r="BZ34" s="18" t="s">
        <v>42</v>
      </c>
      <c r="CA34" s="18" t="s">
        <v>42</v>
      </c>
      <c r="CC34">
        <v>314</v>
      </c>
      <c r="CD34">
        <v>23</v>
      </c>
    </row>
    <row r="35" spans="1:83" x14ac:dyDescent="0.2">
      <c r="A35">
        <v>314</v>
      </c>
      <c r="B35">
        <v>24</v>
      </c>
      <c r="C35" s="11" t="s">
        <v>4</v>
      </c>
      <c r="D35" s="11" t="s">
        <v>31</v>
      </c>
      <c r="E35" s="11" t="s">
        <v>303</v>
      </c>
      <c r="F35" s="11" t="s">
        <v>42</v>
      </c>
      <c r="G35" s="78">
        <v>9.6</v>
      </c>
      <c r="H35" s="78">
        <v>192</v>
      </c>
      <c r="I35" s="79">
        <v>80</v>
      </c>
      <c r="J35" s="79">
        <v>205</v>
      </c>
      <c r="K35" s="79" t="s">
        <v>42</v>
      </c>
      <c r="L35" s="79" t="s">
        <v>42</v>
      </c>
      <c r="M35" s="79">
        <v>54</v>
      </c>
      <c r="N35" s="79">
        <v>53</v>
      </c>
      <c r="O35" s="79">
        <v>65</v>
      </c>
      <c r="P35" s="79" t="s">
        <v>12</v>
      </c>
      <c r="Q35" s="79">
        <v>0</v>
      </c>
      <c r="R35" s="79">
        <v>0</v>
      </c>
      <c r="S35" s="79" t="s">
        <v>211</v>
      </c>
      <c r="T35" s="80">
        <v>1782.3701121073054</v>
      </c>
      <c r="U35" s="80">
        <v>2599.2897468231536</v>
      </c>
      <c r="V35" s="80">
        <v>3505.979842837432</v>
      </c>
      <c r="W35" s="80" t="s">
        <v>42</v>
      </c>
      <c r="X35" s="80" t="s">
        <v>42</v>
      </c>
      <c r="Y35" s="80" t="s">
        <v>42</v>
      </c>
      <c r="Z35" s="80" t="s">
        <v>42</v>
      </c>
      <c r="AB35" s="79" t="s">
        <v>470</v>
      </c>
      <c r="AC35" s="79">
        <v>1.6666666666666666E-2</v>
      </c>
      <c r="AD35" s="79">
        <v>4.9999999999999996E-2</v>
      </c>
      <c r="AE35" s="79">
        <v>8.3333333333333329E-2</v>
      </c>
      <c r="AF35" s="79">
        <v>0.49</v>
      </c>
      <c r="AG35" s="79">
        <v>0.66</v>
      </c>
      <c r="AH35" s="79">
        <v>0.83000000000000007</v>
      </c>
      <c r="AI35" s="79">
        <v>39</v>
      </c>
      <c r="AJ35" s="79">
        <v>71</v>
      </c>
      <c r="AK35" s="79">
        <v>103</v>
      </c>
      <c r="AL35" s="81">
        <v>6.3077272979306714E-3</v>
      </c>
      <c r="AM35" s="81">
        <v>4.7002018618639792E-2</v>
      </c>
      <c r="AN35" s="81">
        <v>0.16363734961067142</v>
      </c>
      <c r="AO35" s="81">
        <v>3.3612539154819483E-3</v>
      </c>
      <c r="AP35" s="81">
        <v>3.9444368282541262E-2</v>
      </c>
      <c r="AQ35" s="81">
        <v>0.16008586276440945</v>
      </c>
      <c r="AR35" s="81" t="s">
        <v>42</v>
      </c>
      <c r="AS35" s="81" t="s">
        <v>42</v>
      </c>
      <c r="AT35" s="81" t="s">
        <v>42</v>
      </c>
      <c r="AV35" s="82">
        <v>5.4527034337359508</v>
      </c>
      <c r="AW35" s="82">
        <v>5.8856884614153726</v>
      </c>
      <c r="AX35" s="82">
        <v>6.3735221876883257</v>
      </c>
      <c r="AY35" s="82">
        <v>0.10820348357112271</v>
      </c>
      <c r="AZ35" s="82">
        <v>0.33102590519895436</v>
      </c>
      <c r="BA35" s="82">
        <v>1.2494262073408589</v>
      </c>
      <c r="BB35" s="2"/>
      <c r="BC35" s="18">
        <v>661.23952648073407</v>
      </c>
      <c r="BD35" s="18">
        <v>7042.8018822935837</v>
      </c>
      <c r="BE35" s="18">
        <v>198078.66578993492</v>
      </c>
      <c r="BG35" s="22">
        <v>7.0140680236565771</v>
      </c>
      <c r="BH35" s="22">
        <v>7.4470530513359989</v>
      </c>
      <c r="BI35" s="22">
        <v>7.9099395387972109</v>
      </c>
      <c r="BJ35" s="22">
        <v>0.63327188096752263</v>
      </c>
      <c r="BK35" s="22">
        <v>1.9373627420833288</v>
      </c>
      <c r="BL35" s="22">
        <v>7.1053578190587316</v>
      </c>
      <c r="BM35" s="2"/>
      <c r="BN35" s="18">
        <v>3955.8263923621912</v>
      </c>
      <c r="BO35" s="18">
        <v>49116.333368706481</v>
      </c>
      <c r="BP35" s="18">
        <v>2113900.9422440315</v>
      </c>
      <c r="BR35" s="22" t="s">
        <v>42</v>
      </c>
      <c r="BS35" s="22" t="s">
        <v>42</v>
      </c>
      <c r="BT35" s="22" t="s">
        <v>42</v>
      </c>
      <c r="BU35" s="22" t="s">
        <v>42</v>
      </c>
      <c r="BV35" s="22" t="s">
        <v>42</v>
      </c>
      <c r="BW35" s="22" t="s">
        <v>42</v>
      </c>
      <c r="BX35" s="2"/>
      <c r="BY35" s="18" t="s">
        <v>42</v>
      </c>
      <c r="BZ35" s="18" t="s">
        <v>42</v>
      </c>
      <c r="CA35" s="18" t="s">
        <v>42</v>
      </c>
      <c r="CC35">
        <v>314</v>
      </c>
      <c r="CD35">
        <v>24</v>
      </c>
    </row>
    <row r="36" spans="1:83" x14ac:dyDescent="0.2">
      <c r="A36">
        <v>314</v>
      </c>
      <c r="B36">
        <v>25</v>
      </c>
      <c r="C36" s="11" t="s">
        <v>4</v>
      </c>
      <c r="D36" s="11" t="s">
        <v>31</v>
      </c>
      <c r="E36" s="11" t="s">
        <v>304</v>
      </c>
      <c r="F36" s="11" t="s">
        <v>42</v>
      </c>
      <c r="G36" s="78">
        <v>18.399999999999999</v>
      </c>
      <c r="H36" s="78">
        <v>200</v>
      </c>
      <c r="I36" s="79">
        <v>80</v>
      </c>
      <c r="J36" s="79">
        <v>205</v>
      </c>
      <c r="K36" s="79" t="s">
        <v>42</v>
      </c>
      <c r="L36" s="79" t="s">
        <v>42</v>
      </c>
      <c r="M36" s="79">
        <v>54</v>
      </c>
      <c r="N36" s="79">
        <v>53</v>
      </c>
      <c r="O36" s="79">
        <v>65</v>
      </c>
      <c r="P36" s="79" t="s">
        <v>12</v>
      </c>
      <c r="Q36" s="79">
        <v>0</v>
      </c>
      <c r="R36" s="79">
        <v>0</v>
      </c>
      <c r="S36" s="79" t="s">
        <v>211</v>
      </c>
      <c r="T36" s="80">
        <v>1782.3701121073054</v>
      </c>
      <c r="U36" s="80">
        <v>2599.2897468231536</v>
      </c>
      <c r="V36" s="80">
        <v>3505.979842837432</v>
      </c>
      <c r="W36" s="80" t="s">
        <v>42</v>
      </c>
      <c r="X36" s="80" t="s">
        <v>42</v>
      </c>
      <c r="Y36" s="80" t="s">
        <v>42</v>
      </c>
      <c r="Z36" s="80" t="s">
        <v>42</v>
      </c>
      <c r="AB36" s="79" t="s">
        <v>470</v>
      </c>
      <c r="AC36" s="79">
        <v>1.6666666666666666E-2</v>
      </c>
      <c r="AD36" s="79">
        <v>4.9999999999999996E-2</v>
      </c>
      <c r="AE36" s="79">
        <v>8.3333333333333329E-2</v>
      </c>
      <c r="AF36" s="79">
        <v>0.49</v>
      </c>
      <c r="AG36" s="79">
        <v>0.66</v>
      </c>
      <c r="AH36" s="79">
        <v>0.83000000000000007</v>
      </c>
      <c r="AI36" s="79">
        <v>39</v>
      </c>
      <c r="AJ36" s="79">
        <v>71</v>
      </c>
      <c r="AK36" s="79">
        <v>103</v>
      </c>
      <c r="AL36" s="81">
        <v>4.5234319581234804E-3</v>
      </c>
      <c r="AM36" s="81">
        <v>4.2614118527248251E-2</v>
      </c>
      <c r="AN36" s="81">
        <v>0.16244236237945511</v>
      </c>
      <c r="AO36" s="81">
        <v>3.3612539154819483E-3</v>
      </c>
      <c r="AP36" s="81">
        <v>3.9444368282541262E-2</v>
      </c>
      <c r="AQ36" s="81">
        <v>0.16008586276440945</v>
      </c>
      <c r="AR36" s="81" t="s">
        <v>42</v>
      </c>
      <c r="AS36" s="81" t="s">
        <v>42</v>
      </c>
      <c r="AT36" s="81" t="s">
        <v>42</v>
      </c>
      <c r="AV36" s="82">
        <v>5.9236144170192331</v>
      </c>
      <c r="AW36" s="82">
        <v>6.3565994446986549</v>
      </c>
      <c r="AX36" s="82">
        <v>6.844433170971608</v>
      </c>
      <c r="AY36" s="82">
        <v>0.18607873054944163</v>
      </c>
      <c r="AZ36" s="82">
        <v>0.56926891986719907</v>
      </c>
      <c r="BA36" s="82">
        <v>2.1486521034636796</v>
      </c>
      <c r="BB36" s="2"/>
      <c r="BC36" s="18">
        <v>1145.5061833856703</v>
      </c>
      <c r="BD36" s="18">
        <v>13358.692835643147</v>
      </c>
      <c r="BE36" s="18">
        <v>475004.84661982971</v>
      </c>
      <c r="BG36" s="22">
        <v>7.0140680236565771</v>
      </c>
      <c r="BH36" s="22">
        <v>7.4470530513359989</v>
      </c>
      <c r="BI36" s="22">
        <v>7.9099395387972109</v>
      </c>
      <c r="BJ36" s="22">
        <v>0.63327188096752263</v>
      </c>
      <c r="BK36" s="22">
        <v>1.9373627420833288</v>
      </c>
      <c r="BL36" s="22">
        <v>7.1053578190587316</v>
      </c>
      <c r="BM36" s="2"/>
      <c r="BN36" s="18">
        <v>3955.8263923621912</v>
      </c>
      <c r="BO36" s="18">
        <v>49116.333368706481</v>
      </c>
      <c r="BP36" s="18">
        <v>2113900.9422440315</v>
      </c>
      <c r="BR36" s="22" t="s">
        <v>42</v>
      </c>
      <c r="BS36" s="22" t="s">
        <v>42</v>
      </c>
      <c r="BT36" s="22" t="s">
        <v>42</v>
      </c>
      <c r="BU36" s="22" t="s">
        <v>42</v>
      </c>
      <c r="BV36" s="22" t="s">
        <v>42</v>
      </c>
      <c r="BW36" s="22" t="s">
        <v>42</v>
      </c>
      <c r="BX36" s="2"/>
      <c r="BY36" s="18" t="s">
        <v>42</v>
      </c>
      <c r="BZ36" s="18" t="s">
        <v>42</v>
      </c>
      <c r="CA36" s="18" t="s">
        <v>42</v>
      </c>
      <c r="CC36">
        <v>314</v>
      </c>
      <c r="CD36">
        <v>25</v>
      </c>
    </row>
    <row r="37" spans="1:83" x14ac:dyDescent="0.2">
      <c r="A37">
        <v>314</v>
      </c>
      <c r="B37">
        <v>26</v>
      </c>
      <c r="C37" s="11" t="s">
        <v>4</v>
      </c>
      <c r="D37" s="11" t="s">
        <v>31</v>
      </c>
      <c r="E37" s="11" t="s">
        <v>253</v>
      </c>
      <c r="F37" s="11" t="s">
        <v>42</v>
      </c>
      <c r="G37" s="78">
        <v>2</v>
      </c>
      <c r="H37" s="78">
        <v>250</v>
      </c>
      <c r="I37" s="79">
        <v>80</v>
      </c>
      <c r="J37" s="79">
        <v>205</v>
      </c>
      <c r="K37" s="79" t="s">
        <v>42</v>
      </c>
      <c r="L37" s="79" t="s">
        <v>42</v>
      </c>
      <c r="M37" s="79">
        <v>54</v>
      </c>
      <c r="N37" s="79">
        <v>53</v>
      </c>
      <c r="O37" s="79">
        <v>65</v>
      </c>
      <c r="P37" s="79" t="s">
        <v>12</v>
      </c>
      <c r="Q37" s="79">
        <v>0</v>
      </c>
      <c r="R37" s="79">
        <v>0</v>
      </c>
      <c r="S37" s="79" t="s">
        <v>211</v>
      </c>
      <c r="T37" s="80">
        <v>1782.3701121073054</v>
      </c>
      <c r="U37" s="80">
        <v>2599.2897468231536</v>
      </c>
      <c r="V37" s="80">
        <v>3505.979842837432</v>
      </c>
      <c r="W37" s="80" t="s">
        <v>42</v>
      </c>
      <c r="X37" s="80" t="s">
        <v>42</v>
      </c>
      <c r="Y37" s="80" t="s">
        <v>42</v>
      </c>
      <c r="Z37" s="80" t="s">
        <v>42</v>
      </c>
      <c r="AB37" s="79" t="s">
        <v>470</v>
      </c>
      <c r="AC37" s="79">
        <v>1.6666666666666666E-2</v>
      </c>
      <c r="AD37" s="79">
        <v>4.9999999999999996E-2</v>
      </c>
      <c r="AE37" s="79">
        <v>8.3333333333333329E-2</v>
      </c>
      <c r="AF37" s="79">
        <v>0.49</v>
      </c>
      <c r="AG37" s="79">
        <v>0.66</v>
      </c>
      <c r="AH37" s="79">
        <v>0.83000000000000007</v>
      </c>
      <c r="AI37" s="79">
        <v>39</v>
      </c>
      <c r="AJ37" s="79">
        <v>71</v>
      </c>
      <c r="AK37" s="79">
        <v>103</v>
      </c>
      <c r="AL37" s="81">
        <v>2.4248309284487132E-4</v>
      </c>
      <c r="AM37" s="81">
        <v>2.8241662002740815E-2</v>
      </c>
      <c r="AN37" s="81">
        <v>8.9136864160528406E-2</v>
      </c>
      <c r="AO37" s="81">
        <v>3.3612539154819483E-3</v>
      </c>
      <c r="AP37" s="81">
        <v>3.9444368282541262E-2</v>
      </c>
      <c r="AQ37" s="81">
        <v>0.16008586276440945</v>
      </c>
      <c r="AR37" s="81" t="s">
        <v>42</v>
      </c>
      <c r="AS37" s="81" t="s">
        <v>42</v>
      </c>
      <c r="AT37" s="81" t="s">
        <v>42</v>
      </c>
      <c r="AV37" s="82" t="s">
        <v>42</v>
      </c>
      <c r="AW37" s="82" t="s">
        <v>42</v>
      </c>
      <c r="AX37" s="82" t="s">
        <v>42</v>
      </c>
      <c r="AY37" s="82" t="s">
        <v>42</v>
      </c>
      <c r="AZ37" s="82" t="s">
        <v>42</v>
      </c>
      <c r="BA37" s="82" t="s">
        <v>42</v>
      </c>
      <c r="BB37" s="2"/>
      <c r="BC37" s="18" t="s">
        <v>42</v>
      </c>
      <c r="BD37" s="18" t="s">
        <v>42</v>
      </c>
      <c r="BE37" s="18" t="s">
        <v>42</v>
      </c>
      <c r="BG37" s="22">
        <v>7.0140680236565771</v>
      </c>
      <c r="BH37" s="22">
        <v>7.4470530513359989</v>
      </c>
      <c r="BI37" s="22">
        <v>7.9099395387972109</v>
      </c>
      <c r="BJ37" s="22">
        <v>0.63327188096752263</v>
      </c>
      <c r="BK37" s="22">
        <v>1.9373627420833288</v>
      </c>
      <c r="BL37" s="22">
        <v>7.1053578190587316</v>
      </c>
      <c r="BM37" s="2"/>
      <c r="BN37" s="18">
        <v>3955.8263923621912</v>
      </c>
      <c r="BO37" s="18">
        <v>49116.333368706481</v>
      </c>
      <c r="BP37" s="18">
        <v>2113900.9422440315</v>
      </c>
      <c r="BR37" s="22" t="s">
        <v>42</v>
      </c>
      <c r="BS37" s="22" t="s">
        <v>42</v>
      </c>
      <c r="BT37" s="22" t="s">
        <v>42</v>
      </c>
      <c r="BU37" s="22" t="s">
        <v>42</v>
      </c>
      <c r="BV37" s="22" t="s">
        <v>42</v>
      </c>
      <c r="BW37" s="22" t="s">
        <v>42</v>
      </c>
      <c r="BX37" s="2"/>
      <c r="BY37" s="18" t="s">
        <v>42</v>
      </c>
      <c r="BZ37" s="18" t="s">
        <v>42</v>
      </c>
      <c r="CA37" s="18" t="s">
        <v>42</v>
      </c>
      <c r="CC37">
        <v>314</v>
      </c>
      <c r="CD37">
        <v>26</v>
      </c>
    </row>
    <row r="38" spans="1:83" x14ac:dyDescent="0.2">
      <c r="A38">
        <v>314</v>
      </c>
      <c r="B38">
        <v>27</v>
      </c>
      <c r="C38" s="11" t="s">
        <v>4</v>
      </c>
      <c r="D38" s="11" t="s">
        <v>31</v>
      </c>
      <c r="E38" s="11" t="s">
        <v>56</v>
      </c>
      <c r="F38" s="11" t="s">
        <v>42</v>
      </c>
      <c r="G38" s="78">
        <v>10.6</v>
      </c>
      <c r="H38" s="78">
        <v>190</v>
      </c>
      <c r="I38" s="79">
        <v>80</v>
      </c>
      <c r="J38" s="79">
        <v>205</v>
      </c>
      <c r="K38" s="79" t="s">
        <v>42</v>
      </c>
      <c r="L38" s="79" t="s">
        <v>42</v>
      </c>
      <c r="M38" s="79">
        <v>54</v>
      </c>
      <c r="N38" s="79">
        <v>53</v>
      </c>
      <c r="O38" s="79">
        <v>65</v>
      </c>
      <c r="P38" s="79" t="s">
        <v>12</v>
      </c>
      <c r="Q38" s="79">
        <v>0</v>
      </c>
      <c r="R38" s="79">
        <v>0</v>
      </c>
      <c r="S38" s="79" t="s">
        <v>211</v>
      </c>
      <c r="T38" s="80">
        <v>1782.3701121073054</v>
      </c>
      <c r="U38" s="80">
        <v>2599.2897468231536</v>
      </c>
      <c r="V38" s="80">
        <v>3505.979842837432</v>
      </c>
      <c r="W38" s="80" t="s">
        <v>42</v>
      </c>
      <c r="X38" s="80" t="s">
        <v>42</v>
      </c>
      <c r="Y38" s="80" t="s">
        <v>42</v>
      </c>
      <c r="Z38" s="80" t="s">
        <v>42</v>
      </c>
      <c r="AB38" s="79" t="s">
        <v>470</v>
      </c>
      <c r="AC38" s="79">
        <v>1.6666666666666666E-2</v>
      </c>
      <c r="AD38" s="79">
        <v>4.9999999999999996E-2</v>
      </c>
      <c r="AE38" s="79">
        <v>8.3333333333333329E-2</v>
      </c>
      <c r="AF38" s="79">
        <v>0.49</v>
      </c>
      <c r="AG38" s="79">
        <v>0.66</v>
      </c>
      <c r="AH38" s="79">
        <v>0.83000000000000007</v>
      </c>
      <c r="AI38" s="79">
        <v>39</v>
      </c>
      <c r="AJ38" s="79">
        <v>71</v>
      </c>
      <c r="AK38" s="79">
        <v>103</v>
      </c>
      <c r="AL38" s="81">
        <v>6.7359270242033998E-3</v>
      </c>
      <c r="AM38" s="81">
        <v>4.7959006048787153E-2</v>
      </c>
      <c r="AN38" s="81">
        <v>0.16343798270657217</v>
      </c>
      <c r="AO38" s="81">
        <v>3.3612539154819483E-3</v>
      </c>
      <c r="AP38" s="81">
        <v>3.9444368282541262E-2</v>
      </c>
      <c r="AQ38" s="81">
        <v>0.16008586276440945</v>
      </c>
      <c r="AR38" s="81" t="s">
        <v>42</v>
      </c>
      <c r="AS38" s="81" t="s">
        <v>42</v>
      </c>
      <c r="AT38" s="81" t="s">
        <v>42</v>
      </c>
      <c r="AV38" s="82">
        <v>5.5244278207779542</v>
      </c>
      <c r="AW38" s="82">
        <v>5.9574128484573761</v>
      </c>
      <c r="AX38" s="82">
        <v>6.4452465747303291</v>
      </c>
      <c r="AY38" s="82">
        <v>0.11751774151042363</v>
      </c>
      <c r="AZ38" s="82">
        <v>0.35952092739098024</v>
      </c>
      <c r="BA38" s="82">
        <v>1.3569779939119992</v>
      </c>
      <c r="BB38" s="2"/>
      <c r="BC38" s="18">
        <v>719.03568291961062</v>
      </c>
      <c r="BD38" s="18">
        <v>7496.4215693972301</v>
      </c>
      <c r="BE38" s="18">
        <v>201453.78491128731</v>
      </c>
      <c r="BG38" s="22">
        <v>7.0140680236565771</v>
      </c>
      <c r="BH38" s="22">
        <v>7.4470530513359989</v>
      </c>
      <c r="BI38" s="22">
        <v>7.9099395387972109</v>
      </c>
      <c r="BJ38" s="22">
        <v>0.63327188096752263</v>
      </c>
      <c r="BK38" s="22">
        <v>1.9373627420833288</v>
      </c>
      <c r="BL38" s="22">
        <v>7.1053578190587316</v>
      </c>
      <c r="BM38" s="2"/>
      <c r="BN38" s="18">
        <v>3955.8263923621912</v>
      </c>
      <c r="BO38" s="18">
        <v>49116.333368706481</v>
      </c>
      <c r="BP38" s="18">
        <v>2113900.9422440315</v>
      </c>
      <c r="BR38" s="22" t="s">
        <v>42</v>
      </c>
      <c r="BS38" s="22" t="s">
        <v>42</v>
      </c>
      <c r="BT38" s="22" t="s">
        <v>42</v>
      </c>
      <c r="BU38" s="22" t="s">
        <v>42</v>
      </c>
      <c r="BV38" s="22" t="s">
        <v>42</v>
      </c>
      <c r="BW38" s="22" t="s">
        <v>42</v>
      </c>
      <c r="BX38" s="2"/>
      <c r="BY38" s="18" t="s">
        <v>42</v>
      </c>
      <c r="BZ38" s="18" t="s">
        <v>42</v>
      </c>
      <c r="CA38" s="18" t="s">
        <v>42</v>
      </c>
      <c r="CC38">
        <v>314</v>
      </c>
      <c r="CD38">
        <v>27</v>
      </c>
    </row>
    <row r="39" spans="1:83" x14ac:dyDescent="0.2">
      <c r="A39">
        <v>315</v>
      </c>
      <c r="B39">
        <v>28</v>
      </c>
      <c r="C39" s="11" t="s">
        <v>4</v>
      </c>
      <c r="D39" s="12" t="s">
        <v>283</v>
      </c>
      <c r="E39" s="12" t="s">
        <v>280</v>
      </c>
      <c r="F39" s="11" t="s">
        <v>240</v>
      </c>
      <c r="G39" s="78">
        <v>8.6</v>
      </c>
      <c r="H39" s="78">
        <v>6</v>
      </c>
      <c r="I39" s="79">
        <v>33.900000000000006</v>
      </c>
      <c r="J39" s="79">
        <v>2</v>
      </c>
      <c r="K39" s="79">
        <v>114.6</v>
      </c>
      <c r="L39" s="79">
        <v>10</v>
      </c>
      <c r="M39" s="79">
        <v>40</v>
      </c>
      <c r="N39" s="79">
        <v>53</v>
      </c>
      <c r="O39" s="79">
        <v>65</v>
      </c>
      <c r="P39" s="79" t="s">
        <v>13</v>
      </c>
      <c r="Q39" s="79">
        <v>0</v>
      </c>
      <c r="R39" s="79">
        <v>0</v>
      </c>
      <c r="S39" s="79" t="s">
        <v>308</v>
      </c>
      <c r="T39" s="80">
        <v>426.1024942257327</v>
      </c>
      <c r="U39" s="80">
        <v>449</v>
      </c>
      <c r="V39" s="80">
        <v>449</v>
      </c>
      <c r="W39" s="80" t="s">
        <v>308</v>
      </c>
      <c r="X39" s="80">
        <v>2234.5412429262792</v>
      </c>
      <c r="Y39" s="80">
        <v>2420.1000000000004</v>
      </c>
      <c r="Z39" s="80">
        <v>2420.1000000000004</v>
      </c>
      <c r="AB39" s="79" t="s">
        <v>470</v>
      </c>
      <c r="AC39" s="79">
        <v>1.6666666666666666E-2</v>
      </c>
      <c r="AD39" s="79">
        <v>4.9999999999999996E-2</v>
      </c>
      <c r="AE39" s="79">
        <v>8.3333333333333329E-2</v>
      </c>
      <c r="AF39" s="79">
        <v>0.49</v>
      </c>
      <c r="AG39" s="79">
        <v>0.66</v>
      </c>
      <c r="AH39" s="79">
        <v>0.83000000000000007</v>
      </c>
      <c r="AI39" s="79">
        <v>39</v>
      </c>
      <c r="AJ39" s="79">
        <v>71</v>
      </c>
      <c r="AK39" s="79">
        <v>103</v>
      </c>
      <c r="AL39" s="81">
        <v>5.806302091968701E-3</v>
      </c>
      <c r="AM39" s="81">
        <v>4.9696594172015489E-2</v>
      </c>
      <c r="AN39" s="81">
        <v>0.16244236237945511</v>
      </c>
      <c r="AO39" s="81">
        <v>6.4158453640942546E-3</v>
      </c>
      <c r="AP39" s="81">
        <v>5.1192065483921946E-2</v>
      </c>
      <c r="AQ39" s="81">
        <v>0.16065533919147454</v>
      </c>
      <c r="AR39" s="81">
        <v>5.168471099698522E-3</v>
      </c>
      <c r="AS39" s="81">
        <v>4.7959006048787146E-2</v>
      </c>
      <c r="AT39" s="81">
        <v>0.16343798270657217</v>
      </c>
      <c r="AV39" s="82">
        <v>5.3730821307426169</v>
      </c>
      <c r="AW39" s="82">
        <v>5.8060671584220387</v>
      </c>
      <c r="AX39" s="82">
        <v>6.2939008846949918</v>
      </c>
      <c r="AY39" s="82">
        <v>9.8725784048369958E-2</v>
      </c>
      <c r="AZ39" s="82">
        <v>0.30203086769943877</v>
      </c>
      <c r="BA39" s="82">
        <v>1.1399871599256652</v>
      </c>
      <c r="BB39" s="2"/>
      <c r="BC39" s="18">
        <v>607.75885429290145</v>
      </c>
      <c r="BD39" s="18">
        <v>6077.4963099888755</v>
      </c>
      <c r="BE39" s="18">
        <v>196336.17780626673</v>
      </c>
      <c r="BG39" s="22">
        <v>6.392584209008473</v>
      </c>
      <c r="BH39" s="22">
        <v>6.6844446986664536</v>
      </c>
      <c r="BI39" s="22">
        <v>7.0173764649536636</v>
      </c>
      <c r="BJ39" s="22">
        <v>0.30963375332929988</v>
      </c>
      <c r="BK39" s="22">
        <v>0.8052055638158494</v>
      </c>
      <c r="BL39" s="22">
        <v>2.5427544120500531</v>
      </c>
      <c r="BM39" s="2"/>
      <c r="BN39" s="18">
        <v>1927.3169188623588</v>
      </c>
      <c r="BO39" s="18">
        <v>15729.108724256161</v>
      </c>
      <c r="BP39" s="18">
        <v>396324.14245523547</v>
      </c>
      <c r="BR39" s="22">
        <v>7.1122585074657039</v>
      </c>
      <c r="BS39" s="22">
        <v>7.4160316693257586</v>
      </c>
      <c r="BT39" s="22">
        <v>7.7489634356129686</v>
      </c>
      <c r="BU39" s="22">
        <v>0.70906401661515195</v>
      </c>
      <c r="BV39" s="22">
        <v>1.8693914517831751</v>
      </c>
      <c r="BW39" s="22">
        <v>5.9033414266837161</v>
      </c>
      <c r="BX39" s="2"/>
      <c r="BY39" s="18">
        <v>4338.4285884644551</v>
      </c>
      <c r="BZ39" s="18">
        <v>38978.944848888314</v>
      </c>
      <c r="CA39" s="18">
        <v>1142183.3096886349</v>
      </c>
      <c r="CC39">
        <v>315</v>
      </c>
      <c r="CD39">
        <v>28</v>
      </c>
      <c r="CE39">
        <v>603</v>
      </c>
    </row>
    <row r="40" spans="1:83" x14ac:dyDescent="0.2">
      <c r="A40">
        <v>315</v>
      </c>
      <c r="B40">
        <v>29</v>
      </c>
      <c r="C40" s="11" t="s">
        <v>4</v>
      </c>
      <c r="D40" s="12" t="s">
        <v>283</v>
      </c>
      <c r="E40" s="12" t="s">
        <v>281</v>
      </c>
      <c r="F40" s="11" t="s">
        <v>240</v>
      </c>
      <c r="G40" s="78">
        <v>2.2000000000000002</v>
      </c>
      <c r="H40" s="78">
        <v>52</v>
      </c>
      <c r="I40" s="79">
        <v>33.900000000000006</v>
      </c>
      <c r="J40" s="79">
        <v>2</v>
      </c>
      <c r="K40" s="79">
        <v>114.6</v>
      </c>
      <c r="L40" s="79">
        <v>10</v>
      </c>
      <c r="M40" s="79">
        <v>40</v>
      </c>
      <c r="N40" s="79">
        <v>53</v>
      </c>
      <c r="O40" s="79">
        <v>65</v>
      </c>
      <c r="P40" s="79" t="s">
        <v>13</v>
      </c>
      <c r="Q40" s="79">
        <v>0</v>
      </c>
      <c r="R40" s="79">
        <v>0</v>
      </c>
      <c r="S40" s="79" t="s">
        <v>308</v>
      </c>
      <c r="T40" s="80">
        <v>426.1024942257327</v>
      </c>
      <c r="U40" s="80">
        <v>449</v>
      </c>
      <c r="V40" s="80">
        <v>449</v>
      </c>
      <c r="W40" s="80" t="s">
        <v>308</v>
      </c>
      <c r="X40" s="80">
        <v>2234.5412429262792</v>
      </c>
      <c r="Y40" s="80">
        <v>2420.1000000000004</v>
      </c>
      <c r="Z40" s="80">
        <v>2420.1000000000004</v>
      </c>
      <c r="AB40" s="79" t="s">
        <v>470</v>
      </c>
      <c r="AC40" s="79">
        <v>1.6666666666666666E-2</v>
      </c>
      <c r="AD40" s="79">
        <v>4.9999999999999996E-2</v>
      </c>
      <c r="AE40" s="79">
        <v>8.3333333333333329E-2</v>
      </c>
      <c r="AF40" s="79">
        <v>0.49</v>
      </c>
      <c r="AG40" s="79">
        <v>0.66</v>
      </c>
      <c r="AH40" s="79">
        <v>0.83000000000000007</v>
      </c>
      <c r="AI40" s="79">
        <v>39</v>
      </c>
      <c r="AJ40" s="79">
        <v>71</v>
      </c>
      <c r="AK40" s="79">
        <v>103</v>
      </c>
      <c r="AL40" s="79" t="s">
        <v>42</v>
      </c>
      <c r="AM40" s="79" t="s">
        <v>42</v>
      </c>
      <c r="AN40" s="79" t="s">
        <v>42</v>
      </c>
      <c r="AO40" s="81">
        <v>6.4158453640942546E-3</v>
      </c>
      <c r="AP40" s="81">
        <v>5.1192065483921946E-2</v>
      </c>
      <c r="AQ40" s="81">
        <v>0.16065533919147454</v>
      </c>
      <c r="AR40" s="81">
        <v>5.168471099698522E-3</v>
      </c>
      <c r="AS40" s="81">
        <v>4.7959006048787146E-2</v>
      </c>
      <c r="AT40" s="81">
        <v>0.16343798270657217</v>
      </c>
      <c r="AV40" s="82" t="s">
        <v>42</v>
      </c>
      <c r="AW40" s="82" t="s">
        <v>42</v>
      </c>
      <c r="AX40" s="82" t="s">
        <v>42</v>
      </c>
      <c r="AY40" s="82" t="s">
        <v>42</v>
      </c>
      <c r="AZ40" s="82" t="s">
        <v>42</v>
      </c>
      <c r="BA40" s="82" t="s">
        <v>42</v>
      </c>
      <c r="BB40" s="2"/>
      <c r="BC40" s="18" t="s">
        <v>42</v>
      </c>
      <c r="BD40" s="18" t="s">
        <v>42</v>
      </c>
      <c r="BE40" s="18" t="s">
        <v>42</v>
      </c>
      <c r="BG40" s="22">
        <v>6.392584209008473</v>
      </c>
      <c r="BH40" s="22">
        <v>6.6844446986664536</v>
      </c>
      <c r="BI40" s="22">
        <v>7.0173764649536636</v>
      </c>
      <c r="BJ40" s="22">
        <v>0.30963375332929988</v>
      </c>
      <c r="BK40" s="22">
        <v>0.8052055638158494</v>
      </c>
      <c r="BL40" s="22">
        <v>2.5427544120500531</v>
      </c>
      <c r="BM40" s="2"/>
      <c r="BN40" s="18">
        <v>1927.3169188623588</v>
      </c>
      <c r="BO40" s="18">
        <v>15729.108724256161</v>
      </c>
      <c r="BP40" s="18">
        <v>396324.14245523547</v>
      </c>
      <c r="BR40" s="22">
        <v>7.1122585074657039</v>
      </c>
      <c r="BS40" s="22">
        <v>7.4160316693257586</v>
      </c>
      <c r="BT40" s="22">
        <v>7.7489634356129686</v>
      </c>
      <c r="BU40" s="22">
        <v>0.70906401661515195</v>
      </c>
      <c r="BV40" s="22">
        <v>1.8693914517831751</v>
      </c>
      <c r="BW40" s="22">
        <v>5.9033414266837161</v>
      </c>
      <c r="BX40" s="2"/>
      <c r="BY40" s="18">
        <v>4338.4285884644551</v>
      </c>
      <c r="BZ40" s="18">
        <v>38978.944848888314</v>
      </c>
      <c r="CA40" s="18">
        <v>1142183.3096886349</v>
      </c>
      <c r="CC40">
        <v>315</v>
      </c>
      <c r="CD40">
        <v>29</v>
      </c>
      <c r="CE40">
        <v>603</v>
      </c>
    </row>
    <row r="41" spans="1:83" x14ac:dyDescent="0.2">
      <c r="A41">
        <v>315</v>
      </c>
      <c r="B41">
        <v>30</v>
      </c>
      <c r="C41" s="11" t="s">
        <v>4</v>
      </c>
      <c r="D41" s="12" t="s">
        <v>283</v>
      </c>
      <c r="E41" s="12" t="s">
        <v>282</v>
      </c>
      <c r="F41" s="11" t="s">
        <v>240</v>
      </c>
      <c r="G41" s="78">
        <v>23.1</v>
      </c>
      <c r="H41" s="78">
        <v>356</v>
      </c>
      <c r="I41" s="79">
        <v>33.900000000000006</v>
      </c>
      <c r="J41" s="79">
        <v>2</v>
      </c>
      <c r="K41" s="79">
        <v>114.6</v>
      </c>
      <c r="L41" s="79">
        <v>10</v>
      </c>
      <c r="M41" s="79">
        <v>40</v>
      </c>
      <c r="N41" s="79">
        <v>53</v>
      </c>
      <c r="O41" s="79">
        <v>65</v>
      </c>
      <c r="P41" s="79" t="s">
        <v>13</v>
      </c>
      <c r="Q41" s="79">
        <v>0</v>
      </c>
      <c r="R41" s="79">
        <v>0</v>
      </c>
      <c r="S41" s="79" t="s">
        <v>308</v>
      </c>
      <c r="T41" s="80">
        <v>426.1024942257327</v>
      </c>
      <c r="U41" s="80">
        <v>449</v>
      </c>
      <c r="V41" s="80">
        <v>449</v>
      </c>
      <c r="W41" s="80" t="s">
        <v>308</v>
      </c>
      <c r="X41" s="80">
        <v>2234.5412429262792</v>
      </c>
      <c r="Y41" s="80">
        <v>2420.1000000000004</v>
      </c>
      <c r="Z41" s="80">
        <v>2420.1000000000004</v>
      </c>
      <c r="AB41" s="79" t="s">
        <v>470</v>
      </c>
      <c r="AC41" s="79">
        <v>1.6666666666666666E-2</v>
      </c>
      <c r="AD41" s="79">
        <v>4.9999999999999996E-2</v>
      </c>
      <c r="AE41" s="79">
        <v>8.3333333333333329E-2</v>
      </c>
      <c r="AF41" s="79">
        <v>0.49</v>
      </c>
      <c r="AG41" s="79">
        <v>0.66</v>
      </c>
      <c r="AH41" s="79">
        <v>0.83000000000000007</v>
      </c>
      <c r="AI41" s="79">
        <v>39</v>
      </c>
      <c r="AJ41" s="79">
        <v>71</v>
      </c>
      <c r="AK41" s="79">
        <v>103</v>
      </c>
      <c r="AL41" s="81">
        <v>7.2706659827290023E-3</v>
      </c>
      <c r="AM41" s="81">
        <v>5.2438134198599162E-2</v>
      </c>
      <c r="AN41" s="81">
        <v>0.15808561933997128</v>
      </c>
      <c r="AO41" s="81">
        <v>6.4158453640942546E-3</v>
      </c>
      <c r="AP41" s="81">
        <v>5.1192065483921946E-2</v>
      </c>
      <c r="AQ41" s="81">
        <v>0.16065533919147454</v>
      </c>
      <c r="AR41" s="81">
        <v>5.168471099698522E-3</v>
      </c>
      <c r="AS41" s="81">
        <v>4.7959006048787146E-2</v>
      </c>
      <c r="AT41" s="81">
        <v>0.16343798270657217</v>
      </c>
      <c r="AV41" s="82">
        <v>6.0882713451569117</v>
      </c>
      <c r="AW41" s="82">
        <v>6.5212563728363335</v>
      </c>
      <c r="AX41" s="82">
        <v>7.0090900991092866</v>
      </c>
      <c r="AY41" s="82">
        <v>0.22491851043811398</v>
      </c>
      <c r="AZ41" s="82">
        <v>0.68809109518953937</v>
      </c>
      <c r="BA41" s="82">
        <v>2.5971352509435008</v>
      </c>
      <c r="BB41" s="2"/>
      <c r="BC41" s="18">
        <v>1422.7638881840044</v>
      </c>
      <c r="BD41" s="18">
        <v>13121.959919159768</v>
      </c>
      <c r="BE41" s="18">
        <v>357207.3393431672</v>
      </c>
      <c r="BG41" s="22">
        <v>6.392584209008473</v>
      </c>
      <c r="BH41" s="22">
        <v>6.6844446986664536</v>
      </c>
      <c r="BI41" s="22">
        <v>7.0173764649536636</v>
      </c>
      <c r="BJ41" s="22">
        <v>0.30963375332929988</v>
      </c>
      <c r="BK41" s="22">
        <v>0.8052055638158494</v>
      </c>
      <c r="BL41" s="22">
        <v>2.5427544120500531</v>
      </c>
      <c r="BM41" s="2"/>
      <c r="BN41" s="18">
        <v>1927.3169188623588</v>
      </c>
      <c r="BO41" s="18">
        <v>15729.108724256161</v>
      </c>
      <c r="BP41" s="18">
        <v>396324.14245523547</v>
      </c>
      <c r="BR41" s="22">
        <v>7.1122585074657039</v>
      </c>
      <c r="BS41" s="22">
        <v>7.4160316693257586</v>
      </c>
      <c r="BT41" s="22">
        <v>7.7489634356129686</v>
      </c>
      <c r="BU41" s="22">
        <v>0.70906401661515195</v>
      </c>
      <c r="BV41" s="22">
        <v>1.8693914517831751</v>
      </c>
      <c r="BW41" s="22">
        <v>5.9033414266837161</v>
      </c>
      <c r="BX41" s="2"/>
      <c r="BY41" s="18">
        <v>4338.4285884644551</v>
      </c>
      <c r="BZ41" s="18">
        <v>38978.944848888314</v>
      </c>
      <c r="CA41" s="18">
        <v>1142183.3096886349</v>
      </c>
      <c r="CC41">
        <v>315</v>
      </c>
      <c r="CD41">
        <v>30</v>
      </c>
      <c r="CE41">
        <v>603</v>
      </c>
    </row>
    <row r="42" spans="1:83" x14ac:dyDescent="0.2">
      <c r="A42">
        <v>316</v>
      </c>
      <c r="B42">
        <v>31</v>
      </c>
      <c r="C42" s="11" t="s">
        <v>4</v>
      </c>
      <c r="D42" s="11" t="s">
        <v>6</v>
      </c>
      <c r="E42" s="11" t="s">
        <v>57</v>
      </c>
      <c r="F42" s="11" t="s">
        <v>42</v>
      </c>
      <c r="G42" s="78">
        <v>5.4</v>
      </c>
      <c r="H42" s="78">
        <v>346</v>
      </c>
      <c r="I42" s="79">
        <v>38.199999999999996</v>
      </c>
      <c r="J42" s="79">
        <v>1</v>
      </c>
      <c r="K42" s="79" t="s">
        <v>42</v>
      </c>
      <c r="L42" s="79" t="s">
        <v>42</v>
      </c>
      <c r="M42" s="79">
        <v>40</v>
      </c>
      <c r="N42" s="79">
        <v>53</v>
      </c>
      <c r="O42" s="79">
        <v>65</v>
      </c>
      <c r="P42" s="79" t="s">
        <v>13</v>
      </c>
      <c r="Q42" s="79">
        <v>0</v>
      </c>
      <c r="R42" s="79">
        <v>0</v>
      </c>
      <c r="S42" s="79" t="s">
        <v>308</v>
      </c>
      <c r="T42" s="80">
        <v>519.94034446663761</v>
      </c>
      <c r="U42" s="80">
        <v>606</v>
      </c>
      <c r="V42" s="80">
        <v>606</v>
      </c>
      <c r="W42" s="80" t="s">
        <v>42</v>
      </c>
      <c r="X42" s="80" t="s">
        <v>42</v>
      </c>
      <c r="Y42" s="80" t="s">
        <v>42</v>
      </c>
      <c r="Z42" s="80" t="s">
        <v>42</v>
      </c>
      <c r="AB42" s="79" t="s">
        <v>470</v>
      </c>
      <c r="AC42" s="79">
        <v>1.6666666666666666E-2</v>
      </c>
      <c r="AD42" s="79">
        <v>4.9999999999999996E-2</v>
      </c>
      <c r="AE42" s="79">
        <v>8.3333333333333329E-2</v>
      </c>
      <c r="AF42" s="79">
        <v>0.49</v>
      </c>
      <c r="AG42" s="79">
        <v>0.66</v>
      </c>
      <c r="AH42" s="79">
        <v>0.83000000000000007</v>
      </c>
      <c r="AI42" s="79">
        <v>39</v>
      </c>
      <c r="AJ42" s="79">
        <v>71</v>
      </c>
      <c r="AK42" s="79">
        <v>103</v>
      </c>
      <c r="AL42" s="81">
        <v>8.5141143667385993E-3</v>
      </c>
      <c r="AM42" s="81">
        <v>4.8857562817582627E-2</v>
      </c>
      <c r="AN42" s="81">
        <v>0.16303949179623628</v>
      </c>
      <c r="AO42" s="81">
        <v>6.5634599841512958E-3</v>
      </c>
      <c r="AP42" s="81">
        <v>5.1527222307476951E-2</v>
      </c>
      <c r="AQ42" s="81">
        <v>0.16008586276440948</v>
      </c>
      <c r="AR42" s="81" t="s">
        <v>42</v>
      </c>
      <c r="AS42" s="81" t="s">
        <v>42</v>
      </c>
      <c r="AT42" s="81" t="s">
        <v>42</v>
      </c>
      <c r="AV42" s="82">
        <v>5.0362409783749511</v>
      </c>
      <c r="AW42" s="82">
        <v>5.4692260060543729</v>
      </c>
      <c r="AX42" s="82">
        <v>5.957059732327326</v>
      </c>
      <c r="AY42" s="82">
        <v>6.6990005780402276E-2</v>
      </c>
      <c r="AZ42" s="82">
        <v>0.20494189808745691</v>
      </c>
      <c r="BA42" s="82">
        <v>0.77353395740659692</v>
      </c>
      <c r="BB42" s="2"/>
      <c r="BC42" s="18">
        <v>410.88208165004056</v>
      </c>
      <c r="BD42" s="18">
        <v>4194.681156173091</v>
      </c>
      <c r="BE42" s="18">
        <v>90853.132115361208</v>
      </c>
      <c r="BG42" s="22">
        <v>6.479023650189518</v>
      </c>
      <c r="BH42" s="22">
        <v>6.8146709818294182</v>
      </c>
      <c r="BI42" s="22">
        <v>7.1476027481166282</v>
      </c>
      <c r="BJ42" s="22">
        <v>0.3420330064555081</v>
      </c>
      <c r="BK42" s="22">
        <v>0.93544855550692962</v>
      </c>
      <c r="BL42" s="22">
        <v>2.9540480700218854</v>
      </c>
      <c r="BM42" s="2"/>
      <c r="BN42" s="18">
        <v>2136.5597220715317</v>
      </c>
      <c r="BO42" s="18">
        <v>18154.453386306246</v>
      </c>
      <c r="BP42" s="18">
        <v>450074.81985949306</v>
      </c>
      <c r="BR42" s="22" t="s">
        <v>42</v>
      </c>
      <c r="BS42" s="22" t="s">
        <v>42</v>
      </c>
      <c r="BT42" s="22" t="s">
        <v>42</v>
      </c>
      <c r="BU42" s="22" t="s">
        <v>42</v>
      </c>
      <c r="BV42" s="22" t="s">
        <v>42</v>
      </c>
      <c r="BW42" s="22" t="s">
        <v>42</v>
      </c>
      <c r="BX42" s="2"/>
      <c r="BY42" s="18" t="s">
        <v>42</v>
      </c>
      <c r="BZ42" s="18" t="s">
        <v>42</v>
      </c>
      <c r="CA42" s="18" t="s">
        <v>42</v>
      </c>
      <c r="CC42">
        <v>316</v>
      </c>
      <c r="CD42">
        <v>31</v>
      </c>
    </row>
    <row r="43" spans="1:83" x14ac:dyDescent="0.2">
      <c r="A43">
        <v>316</v>
      </c>
      <c r="B43">
        <v>32</v>
      </c>
      <c r="C43" s="11" t="s">
        <v>4</v>
      </c>
      <c r="D43" s="11" t="s">
        <v>6</v>
      </c>
      <c r="E43" s="11" t="s">
        <v>284</v>
      </c>
      <c r="F43" s="11" t="s">
        <v>42</v>
      </c>
      <c r="G43" s="78">
        <v>7</v>
      </c>
      <c r="H43" s="78">
        <v>15</v>
      </c>
      <c r="I43" s="79">
        <v>38.199999999999996</v>
      </c>
      <c r="J43" s="79">
        <v>1</v>
      </c>
      <c r="K43" s="79" t="s">
        <v>42</v>
      </c>
      <c r="L43" s="79" t="s">
        <v>42</v>
      </c>
      <c r="M43" s="79">
        <v>40</v>
      </c>
      <c r="N43" s="79">
        <v>53</v>
      </c>
      <c r="O43" s="79">
        <v>65</v>
      </c>
      <c r="P43" s="79" t="s">
        <v>13</v>
      </c>
      <c r="Q43" s="79">
        <v>0</v>
      </c>
      <c r="R43" s="79">
        <v>0</v>
      </c>
      <c r="S43" s="79" t="s">
        <v>308</v>
      </c>
      <c r="T43" s="80">
        <v>519.94034446663761</v>
      </c>
      <c r="U43" s="80">
        <v>606</v>
      </c>
      <c r="V43" s="80">
        <v>606</v>
      </c>
      <c r="W43" s="80" t="s">
        <v>42</v>
      </c>
      <c r="X43" s="80" t="s">
        <v>42</v>
      </c>
      <c r="Y43" s="80" t="s">
        <v>42</v>
      </c>
      <c r="Z43" s="80" t="s">
        <v>42</v>
      </c>
      <c r="AB43" s="79" t="s">
        <v>470</v>
      </c>
      <c r="AC43" s="79">
        <v>1.6666666666666666E-2</v>
      </c>
      <c r="AD43" s="79">
        <v>4.9999999999999996E-2</v>
      </c>
      <c r="AE43" s="79">
        <v>8.3333333333333329E-2</v>
      </c>
      <c r="AF43" s="79">
        <v>0.49</v>
      </c>
      <c r="AG43" s="79">
        <v>0.66</v>
      </c>
      <c r="AH43" s="79">
        <v>0.83000000000000007</v>
      </c>
      <c r="AI43" s="79">
        <v>39</v>
      </c>
      <c r="AJ43" s="79">
        <v>71</v>
      </c>
      <c r="AK43" s="79">
        <v>103</v>
      </c>
      <c r="AL43" s="81">
        <v>4.3361486594624748E-3</v>
      </c>
      <c r="AM43" s="81">
        <v>4.5459549598854614E-2</v>
      </c>
      <c r="AN43" s="81">
        <v>0.16356257753141296</v>
      </c>
      <c r="AO43" s="81">
        <v>6.5634599841512958E-3</v>
      </c>
      <c r="AP43" s="81">
        <v>5.1527222307476951E-2</v>
      </c>
      <c r="AQ43" s="81">
        <v>0.16008586276440948</v>
      </c>
      <c r="AR43" s="81" t="s">
        <v>42</v>
      </c>
      <c r="AS43" s="81" t="s">
        <v>42</v>
      </c>
      <c r="AT43" s="81" t="s">
        <v>42</v>
      </c>
      <c r="AV43" s="82">
        <v>5.224081445360433</v>
      </c>
      <c r="AW43" s="82">
        <v>5.6570664730398548</v>
      </c>
      <c r="AX43" s="82">
        <v>6.1449001993128078</v>
      </c>
      <c r="AY43" s="82">
        <v>8.3163019377265474E-2</v>
      </c>
      <c r="AZ43" s="82">
        <v>0.25441984730872791</v>
      </c>
      <c r="BA43" s="82">
        <v>0.96028383248172589</v>
      </c>
      <c r="BB43" s="2"/>
      <c r="BC43" s="18">
        <v>508.44771849657127</v>
      </c>
      <c r="BD43" s="18">
        <v>5596.6205022660015</v>
      </c>
      <c r="BE43" s="18">
        <v>221460.08079915927</v>
      </c>
      <c r="BG43" s="22">
        <v>6.479023650189518</v>
      </c>
      <c r="BH43" s="22">
        <v>6.8146709818294182</v>
      </c>
      <c r="BI43" s="22">
        <v>7.1476027481166282</v>
      </c>
      <c r="BJ43" s="22">
        <v>0.3420330064555081</v>
      </c>
      <c r="BK43" s="22">
        <v>0.93544855550692962</v>
      </c>
      <c r="BL43" s="22">
        <v>2.9540480700218854</v>
      </c>
      <c r="BM43" s="2"/>
      <c r="BN43" s="18">
        <v>2136.5597220715317</v>
      </c>
      <c r="BO43" s="18">
        <v>18154.453386306246</v>
      </c>
      <c r="BP43" s="18">
        <v>450074.81985949306</v>
      </c>
      <c r="BR43" s="22" t="s">
        <v>42</v>
      </c>
      <c r="BS43" s="22" t="s">
        <v>42</v>
      </c>
      <c r="BT43" s="22" t="s">
        <v>42</v>
      </c>
      <c r="BU43" s="22" t="s">
        <v>42</v>
      </c>
      <c r="BV43" s="22" t="s">
        <v>42</v>
      </c>
      <c r="BW43" s="22" t="s">
        <v>42</v>
      </c>
      <c r="BX43" s="2"/>
      <c r="BY43" s="18" t="s">
        <v>42</v>
      </c>
      <c r="BZ43" s="18" t="s">
        <v>42</v>
      </c>
      <c r="CA43" s="18" t="s">
        <v>42</v>
      </c>
      <c r="CC43">
        <v>316</v>
      </c>
      <c r="CD43">
        <v>32</v>
      </c>
    </row>
    <row r="44" spans="1:83" x14ac:dyDescent="0.2">
      <c r="A44">
        <v>316</v>
      </c>
      <c r="B44">
        <v>33</v>
      </c>
      <c r="C44" s="11" t="s">
        <v>4</v>
      </c>
      <c r="D44" s="11" t="s">
        <v>6</v>
      </c>
      <c r="E44" s="11" t="s">
        <v>285</v>
      </c>
      <c r="F44" s="11" t="s">
        <v>42</v>
      </c>
      <c r="G44" s="78">
        <v>11.5</v>
      </c>
      <c r="H44" s="78">
        <v>10</v>
      </c>
      <c r="I44" s="79">
        <v>38.199999999999996</v>
      </c>
      <c r="J44" s="79">
        <v>1</v>
      </c>
      <c r="K44" s="79" t="s">
        <v>42</v>
      </c>
      <c r="L44" s="79" t="s">
        <v>42</v>
      </c>
      <c r="M44" s="79">
        <v>40</v>
      </c>
      <c r="N44" s="79">
        <v>53</v>
      </c>
      <c r="O44" s="79">
        <v>65</v>
      </c>
      <c r="P44" s="79" t="s">
        <v>13</v>
      </c>
      <c r="Q44" s="79">
        <v>0</v>
      </c>
      <c r="R44" s="79">
        <v>0</v>
      </c>
      <c r="S44" s="79" t="s">
        <v>308</v>
      </c>
      <c r="T44" s="80">
        <v>519.94034446663761</v>
      </c>
      <c r="U44" s="80">
        <v>606</v>
      </c>
      <c r="V44" s="80">
        <v>606</v>
      </c>
      <c r="W44" s="80" t="s">
        <v>42</v>
      </c>
      <c r="X44" s="80" t="s">
        <v>42</v>
      </c>
      <c r="Y44" s="80" t="s">
        <v>42</v>
      </c>
      <c r="Z44" s="80" t="s">
        <v>42</v>
      </c>
      <c r="AB44" s="79" t="s">
        <v>470</v>
      </c>
      <c r="AC44" s="79">
        <v>1.6666666666666666E-2</v>
      </c>
      <c r="AD44" s="79">
        <v>4.9999999999999996E-2</v>
      </c>
      <c r="AE44" s="79">
        <v>8.3333333333333329E-2</v>
      </c>
      <c r="AF44" s="79">
        <v>0.49</v>
      </c>
      <c r="AG44" s="79">
        <v>0.66</v>
      </c>
      <c r="AH44" s="79">
        <v>0.83000000000000007</v>
      </c>
      <c r="AI44" s="79">
        <v>39</v>
      </c>
      <c r="AJ44" s="79">
        <v>71</v>
      </c>
      <c r="AK44" s="79">
        <v>103</v>
      </c>
      <c r="AL44" s="81">
        <v>5.168471099698522E-3</v>
      </c>
      <c r="AM44" s="81">
        <v>4.7959006048787146E-2</v>
      </c>
      <c r="AN44" s="81">
        <v>0.16343798270657217</v>
      </c>
      <c r="AO44" s="81">
        <v>6.5634599841512958E-3</v>
      </c>
      <c r="AP44" s="81">
        <v>5.1527222307476951E-2</v>
      </c>
      <c r="AQ44" s="81">
        <v>0.16008586276440948</v>
      </c>
      <c r="AR44" s="81" t="s">
        <v>42</v>
      </c>
      <c r="AS44" s="81" t="s">
        <v>42</v>
      </c>
      <c r="AT44" s="81" t="s">
        <v>42</v>
      </c>
      <c r="AV44" s="82">
        <v>5.5834144459260244</v>
      </c>
      <c r="AW44" s="82">
        <v>6.0163994736054462</v>
      </c>
      <c r="AX44" s="82">
        <v>6.5042331998783993</v>
      </c>
      <c r="AY44" s="82">
        <v>0.1257757017337375</v>
      </c>
      <c r="AZ44" s="82">
        <v>0.38478442786065431</v>
      </c>
      <c r="BA44" s="82">
        <v>1.452332705069749</v>
      </c>
      <c r="BB44" s="2"/>
      <c r="BC44" s="18">
        <v>769.56225016279404</v>
      </c>
      <c r="BD44" s="18">
        <v>8023.1943812435475</v>
      </c>
      <c r="BE44" s="18">
        <v>280998.51523876446</v>
      </c>
      <c r="BG44" s="22">
        <v>6.479023650189518</v>
      </c>
      <c r="BH44" s="22">
        <v>6.8146709818294182</v>
      </c>
      <c r="BI44" s="22">
        <v>7.1476027481166282</v>
      </c>
      <c r="BJ44" s="22">
        <v>0.3420330064555081</v>
      </c>
      <c r="BK44" s="22">
        <v>0.93544855550692962</v>
      </c>
      <c r="BL44" s="22">
        <v>2.9540480700218854</v>
      </c>
      <c r="BM44" s="2"/>
      <c r="BN44" s="18">
        <v>2136.5597220715317</v>
      </c>
      <c r="BO44" s="18">
        <v>18154.453386306246</v>
      </c>
      <c r="BP44" s="18">
        <v>450074.81985949306</v>
      </c>
      <c r="BR44" s="22" t="s">
        <v>42</v>
      </c>
      <c r="BS44" s="22" t="s">
        <v>42</v>
      </c>
      <c r="BT44" s="22" t="s">
        <v>42</v>
      </c>
      <c r="BU44" s="22" t="s">
        <v>42</v>
      </c>
      <c r="BV44" s="22" t="s">
        <v>42</v>
      </c>
      <c r="BW44" s="22" t="s">
        <v>42</v>
      </c>
      <c r="BX44" s="2"/>
      <c r="BY44" s="18" t="s">
        <v>42</v>
      </c>
      <c r="BZ44" s="18" t="s">
        <v>42</v>
      </c>
      <c r="CA44" s="18" t="s">
        <v>42</v>
      </c>
      <c r="CC44">
        <v>316</v>
      </c>
      <c r="CD44">
        <v>33</v>
      </c>
    </row>
    <row r="45" spans="1:83" x14ac:dyDescent="0.2">
      <c r="A45">
        <v>316</v>
      </c>
      <c r="B45">
        <v>34</v>
      </c>
      <c r="C45" s="11" t="s">
        <v>4</v>
      </c>
      <c r="D45" s="11" t="s">
        <v>6</v>
      </c>
      <c r="E45" t="s">
        <v>537</v>
      </c>
      <c r="F45" s="11" t="s">
        <v>42</v>
      </c>
      <c r="G45" s="78">
        <v>4.7</v>
      </c>
      <c r="H45" s="78">
        <v>15</v>
      </c>
      <c r="I45" s="79">
        <v>38.199999999999996</v>
      </c>
      <c r="J45" s="79">
        <v>1</v>
      </c>
      <c r="K45" s="79" t="s">
        <v>42</v>
      </c>
      <c r="L45" s="79" t="s">
        <v>42</v>
      </c>
      <c r="M45" s="79">
        <v>40</v>
      </c>
      <c r="N45" s="79">
        <v>53</v>
      </c>
      <c r="O45" s="79">
        <v>65</v>
      </c>
      <c r="P45" s="79" t="s">
        <v>13</v>
      </c>
      <c r="Q45" s="79">
        <v>0</v>
      </c>
      <c r="R45" s="79">
        <v>0</v>
      </c>
      <c r="S45" s="79" t="s">
        <v>308</v>
      </c>
      <c r="T45" s="80">
        <v>519.94034446663761</v>
      </c>
      <c r="U45" s="80">
        <v>606</v>
      </c>
      <c r="V45" s="80">
        <v>606</v>
      </c>
      <c r="W45" s="80" t="s">
        <v>42</v>
      </c>
      <c r="X45" s="80" t="s">
        <v>42</v>
      </c>
      <c r="Y45" s="80" t="s">
        <v>42</v>
      </c>
      <c r="Z45" s="80" t="s">
        <v>42</v>
      </c>
      <c r="AB45" s="79" t="s">
        <v>470</v>
      </c>
      <c r="AC45" s="79">
        <v>1.6666666666666666E-2</v>
      </c>
      <c r="AD45" s="79">
        <v>4.9999999999999996E-2</v>
      </c>
      <c r="AE45" s="79">
        <v>8.3333333333333329E-2</v>
      </c>
      <c r="AF45" s="79">
        <v>0.49</v>
      </c>
      <c r="AG45" s="79">
        <v>0.66</v>
      </c>
      <c r="AH45" s="79">
        <v>0.83000000000000007</v>
      </c>
      <c r="AI45" s="79">
        <v>39</v>
      </c>
      <c r="AJ45" s="79">
        <v>71</v>
      </c>
      <c r="AK45" s="79">
        <v>103</v>
      </c>
      <c r="AL45" s="81">
        <v>4.3361486594624748E-3</v>
      </c>
      <c r="AM45" s="81">
        <v>4.5459549598854614E-2</v>
      </c>
      <c r="AN45" s="81">
        <v>0.16356257753141296</v>
      </c>
      <c r="AO45" s="81">
        <v>6.5634599841512958E-3</v>
      </c>
      <c r="AP45" s="81">
        <v>5.1527222307476951E-2</v>
      </c>
      <c r="AQ45" s="81">
        <v>0.16008586276440948</v>
      </c>
      <c r="AR45" s="81" t="s">
        <v>42</v>
      </c>
      <c r="AS45" s="81" t="s">
        <v>42</v>
      </c>
      <c r="AT45" s="81" t="s">
        <v>42</v>
      </c>
      <c r="AV45" s="82">
        <v>4.9357478085628657</v>
      </c>
      <c r="AW45" s="82">
        <v>5.3687328362422875</v>
      </c>
      <c r="AX45" s="82">
        <v>5.8565665625152405</v>
      </c>
      <c r="AY45" s="82">
        <v>5.9671015705131648E-2</v>
      </c>
      <c r="AZ45" s="82">
        <v>0.18255098020895702</v>
      </c>
      <c r="BA45" s="82">
        <v>0.68902153960352297</v>
      </c>
      <c r="BB45" s="2"/>
      <c r="BC45" s="18">
        <v>364.82071024878263</v>
      </c>
      <c r="BD45" s="18">
        <v>4015.6794737261657</v>
      </c>
      <c r="BE45" s="18">
        <v>158901.73370784218</v>
      </c>
      <c r="BG45" s="22">
        <v>6.479023650189518</v>
      </c>
      <c r="BH45" s="22">
        <v>6.8146709818294182</v>
      </c>
      <c r="BI45" s="22">
        <v>7.1476027481166282</v>
      </c>
      <c r="BJ45" s="22">
        <v>0.3420330064555081</v>
      </c>
      <c r="BK45" s="22">
        <v>0.93544855550692962</v>
      </c>
      <c r="BL45" s="22">
        <v>2.9540480700218854</v>
      </c>
      <c r="BM45" s="2"/>
      <c r="BN45" s="18">
        <v>2136.5597220715317</v>
      </c>
      <c r="BO45" s="18">
        <v>18154.453386306246</v>
      </c>
      <c r="BP45" s="18">
        <v>450074.81985949306</v>
      </c>
      <c r="BR45" s="22" t="s">
        <v>42</v>
      </c>
      <c r="BS45" s="22" t="s">
        <v>42</v>
      </c>
      <c r="BT45" s="22" t="s">
        <v>42</v>
      </c>
      <c r="BU45" s="22" t="s">
        <v>42</v>
      </c>
      <c r="BV45" s="22" t="s">
        <v>42</v>
      </c>
      <c r="BW45" s="22" t="s">
        <v>42</v>
      </c>
      <c r="BX45" s="2"/>
      <c r="BY45" s="18" t="s">
        <v>42</v>
      </c>
      <c r="BZ45" s="18" t="s">
        <v>42</v>
      </c>
      <c r="CA45" s="18" t="s">
        <v>42</v>
      </c>
      <c r="CC45">
        <v>316</v>
      </c>
      <c r="CD45">
        <v>34</v>
      </c>
    </row>
    <row r="46" spans="1:83" x14ac:dyDescent="0.2">
      <c r="A46">
        <v>316</v>
      </c>
      <c r="B46">
        <v>35</v>
      </c>
      <c r="C46" s="11" t="s">
        <v>4</v>
      </c>
      <c r="D46" s="11" t="s">
        <v>6</v>
      </c>
      <c r="E46" s="11" t="s">
        <v>252</v>
      </c>
      <c r="F46" s="11" t="s">
        <v>42</v>
      </c>
      <c r="G46" s="78">
        <v>2.7</v>
      </c>
      <c r="H46" s="78">
        <v>305</v>
      </c>
      <c r="I46" s="79">
        <v>38.199999999999996</v>
      </c>
      <c r="J46" s="79">
        <v>1</v>
      </c>
      <c r="K46" s="79" t="s">
        <v>42</v>
      </c>
      <c r="L46" s="79" t="s">
        <v>42</v>
      </c>
      <c r="M46" s="79">
        <v>40</v>
      </c>
      <c r="N46" s="79">
        <v>53</v>
      </c>
      <c r="O46" s="79">
        <v>65</v>
      </c>
      <c r="P46" s="79" t="s">
        <v>13</v>
      </c>
      <c r="Q46" s="79">
        <v>0</v>
      </c>
      <c r="R46" s="79">
        <v>0</v>
      </c>
      <c r="S46" s="79" t="s">
        <v>308</v>
      </c>
      <c r="T46" s="80">
        <v>519.94034446663761</v>
      </c>
      <c r="U46" s="80">
        <v>606</v>
      </c>
      <c r="V46" s="80">
        <v>606</v>
      </c>
      <c r="W46" s="80" t="s">
        <v>42</v>
      </c>
      <c r="X46" s="80" t="s">
        <v>42</v>
      </c>
      <c r="Y46" s="80" t="s">
        <v>42</v>
      </c>
      <c r="Z46" s="80" t="s">
        <v>42</v>
      </c>
      <c r="AB46" s="79" t="s">
        <v>470</v>
      </c>
      <c r="AC46" s="79">
        <v>1.6666666666666666E-2</v>
      </c>
      <c r="AD46" s="79">
        <v>4.9999999999999996E-2</v>
      </c>
      <c r="AE46" s="79">
        <v>8.3333333333333329E-2</v>
      </c>
      <c r="AF46" s="79">
        <v>0.49</v>
      </c>
      <c r="AG46" s="79">
        <v>0.66</v>
      </c>
      <c r="AH46" s="79">
        <v>0.83000000000000007</v>
      </c>
      <c r="AI46" s="79">
        <v>39</v>
      </c>
      <c r="AJ46" s="79">
        <v>71</v>
      </c>
      <c r="AK46" s="79">
        <v>103</v>
      </c>
      <c r="AL46" s="81" t="s">
        <v>42</v>
      </c>
      <c r="AM46" s="81" t="s">
        <v>42</v>
      </c>
      <c r="AN46" s="81" t="s">
        <v>42</v>
      </c>
      <c r="AO46" s="81">
        <v>6.5634599841512958E-3</v>
      </c>
      <c r="AP46" s="81">
        <v>5.1527222307476951E-2</v>
      </c>
      <c r="AQ46" s="81">
        <v>0.16008586276440948</v>
      </c>
      <c r="AR46" s="81" t="s">
        <v>42</v>
      </c>
      <c r="AS46" s="81" t="s">
        <v>42</v>
      </c>
      <c r="AT46" s="81" t="s">
        <v>42</v>
      </c>
      <c r="AV46" s="82" t="s">
        <v>42</v>
      </c>
      <c r="AW46" s="82" t="s">
        <v>42</v>
      </c>
      <c r="AX46" s="82" t="s">
        <v>42</v>
      </c>
      <c r="AY46" s="82" t="s">
        <v>42</v>
      </c>
      <c r="AZ46" s="82" t="s">
        <v>42</v>
      </c>
      <c r="BA46" s="82" t="s">
        <v>42</v>
      </c>
      <c r="BB46" s="2"/>
      <c r="BC46" s="18" t="s">
        <v>42</v>
      </c>
      <c r="BD46" s="18" t="s">
        <v>42</v>
      </c>
      <c r="BE46" s="18" t="s">
        <v>42</v>
      </c>
      <c r="BG46" s="22">
        <v>6.479023650189518</v>
      </c>
      <c r="BH46" s="22">
        <v>6.8146709818294182</v>
      </c>
      <c r="BI46" s="22">
        <v>7.1476027481166282</v>
      </c>
      <c r="BJ46" s="22">
        <v>0.3420330064555081</v>
      </c>
      <c r="BK46" s="22">
        <v>0.93544855550692962</v>
      </c>
      <c r="BL46" s="22">
        <v>2.9540480700218854</v>
      </c>
      <c r="BM46" s="2"/>
      <c r="BN46" s="18">
        <v>2136.5597220715317</v>
      </c>
      <c r="BO46" s="18">
        <v>18154.453386306246</v>
      </c>
      <c r="BP46" s="18">
        <v>450074.81985949306</v>
      </c>
      <c r="BR46" s="22" t="s">
        <v>42</v>
      </c>
      <c r="BS46" s="22" t="s">
        <v>42</v>
      </c>
      <c r="BT46" s="22" t="s">
        <v>42</v>
      </c>
      <c r="BU46" s="22" t="s">
        <v>42</v>
      </c>
      <c r="BV46" s="22" t="s">
        <v>42</v>
      </c>
      <c r="BW46" s="22" t="s">
        <v>42</v>
      </c>
      <c r="BX46" s="2"/>
      <c r="BY46" s="18" t="s">
        <v>42</v>
      </c>
      <c r="BZ46" s="18" t="s">
        <v>42</v>
      </c>
      <c r="CA46" s="18" t="s">
        <v>42</v>
      </c>
      <c r="CC46">
        <v>316</v>
      </c>
      <c r="CD46">
        <v>35</v>
      </c>
      <c r="CE46">
        <v>0</v>
      </c>
    </row>
    <row r="47" spans="1:83" x14ac:dyDescent="0.2">
      <c r="A47">
        <v>316</v>
      </c>
      <c r="B47">
        <v>36</v>
      </c>
      <c r="C47" s="11" t="s">
        <v>4</v>
      </c>
      <c r="D47" s="11" t="s">
        <v>6</v>
      </c>
      <c r="E47" s="11" t="s">
        <v>58</v>
      </c>
      <c r="F47" s="11" t="s">
        <v>42</v>
      </c>
      <c r="G47" s="78">
        <v>6.9</v>
      </c>
      <c r="H47" s="78">
        <v>354</v>
      </c>
      <c r="I47" s="79">
        <v>38.199999999999996</v>
      </c>
      <c r="J47" s="79">
        <v>1</v>
      </c>
      <c r="K47" s="79" t="s">
        <v>42</v>
      </c>
      <c r="L47" s="79" t="s">
        <v>42</v>
      </c>
      <c r="M47" s="79">
        <v>40</v>
      </c>
      <c r="N47" s="79">
        <v>53</v>
      </c>
      <c r="O47" s="79">
        <v>65</v>
      </c>
      <c r="P47" s="79" t="s">
        <v>13</v>
      </c>
      <c r="Q47" s="79">
        <v>0</v>
      </c>
      <c r="R47" s="79">
        <v>0</v>
      </c>
      <c r="S47" s="79" t="s">
        <v>308</v>
      </c>
      <c r="T47" s="80">
        <v>519.94034446663761</v>
      </c>
      <c r="U47" s="80">
        <v>606</v>
      </c>
      <c r="V47" s="80">
        <v>606</v>
      </c>
      <c r="W47" s="80" t="s">
        <v>42</v>
      </c>
      <c r="X47" s="80" t="s">
        <v>42</v>
      </c>
      <c r="Y47" s="80" t="s">
        <v>42</v>
      </c>
      <c r="Z47" s="80" t="s">
        <v>42</v>
      </c>
      <c r="AB47" s="79" t="s">
        <v>470</v>
      </c>
      <c r="AC47" s="79">
        <v>1.6666666666666666E-2</v>
      </c>
      <c r="AD47" s="79">
        <v>4.9999999999999996E-2</v>
      </c>
      <c r="AE47" s="79">
        <v>8.3333333333333329E-2</v>
      </c>
      <c r="AF47" s="79">
        <v>0.49</v>
      </c>
      <c r="AG47" s="79">
        <v>0.66</v>
      </c>
      <c r="AH47" s="79">
        <v>0.83000000000000007</v>
      </c>
      <c r="AI47" s="79">
        <v>39</v>
      </c>
      <c r="AJ47" s="79">
        <v>71</v>
      </c>
      <c r="AK47" s="79">
        <v>103</v>
      </c>
      <c r="AL47" s="81">
        <v>7.5383424963938305E-3</v>
      </c>
      <c r="AM47" s="81">
        <v>5.1846683439961683E-2</v>
      </c>
      <c r="AN47" s="81">
        <v>0.15946762263275982</v>
      </c>
      <c r="AO47" s="81">
        <v>6.5634599841512958E-3</v>
      </c>
      <c r="AP47" s="81">
        <v>5.1527222307476951E-2</v>
      </c>
      <c r="AQ47" s="81">
        <v>0.16008586276440948</v>
      </c>
      <c r="AR47" s="81" t="s">
        <v>42</v>
      </c>
      <c r="AS47" s="81" t="s">
        <v>42</v>
      </c>
      <c r="AT47" s="81" t="s">
        <v>42</v>
      </c>
      <c r="AV47" s="82">
        <v>5.2136665298987621</v>
      </c>
      <c r="AW47" s="82">
        <v>5.6466515575781839</v>
      </c>
      <c r="AX47" s="82">
        <v>6.134485283851137</v>
      </c>
      <c r="AY47" s="82">
        <v>8.217179821909E-2</v>
      </c>
      <c r="AZ47" s="82">
        <v>0.25138741369099032</v>
      </c>
      <c r="BA47" s="82">
        <v>0.94883819643174483</v>
      </c>
      <c r="BB47" s="2"/>
      <c r="BC47" s="18">
        <v>515.28828775684815</v>
      </c>
      <c r="BD47" s="18">
        <v>4848.6691339108747</v>
      </c>
      <c r="BE47" s="18">
        <v>125868.27898648106</v>
      </c>
      <c r="BG47" s="22">
        <v>6.479023650189518</v>
      </c>
      <c r="BH47" s="22">
        <v>6.8146709818294182</v>
      </c>
      <c r="BI47" s="22">
        <v>7.1476027481166282</v>
      </c>
      <c r="BJ47" s="22">
        <v>0.3420330064555081</v>
      </c>
      <c r="BK47" s="22">
        <v>0.93544855550692962</v>
      </c>
      <c r="BL47" s="22">
        <v>2.9540480700218854</v>
      </c>
      <c r="BM47" s="2"/>
      <c r="BN47" s="18">
        <v>2136.5597220715317</v>
      </c>
      <c r="BO47" s="18">
        <v>18154.453386306246</v>
      </c>
      <c r="BP47" s="18">
        <v>450074.81985949306</v>
      </c>
      <c r="BR47" s="22" t="s">
        <v>42</v>
      </c>
      <c r="BS47" s="22" t="s">
        <v>42</v>
      </c>
      <c r="BT47" s="22" t="s">
        <v>42</v>
      </c>
      <c r="BU47" s="22" t="s">
        <v>42</v>
      </c>
      <c r="BV47" s="22" t="s">
        <v>42</v>
      </c>
      <c r="BW47" s="22" t="s">
        <v>42</v>
      </c>
      <c r="BX47" s="2"/>
      <c r="BY47" s="18" t="s">
        <v>42</v>
      </c>
      <c r="BZ47" s="18" t="s">
        <v>42</v>
      </c>
      <c r="CA47" s="18" t="s">
        <v>42</v>
      </c>
      <c r="CC47">
        <v>316</v>
      </c>
      <c r="CD47">
        <v>36</v>
      </c>
    </row>
    <row r="48" spans="1:83" x14ac:dyDescent="0.2">
      <c r="A48">
        <v>317</v>
      </c>
      <c r="B48" t="s">
        <v>416</v>
      </c>
      <c r="C48" s="11" t="s">
        <v>4</v>
      </c>
      <c r="D48" s="11" t="s">
        <v>7</v>
      </c>
      <c r="E48" s="11" t="s">
        <v>42</v>
      </c>
      <c r="F48" s="11" t="s">
        <v>42</v>
      </c>
      <c r="G48" s="78" t="s">
        <v>42</v>
      </c>
      <c r="H48" s="78" t="s">
        <v>42</v>
      </c>
      <c r="I48" s="79">
        <v>14.1</v>
      </c>
      <c r="J48" s="79">
        <v>360</v>
      </c>
      <c r="K48" s="79" t="s">
        <v>42</v>
      </c>
      <c r="L48" s="79" t="s">
        <v>42</v>
      </c>
      <c r="M48" s="79">
        <v>40</v>
      </c>
      <c r="N48" s="79">
        <v>53</v>
      </c>
      <c r="O48" s="79">
        <v>65</v>
      </c>
      <c r="P48" s="79" t="s">
        <v>13</v>
      </c>
      <c r="Q48" s="79">
        <v>0</v>
      </c>
      <c r="R48" s="79">
        <v>0</v>
      </c>
      <c r="S48" s="79" t="s">
        <v>211</v>
      </c>
      <c r="T48" s="80">
        <v>98.752121368928812</v>
      </c>
      <c r="U48" s="80">
        <v>144.01351032968788</v>
      </c>
      <c r="V48" s="80">
        <v>205.73358618526836</v>
      </c>
      <c r="W48" s="80" t="s">
        <v>42</v>
      </c>
      <c r="X48" s="80" t="s">
        <v>42</v>
      </c>
      <c r="Y48" s="80" t="s">
        <v>42</v>
      </c>
      <c r="Z48" s="80" t="s">
        <v>42</v>
      </c>
      <c r="AB48" s="79" t="s">
        <v>470</v>
      </c>
      <c r="AC48" s="79">
        <v>1.6666666666666666E-2</v>
      </c>
      <c r="AD48" s="79">
        <v>4.9999999999999996E-2</v>
      </c>
      <c r="AE48" s="79">
        <v>8.3333333333333329E-2</v>
      </c>
      <c r="AF48" s="79">
        <v>0.49</v>
      </c>
      <c r="AG48" s="79">
        <v>0.66</v>
      </c>
      <c r="AH48" s="79">
        <v>0.83000000000000007</v>
      </c>
      <c r="AI48" s="79">
        <v>39</v>
      </c>
      <c r="AJ48" s="79">
        <v>71</v>
      </c>
      <c r="AK48" s="79">
        <v>103</v>
      </c>
      <c r="AL48" s="81" t="s">
        <v>42</v>
      </c>
      <c r="AM48" s="81" t="s">
        <v>42</v>
      </c>
      <c r="AN48" s="81" t="s">
        <v>42</v>
      </c>
      <c r="AO48" s="81">
        <v>6.709075310715496E-3</v>
      </c>
      <c r="AP48" s="81">
        <v>5.184668343996169E-2</v>
      </c>
      <c r="AQ48" s="81">
        <v>0.15946762263275979</v>
      </c>
      <c r="AR48" s="81" t="s">
        <v>42</v>
      </c>
      <c r="AS48" s="81" t="s">
        <v>42</v>
      </c>
      <c r="AT48" s="81" t="s">
        <v>42</v>
      </c>
      <c r="AV48" s="82" t="s">
        <v>42</v>
      </c>
      <c r="AW48" s="82" t="s">
        <v>42</v>
      </c>
      <c r="AX48" s="82" t="s">
        <v>42</v>
      </c>
      <c r="AY48" s="82" t="s">
        <v>42</v>
      </c>
      <c r="AZ48" s="82" t="s">
        <v>42</v>
      </c>
      <c r="BA48" s="82" t="s">
        <v>42</v>
      </c>
      <c r="BB48" s="2"/>
      <c r="BC48" s="18" t="s">
        <v>42</v>
      </c>
      <c r="BD48" s="18" t="s">
        <v>42</v>
      </c>
      <c r="BE48" s="18" t="s">
        <v>42</v>
      </c>
      <c r="BG48" s="22">
        <v>5.7576165664289691</v>
      </c>
      <c r="BH48" s="22">
        <v>6.1906015941083936</v>
      </c>
      <c r="BI48" s="22">
        <v>6.6784353203813467</v>
      </c>
      <c r="BJ48" s="22">
        <v>0.14906115291385941</v>
      </c>
      <c r="BK48" s="22">
        <v>0.45602139085361926</v>
      </c>
      <c r="BL48" s="22">
        <v>1.7212099352106562</v>
      </c>
      <c r="BM48" s="2"/>
      <c r="BN48" s="18">
        <v>934.74242892009761</v>
      </c>
      <c r="BO48" s="18">
        <v>8795.5749644370353</v>
      </c>
      <c r="BP48" s="18">
        <v>256549.50279982714</v>
      </c>
      <c r="BR48" s="22" t="s">
        <v>42</v>
      </c>
      <c r="BS48" s="22" t="s">
        <v>42</v>
      </c>
      <c r="BT48" s="22" t="s">
        <v>42</v>
      </c>
      <c r="BU48" s="22" t="s">
        <v>42</v>
      </c>
      <c r="BV48" s="22" t="s">
        <v>42</v>
      </c>
      <c r="BW48" s="22" t="s">
        <v>42</v>
      </c>
      <c r="BX48" s="2"/>
      <c r="BY48" s="18" t="s">
        <v>42</v>
      </c>
      <c r="BZ48" s="18" t="s">
        <v>42</v>
      </c>
      <c r="CA48" s="18" t="s">
        <v>42</v>
      </c>
      <c r="CC48">
        <v>317</v>
      </c>
      <c r="CD48" t="s">
        <v>416</v>
      </c>
    </row>
    <row r="49" spans="1:82" x14ac:dyDescent="0.2">
      <c r="A49">
        <v>318</v>
      </c>
      <c r="B49">
        <v>37</v>
      </c>
      <c r="C49" s="11" t="s">
        <v>4</v>
      </c>
      <c r="D49" s="11" t="s">
        <v>246</v>
      </c>
      <c r="E49" s="63" t="s">
        <v>286</v>
      </c>
      <c r="F49" s="11" t="s">
        <v>42</v>
      </c>
      <c r="G49" s="78">
        <v>8.3000000000000007</v>
      </c>
      <c r="H49" s="78">
        <v>27</v>
      </c>
      <c r="I49" s="79">
        <v>43.699999999999996</v>
      </c>
      <c r="J49" s="79">
        <v>16</v>
      </c>
      <c r="K49" s="79" t="s">
        <v>42</v>
      </c>
      <c r="L49" s="79" t="s">
        <v>42</v>
      </c>
      <c r="M49" s="79">
        <v>40</v>
      </c>
      <c r="N49" s="79">
        <v>53</v>
      </c>
      <c r="O49" s="79">
        <v>65</v>
      </c>
      <c r="P49" s="79" t="s">
        <v>13</v>
      </c>
      <c r="Q49" s="79">
        <v>0</v>
      </c>
      <c r="R49" s="79">
        <v>0</v>
      </c>
      <c r="S49" s="79" t="s">
        <v>211</v>
      </c>
      <c r="T49" s="80">
        <v>650.60436744297715</v>
      </c>
      <c r="U49" s="80">
        <v>948.79803585434172</v>
      </c>
      <c r="V49" s="80">
        <v>1355.4257655062024</v>
      </c>
      <c r="W49" s="80" t="s">
        <v>42</v>
      </c>
      <c r="X49" s="80" t="s">
        <v>42</v>
      </c>
      <c r="Y49" s="80" t="s">
        <v>42</v>
      </c>
      <c r="Z49" s="80" t="s">
        <v>42</v>
      </c>
      <c r="AB49" s="79" t="s">
        <v>470</v>
      </c>
      <c r="AC49" s="79">
        <v>1.6666666666666666E-2</v>
      </c>
      <c r="AD49" s="79">
        <v>4.9999999999999996E-2</v>
      </c>
      <c r="AE49" s="79">
        <v>8.3333333333333329E-2</v>
      </c>
      <c r="AF49" s="79">
        <v>0.49</v>
      </c>
      <c r="AG49" s="79">
        <v>0.66</v>
      </c>
      <c r="AH49" s="79">
        <v>0.83000000000000007</v>
      </c>
      <c r="AI49" s="79">
        <v>39</v>
      </c>
      <c r="AJ49" s="79">
        <v>71</v>
      </c>
      <c r="AK49" s="79">
        <v>103</v>
      </c>
      <c r="AL49" s="81">
        <v>2.2165103999690341E-3</v>
      </c>
      <c r="AM49" s="81">
        <v>3.8090983679806283E-2</v>
      </c>
      <c r="AN49" s="81">
        <v>0.15880080711845868</v>
      </c>
      <c r="AO49" s="81">
        <v>4.165516650274554E-3</v>
      </c>
      <c r="AP49" s="81">
        <v>4.4917485309613328E-2</v>
      </c>
      <c r="AQ49" s="81">
        <v>0.16343798270657217</v>
      </c>
      <c r="AR49" s="81" t="s">
        <v>42</v>
      </c>
      <c r="AS49" s="81" t="s">
        <v>42</v>
      </c>
      <c r="AT49" s="81" t="s">
        <v>42</v>
      </c>
      <c r="AV49" s="82">
        <v>5.3473815326301279</v>
      </c>
      <c r="AW49" s="82">
        <v>5.7803665603095498</v>
      </c>
      <c r="AX49" s="82">
        <v>6.2682002865825028</v>
      </c>
      <c r="AY49" s="82">
        <v>9.5847390264604634E-2</v>
      </c>
      <c r="AZ49" s="82">
        <v>0.2932250245200585</v>
      </c>
      <c r="BA49" s="82">
        <v>1.1067503314078522</v>
      </c>
      <c r="BB49" s="2"/>
      <c r="BC49" s="18">
        <v>603.56991884245622</v>
      </c>
      <c r="BD49" s="18">
        <v>7698.0165958672796</v>
      </c>
      <c r="BE49" s="18">
        <v>499321.06405786052</v>
      </c>
      <c r="BG49" s="22">
        <v>6.5763871069540398</v>
      </c>
      <c r="BH49" s="22">
        <v>7.0093721346334616</v>
      </c>
      <c r="BI49" s="22">
        <v>7.4972058609064147</v>
      </c>
      <c r="BJ49" s="22">
        <v>0.38260421152239016</v>
      </c>
      <c r="BK49" s="22">
        <v>1.1704974855904937</v>
      </c>
      <c r="BL49" s="22">
        <v>4.4179328903107313</v>
      </c>
      <c r="BM49" s="2"/>
      <c r="BN49" s="18">
        <v>2340.9748773594283</v>
      </c>
      <c r="BO49" s="18">
        <v>26058.838279176362</v>
      </c>
      <c r="BP49" s="18">
        <v>1060596.6225148903</v>
      </c>
      <c r="BR49" s="22" t="s">
        <v>42</v>
      </c>
      <c r="BS49" s="22" t="s">
        <v>42</v>
      </c>
      <c r="BT49" s="22" t="s">
        <v>42</v>
      </c>
      <c r="BU49" s="22" t="s">
        <v>42</v>
      </c>
      <c r="BV49" s="22" t="s">
        <v>42</v>
      </c>
      <c r="BW49" s="22" t="s">
        <v>42</v>
      </c>
      <c r="BX49" s="2"/>
      <c r="BY49" s="18" t="s">
        <v>42</v>
      </c>
      <c r="BZ49" s="18" t="s">
        <v>42</v>
      </c>
      <c r="CA49" s="18" t="s">
        <v>42</v>
      </c>
      <c r="CC49">
        <v>318</v>
      </c>
      <c r="CD49">
        <v>37</v>
      </c>
    </row>
    <row r="50" spans="1:82" x14ac:dyDescent="0.2">
      <c r="A50">
        <v>318</v>
      </c>
      <c r="B50">
        <v>38</v>
      </c>
      <c r="C50" s="11" t="s">
        <v>4</v>
      </c>
      <c r="D50" s="11" t="s">
        <v>246</v>
      </c>
      <c r="E50" s="63" t="s">
        <v>287</v>
      </c>
      <c r="F50" s="11" t="s">
        <v>42</v>
      </c>
      <c r="G50" s="78">
        <v>11.1</v>
      </c>
      <c r="H50" s="78">
        <v>351</v>
      </c>
      <c r="I50" s="79">
        <v>43.699999999999996</v>
      </c>
      <c r="J50" s="79">
        <v>16</v>
      </c>
      <c r="K50" s="79" t="s">
        <v>42</v>
      </c>
      <c r="L50" s="79" t="s">
        <v>42</v>
      </c>
      <c r="M50" s="79">
        <v>40</v>
      </c>
      <c r="N50" s="79">
        <v>53</v>
      </c>
      <c r="O50" s="79">
        <v>65</v>
      </c>
      <c r="P50" s="79" t="s">
        <v>13</v>
      </c>
      <c r="Q50" s="79">
        <v>0</v>
      </c>
      <c r="R50" s="79">
        <v>0</v>
      </c>
      <c r="S50" s="79" t="s">
        <v>211</v>
      </c>
      <c r="T50" s="80">
        <v>650.60436744297715</v>
      </c>
      <c r="U50" s="80">
        <v>948.79803585434172</v>
      </c>
      <c r="V50" s="80">
        <v>1355.4257655062024</v>
      </c>
      <c r="W50" s="80" t="s">
        <v>42</v>
      </c>
      <c r="X50" s="80" t="s">
        <v>42</v>
      </c>
      <c r="Y50" s="80" t="s">
        <v>42</v>
      </c>
      <c r="Z50" s="80" t="s">
        <v>42</v>
      </c>
      <c r="AB50" s="79" t="s">
        <v>470</v>
      </c>
      <c r="AC50" s="79">
        <v>1.6666666666666666E-2</v>
      </c>
      <c r="AD50" s="79">
        <v>4.9999999999999996E-2</v>
      </c>
      <c r="AE50" s="79">
        <v>8.3333333333333329E-2</v>
      </c>
      <c r="AF50" s="79">
        <v>0.49</v>
      </c>
      <c r="AG50" s="79">
        <v>0.66</v>
      </c>
      <c r="AH50" s="79">
        <v>0.83000000000000007</v>
      </c>
      <c r="AI50" s="79">
        <v>39</v>
      </c>
      <c r="AJ50" s="79">
        <v>71</v>
      </c>
      <c r="AK50" s="79">
        <v>103</v>
      </c>
      <c r="AL50" s="81">
        <v>7.9225378230299917E-3</v>
      </c>
      <c r="AM50" s="81">
        <v>5.084131506131187E-2</v>
      </c>
      <c r="AN50" s="81">
        <v>0.16117587844591863</v>
      </c>
      <c r="AO50" s="81">
        <v>4.165516650274554E-3</v>
      </c>
      <c r="AP50" s="81">
        <v>4.4917485309613328E-2</v>
      </c>
      <c r="AQ50" s="81">
        <v>0.16343798270657217</v>
      </c>
      <c r="AR50" s="81" t="s">
        <v>42</v>
      </c>
      <c r="AS50" s="81" t="s">
        <v>42</v>
      </c>
      <c r="AT50" s="81" t="s">
        <v>42</v>
      </c>
      <c r="AV50" s="82">
        <v>5.5577896766477677</v>
      </c>
      <c r="AW50" s="82">
        <v>5.9907747043271895</v>
      </c>
      <c r="AX50" s="82">
        <v>6.4786084306001426</v>
      </c>
      <c r="AY50" s="82">
        <v>0.12211931636166691</v>
      </c>
      <c r="AZ50" s="82">
        <v>0.37359848229218001</v>
      </c>
      <c r="BA50" s="82">
        <v>1.4101124034932297</v>
      </c>
      <c r="BB50" s="2"/>
      <c r="BC50" s="18">
        <v>757.67737417757041</v>
      </c>
      <c r="BD50" s="18">
        <v>7348.3245238963718</v>
      </c>
      <c r="BE50" s="18">
        <v>177987.46247625098</v>
      </c>
      <c r="BG50" s="22">
        <v>6.5763871069540398</v>
      </c>
      <c r="BH50" s="22">
        <v>7.0093721346334616</v>
      </c>
      <c r="BI50" s="22">
        <v>7.4972058609064147</v>
      </c>
      <c r="BJ50" s="22">
        <v>0.38260421152239016</v>
      </c>
      <c r="BK50" s="22">
        <v>1.1704974855904937</v>
      </c>
      <c r="BL50" s="22">
        <v>4.4179328903107313</v>
      </c>
      <c r="BM50" s="2"/>
      <c r="BN50" s="18">
        <v>2340.9748773594283</v>
      </c>
      <c r="BO50" s="18">
        <v>26058.838279176362</v>
      </c>
      <c r="BP50" s="18">
        <v>1060596.6225148903</v>
      </c>
      <c r="BR50" s="22" t="s">
        <v>42</v>
      </c>
      <c r="BS50" s="22" t="s">
        <v>42</v>
      </c>
      <c r="BT50" s="22" t="s">
        <v>42</v>
      </c>
      <c r="BU50" s="22" t="s">
        <v>42</v>
      </c>
      <c r="BV50" s="22" t="s">
        <v>42</v>
      </c>
      <c r="BW50" s="22" t="s">
        <v>42</v>
      </c>
      <c r="BX50" s="2"/>
      <c r="BY50" s="18" t="s">
        <v>42</v>
      </c>
      <c r="BZ50" s="18" t="s">
        <v>42</v>
      </c>
      <c r="CA50" s="18" t="s">
        <v>42</v>
      </c>
      <c r="CC50">
        <v>318</v>
      </c>
      <c r="CD50">
        <v>38</v>
      </c>
    </row>
    <row r="51" spans="1:82" x14ac:dyDescent="0.2">
      <c r="A51">
        <v>318</v>
      </c>
      <c r="B51">
        <v>39</v>
      </c>
      <c r="C51" s="11" t="s">
        <v>4</v>
      </c>
      <c r="D51" s="11" t="s">
        <v>246</v>
      </c>
      <c r="E51" s="63" t="s">
        <v>361</v>
      </c>
      <c r="F51" s="11" t="s">
        <v>42</v>
      </c>
      <c r="G51" s="78">
        <v>5.5</v>
      </c>
      <c r="H51" s="78">
        <v>56</v>
      </c>
      <c r="I51" s="79">
        <v>43.699999999999996</v>
      </c>
      <c r="J51" s="79">
        <v>16</v>
      </c>
      <c r="K51" s="79" t="s">
        <v>42</v>
      </c>
      <c r="L51" s="79" t="s">
        <v>42</v>
      </c>
      <c r="M51" s="79">
        <v>40</v>
      </c>
      <c r="N51" s="79">
        <v>53</v>
      </c>
      <c r="O51" s="79">
        <v>65</v>
      </c>
      <c r="P51" s="79" t="s">
        <v>13</v>
      </c>
      <c r="Q51" s="79">
        <v>0</v>
      </c>
      <c r="R51" s="79">
        <v>0</v>
      </c>
      <c r="S51" s="79" t="s">
        <v>211</v>
      </c>
      <c r="T51" s="80">
        <v>650.60436744297715</v>
      </c>
      <c r="U51" s="80">
        <v>948.79803585434172</v>
      </c>
      <c r="V51" s="80">
        <v>1355.4257655062024</v>
      </c>
      <c r="W51" s="80" t="s">
        <v>42</v>
      </c>
      <c r="X51" s="80" t="s">
        <v>42</v>
      </c>
      <c r="Y51" s="80" t="s">
        <v>42</v>
      </c>
      <c r="Z51" s="80" t="s">
        <v>42</v>
      </c>
      <c r="AB51" s="79" t="s">
        <v>470</v>
      </c>
      <c r="AC51" s="79">
        <v>1.6666666666666666E-2</v>
      </c>
      <c r="AD51" s="79">
        <v>4.9999999999999996E-2</v>
      </c>
      <c r="AE51" s="79">
        <v>8.3333333333333329E-2</v>
      </c>
      <c r="AF51" s="79">
        <v>0.49</v>
      </c>
      <c r="AG51" s="79">
        <v>0.66</v>
      </c>
      <c r="AH51" s="79">
        <v>0.83000000000000007</v>
      </c>
      <c r="AI51" s="79">
        <v>39</v>
      </c>
      <c r="AJ51" s="79">
        <v>71</v>
      </c>
      <c r="AK51" s="79">
        <v>103</v>
      </c>
      <c r="AL51" s="81">
        <v>2.7592248561079447E-3</v>
      </c>
      <c r="AM51" s="81">
        <v>1.6031946502958402E-2</v>
      </c>
      <c r="AN51" s="81">
        <v>0.11969501149092071</v>
      </c>
      <c r="AO51" s="81">
        <v>4.165516650274554E-3</v>
      </c>
      <c r="AP51" s="81">
        <v>4.4917485309613328E-2</v>
      </c>
      <c r="AQ51" s="81">
        <v>0.16343798270657217</v>
      </c>
      <c r="AR51" s="81" t="s">
        <v>42</v>
      </c>
      <c r="AS51" s="81" t="s">
        <v>42</v>
      </c>
      <c r="AT51" s="81" t="s">
        <v>42</v>
      </c>
      <c r="AV51" s="82">
        <v>5.0495225278270768</v>
      </c>
      <c r="AW51" s="82">
        <v>5.4825075555064986</v>
      </c>
      <c r="AX51" s="82">
        <v>5.9703412817794517</v>
      </c>
      <c r="AY51" s="82">
        <v>6.8022218176449795E-2</v>
      </c>
      <c r="AZ51" s="82">
        <v>0.20809973581580163</v>
      </c>
      <c r="BA51" s="82">
        <v>0.78545291950097518</v>
      </c>
      <c r="BB51" s="2"/>
      <c r="BC51" s="18">
        <v>568.29618318395433</v>
      </c>
      <c r="BD51" s="18">
        <v>12980.316256507009</v>
      </c>
      <c r="BE51" s="18">
        <v>284664.33888570598</v>
      </c>
      <c r="BG51" s="22">
        <v>6.5763871069540398</v>
      </c>
      <c r="BH51" s="22">
        <v>7.0093721346334616</v>
      </c>
      <c r="BI51" s="22">
        <v>7.4972058609064147</v>
      </c>
      <c r="BJ51" s="22">
        <v>0.38260421152239016</v>
      </c>
      <c r="BK51" s="22">
        <v>1.1704974855904937</v>
      </c>
      <c r="BL51" s="22">
        <v>4.4179328903107313</v>
      </c>
      <c r="BM51" s="2"/>
      <c r="BN51" s="18">
        <v>2340.9748773594283</v>
      </c>
      <c r="BO51" s="18">
        <v>26058.838279176362</v>
      </c>
      <c r="BP51" s="18">
        <v>1060596.6225148903</v>
      </c>
      <c r="BR51" s="22" t="s">
        <v>42</v>
      </c>
      <c r="BS51" s="22" t="s">
        <v>42</v>
      </c>
      <c r="BT51" s="22" t="s">
        <v>42</v>
      </c>
      <c r="BU51" s="22" t="s">
        <v>42</v>
      </c>
      <c r="BV51" s="22" t="s">
        <v>42</v>
      </c>
      <c r="BW51" s="22" t="s">
        <v>42</v>
      </c>
      <c r="BX51" s="2"/>
      <c r="BY51" s="18" t="s">
        <v>42</v>
      </c>
      <c r="BZ51" s="18" t="s">
        <v>42</v>
      </c>
      <c r="CA51" s="18" t="s">
        <v>42</v>
      </c>
      <c r="CC51">
        <v>318</v>
      </c>
      <c r="CD51">
        <v>39</v>
      </c>
    </row>
    <row r="52" spans="1:82" x14ac:dyDescent="0.2">
      <c r="A52">
        <v>318</v>
      </c>
      <c r="B52">
        <v>40</v>
      </c>
      <c r="C52" s="11" t="s">
        <v>4</v>
      </c>
      <c r="D52" s="11" t="s">
        <v>246</v>
      </c>
      <c r="E52" s="63" t="s">
        <v>362</v>
      </c>
      <c r="F52" s="11" t="s">
        <v>42</v>
      </c>
      <c r="G52" s="78">
        <v>8.9</v>
      </c>
      <c r="H52" s="78">
        <v>358</v>
      </c>
      <c r="I52" s="79">
        <v>43.699999999999996</v>
      </c>
      <c r="J52" s="79">
        <v>16</v>
      </c>
      <c r="K52" s="79" t="s">
        <v>42</v>
      </c>
      <c r="L52" s="79" t="s">
        <v>42</v>
      </c>
      <c r="M52" s="79">
        <v>40</v>
      </c>
      <c r="N52" s="79">
        <v>53</v>
      </c>
      <c r="O52" s="79">
        <v>65</v>
      </c>
      <c r="P52" s="79" t="s">
        <v>13</v>
      </c>
      <c r="Q52" s="79">
        <v>0</v>
      </c>
      <c r="R52" s="79">
        <v>0</v>
      </c>
      <c r="S52" s="79" t="s">
        <v>211</v>
      </c>
      <c r="T52" s="80">
        <v>650.60436744297715</v>
      </c>
      <c r="U52" s="80">
        <v>948.79803585434172</v>
      </c>
      <c r="V52" s="80">
        <v>1355.4257655062024</v>
      </c>
      <c r="W52" s="80" t="s">
        <v>42</v>
      </c>
      <c r="X52" s="80" t="s">
        <v>42</v>
      </c>
      <c r="Y52" s="80" t="s">
        <v>42</v>
      </c>
      <c r="Z52" s="80" t="s">
        <v>42</v>
      </c>
      <c r="AB52" s="79" t="s">
        <v>470</v>
      </c>
      <c r="AC52" s="79">
        <v>1.6666666666666666E-2</v>
      </c>
      <c r="AD52" s="79">
        <v>4.9999999999999996E-2</v>
      </c>
      <c r="AE52" s="79">
        <v>8.3333333333333329E-2</v>
      </c>
      <c r="AF52" s="79">
        <v>0.49</v>
      </c>
      <c r="AG52" s="79">
        <v>0.66</v>
      </c>
      <c r="AH52" s="79">
        <v>0.83000000000000007</v>
      </c>
      <c r="AI52" s="79">
        <v>39</v>
      </c>
      <c r="AJ52" s="79">
        <v>71</v>
      </c>
      <c r="AK52" s="79">
        <v>103</v>
      </c>
      <c r="AL52" s="81">
        <v>6.9941312825244637E-3</v>
      </c>
      <c r="AM52" s="81">
        <v>5.2438134198599176E-2</v>
      </c>
      <c r="AN52" s="81">
        <v>0.15808561933997126</v>
      </c>
      <c r="AO52" s="81">
        <v>4.165516650274554E-3</v>
      </c>
      <c r="AP52" s="81">
        <v>4.4917485309613328E-2</v>
      </c>
      <c r="AQ52" s="81">
        <v>0.16343798270657217</v>
      </c>
      <c r="AR52" s="81" t="s">
        <v>42</v>
      </c>
      <c r="AS52" s="81" t="s">
        <v>42</v>
      </c>
      <c r="AT52" s="81" t="s">
        <v>42</v>
      </c>
      <c r="AV52" s="82">
        <v>5.3979013897448596</v>
      </c>
      <c r="AW52" s="82">
        <v>5.8308864174242814</v>
      </c>
      <c r="AX52" s="82">
        <v>6.3187201436972344</v>
      </c>
      <c r="AY52" s="82">
        <v>0.1015874878807755</v>
      </c>
      <c r="AZ52" s="82">
        <v>0.31078565146673487</v>
      </c>
      <c r="BA52" s="82">
        <v>1.1730312694852716</v>
      </c>
      <c r="BB52" s="2"/>
      <c r="BC52" s="18">
        <v>642.61055689263162</v>
      </c>
      <c r="BD52" s="18">
        <v>5926.7107080830719</v>
      </c>
      <c r="BE52" s="18">
        <v>167716.50718313045</v>
      </c>
      <c r="BG52" s="22">
        <v>6.5763871069540398</v>
      </c>
      <c r="BH52" s="22">
        <v>7.0093721346334616</v>
      </c>
      <c r="BI52" s="22">
        <v>7.4972058609064147</v>
      </c>
      <c r="BJ52" s="22">
        <v>0.38260421152239016</v>
      </c>
      <c r="BK52" s="22">
        <v>1.1704974855904937</v>
      </c>
      <c r="BL52" s="22">
        <v>4.4179328903107313</v>
      </c>
      <c r="BM52" s="2"/>
      <c r="BN52" s="18">
        <v>2340.9748773594283</v>
      </c>
      <c r="BO52" s="18">
        <v>26058.838279176362</v>
      </c>
      <c r="BP52" s="18">
        <v>1060596.6225148903</v>
      </c>
      <c r="BR52" s="22" t="s">
        <v>42</v>
      </c>
      <c r="BS52" s="22" t="s">
        <v>42</v>
      </c>
      <c r="BT52" s="22" t="s">
        <v>42</v>
      </c>
      <c r="BU52" s="22" t="s">
        <v>42</v>
      </c>
      <c r="BV52" s="22" t="s">
        <v>42</v>
      </c>
      <c r="BW52" s="22" t="s">
        <v>42</v>
      </c>
      <c r="BX52" s="2"/>
      <c r="BY52" s="18" t="s">
        <v>42</v>
      </c>
      <c r="BZ52" s="18" t="s">
        <v>42</v>
      </c>
      <c r="CA52" s="18" t="s">
        <v>42</v>
      </c>
      <c r="CC52">
        <v>318</v>
      </c>
      <c r="CD52">
        <v>40</v>
      </c>
    </row>
    <row r="53" spans="1:82" x14ac:dyDescent="0.2">
      <c r="A53">
        <v>318</v>
      </c>
      <c r="B53">
        <v>41</v>
      </c>
      <c r="C53" s="11" t="s">
        <v>4</v>
      </c>
      <c r="D53" s="11" t="s">
        <v>246</v>
      </c>
      <c r="E53" s="63" t="s">
        <v>367</v>
      </c>
      <c r="F53" s="11" t="s">
        <v>42</v>
      </c>
      <c r="G53" s="78">
        <v>2.1</v>
      </c>
      <c r="H53" s="78">
        <v>85</v>
      </c>
      <c r="I53" s="79">
        <v>43.699999999999996</v>
      </c>
      <c r="J53" s="79">
        <v>16</v>
      </c>
      <c r="K53" s="79" t="s">
        <v>42</v>
      </c>
      <c r="L53" s="79" t="s">
        <v>42</v>
      </c>
      <c r="M53" s="79">
        <v>40</v>
      </c>
      <c r="N53" s="79">
        <v>53</v>
      </c>
      <c r="O53" s="79">
        <v>65</v>
      </c>
      <c r="P53" s="79" t="s">
        <v>13</v>
      </c>
      <c r="Q53" s="79">
        <v>0</v>
      </c>
      <c r="R53" s="79">
        <v>0</v>
      </c>
      <c r="S53" s="79" t="s">
        <v>211</v>
      </c>
      <c r="T53" s="80">
        <v>650.60436744297715</v>
      </c>
      <c r="U53" s="80">
        <v>948.79803585434172</v>
      </c>
      <c r="V53" s="80">
        <v>1355.4257655062024</v>
      </c>
      <c r="W53" s="80" t="s">
        <v>42</v>
      </c>
      <c r="X53" s="80" t="s">
        <v>42</v>
      </c>
      <c r="Y53" s="80" t="s">
        <v>42</v>
      </c>
      <c r="Z53" s="80" t="s">
        <v>42</v>
      </c>
      <c r="AB53" s="79" t="s">
        <v>470</v>
      </c>
      <c r="AC53" s="79">
        <v>1.6666666666666666E-2</v>
      </c>
      <c r="AD53" s="79">
        <v>4.9999999999999996E-2</v>
      </c>
      <c r="AE53" s="79">
        <v>8.3333333333333329E-2</v>
      </c>
      <c r="AF53" s="79">
        <v>0.49</v>
      </c>
      <c r="AG53" s="79">
        <v>0.66</v>
      </c>
      <c r="AH53" s="79">
        <v>0.83000000000000007</v>
      </c>
      <c r="AI53" s="79">
        <v>39</v>
      </c>
      <c r="AJ53" s="79">
        <v>71</v>
      </c>
      <c r="AK53" s="79">
        <v>103</v>
      </c>
      <c r="AL53" s="79" t="s">
        <v>42</v>
      </c>
      <c r="AM53" s="79" t="s">
        <v>42</v>
      </c>
      <c r="AN53" s="79" t="s">
        <v>42</v>
      </c>
      <c r="AO53" s="81">
        <v>4.165516650274554E-3</v>
      </c>
      <c r="AP53" s="81">
        <v>4.4917485309613328E-2</v>
      </c>
      <c r="AQ53" s="81">
        <v>0.16343798270657217</v>
      </c>
      <c r="AR53" s="81" t="s">
        <v>42</v>
      </c>
      <c r="AS53" s="81" t="s">
        <v>42</v>
      </c>
      <c r="AT53" s="81" t="s">
        <v>42</v>
      </c>
      <c r="AV53" s="82" t="s">
        <v>42</v>
      </c>
      <c r="AW53" s="82" t="s">
        <v>42</v>
      </c>
      <c r="AX53" s="82" t="s">
        <v>42</v>
      </c>
      <c r="AY53" s="82" t="s">
        <v>42</v>
      </c>
      <c r="AZ53" s="82" t="s">
        <v>42</v>
      </c>
      <c r="BA53" s="82" t="s">
        <v>42</v>
      </c>
      <c r="BB53" s="2"/>
      <c r="BC53" s="18" t="s">
        <v>42</v>
      </c>
      <c r="BD53" s="18" t="s">
        <v>42</v>
      </c>
      <c r="BE53" s="18" t="s">
        <v>42</v>
      </c>
      <c r="BG53" s="22">
        <v>6.5763871069540398</v>
      </c>
      <c r="BH53" s="22">
        <v>7.0093721346334616</v>
      </c>
      <c r="BI53" s="22">
        <v>7.4972058609064147</v>
      </c>
      <c r="BJ53" s="22">
        <v>0.38260421152239016</v>
      </c>
      <c r="BK53" s="22">
        <v>1.1704974855904937</v>
      </c>
      <c r="BL53" s="22">
        <v>4.4179328903107313</v>
      </c>
      <c r="BM53" s="2"/>
      <c r="BN53" s="18">
        <v>2340.9748773594283</v>
      </c>
      <c r="BO53" s="18">
        <v>26058.838279176362</v>
      </c>
      <c r="BP53" s="18">
        <v>1060596.6225148903</v>
      </c>
      <c r="BR53" s="22" t="s">
        <v>42</v>
      </c>
      <c r="BS53" s="22" t="s">
        <v>42</v>
      </c>
      <c r="BT53" s="22" t="s">
        <v>42</v>
      </c>
      <c r="BU53" s="22" t="s">
        <v>42</v>
      </c>
      <c r="BV53" s="22" t="s">
        <v>42</v>
      </c>
      <c r="BW53" s="22" t="s">
        <v>42</v>
      </c>
      <c r="BX53" s="2"/>
      <c r="BY53" s="22" t="s">
        <v>42</v>
      </c>
      <c r="BZ53" s="22" t="s">
        <v>42</v>
      </c>
      <c r="CA53" s="22" t="s">
        <v>42</v>
      </c>
      <c r="CC53">
        <v>318</v>
      </c>
      <c r="CD53">
        <v>41</v>
      </c>
    </row>
    <row r="54" spans="1:82" x14ac:dyDescent="0.2">
      <c r="A54">
        <v>318</v>
      </c>
      <c r="B54">
        <v>42</v>
      </c>
      <c r="C54" s="11" t="s">
        <v>4</v>
      </c>
      <c r="D54" s="11" t="s">
        <v>246</v>
      </c>
      <c r="E54" s="63" t="s">
        <v>365</v>
      </c>
      <c r="F54" s="11" t="s">
        <v>42</v>
      </c>
      <c r="G54" s="78">
        <v>7.8</v>
      </c>
      <c r="H54" s="78">
        <v>17</v>
      </c>
      <c r="I54" s="79">
        <v>43.699999999999996</v>
      </c>
      <c r="J54" s="79">
        <v>16</v>
      </c>
      <c r="K54" s="79" t="s">
        <v>42</v>
      </c>
      <c r="L54" s="79" t="s">
        <v>42</v>
      </c>
      <c r="M54" s="79">
        <v>40</v>
      </c>
      <c r="N54" s="79">
        <v>53</v>
      </c>
      <c r="O54" s="79">
        <v>65</v>
      </c>
      <c r="P54" s="79" t="s">
        <v>13</v>
      </c>
      <c r="Q54" s="79">
        <v>0</v>
      </c>
      <c r="R54" s="79">
        <v>0</v>
      </c>
      <c r="S54" s="79" t="s">
        <v>211</v>
      </c>
      <c r="T54" s="80">
        <v>650.60436744297715</v>
      </c>
      <c r="U54" s="80">
        <v>948.79803585434172</v>
      </c>
      <c r="V54" s="80">
        <v>1355.4257655062024</v>
      </c>
      <c r="W54" s="80" t="s">
        <v>42</v>
      </c>
      <c r="X54" s="80" t="s">
        <v>42</v>
      </c>
      <c r="Y54" s="80" t="s">
        <v>42</v>
      </c>
      <c r="Z54" s="80" t="s">
        <v>42</v>
      </c>
      <c r="AB54" s="79" t="s">
        <v>470</v>
      </c>
      <c r="AC54" s="79">
        <v>1.6666666666666666E-2</v>
      </c>
      <c r="AD54" s="79">
        <v>4.9999999999999996E-2</v>
      </c>
      <c r="AE54" s="79">
        <v>8.3333333333333329E-2</v>
      </c>
      <c r="AF54" s="79">
        <v>0.49</v>
      </c>
      <c r="AG54" s="79">
        <v>0.66</v>
      </c>
      <c r="AH54" s="79">
        <v>0.83000000000000007</v>
      </c>
      <c r="AI54" s="79">
        <v>39</v>
      </c>
      <c r="AJ54" s="79">
        <v>71</v>
      </c>
      <c r="AK54" s="79">
        <v>103</v>
      </c>
      <c r="AL54" s="81">
        <v>3.9936157843626944E-3</v>
      </c>
      <c r="AM54" s="81">
        <v>4.4361738719221278E-2</v>
      </c>
      <c r="AN54" s="81">
        <v>0.16326360308893967</v>
      </c>
      <c r="AO54" s="81">
        <v>4.165516650274554E-3</v>
      </c>
      <c r="AP54" s="81">
        <v>4.4917485309613328E-2</v>
      </c>
      <c r="AQ54" s="81">
        <v>0.16343798270657217</v>
      </c>
      <c r="AR54" s="81" t="s">
        <v>42</v>
      </c>
      <c r="AS54" s="81" t="s">
        <v>42</v>
      </c>
      <c r="AT54" s="81" t="s">
        <v>42</v>
      </c>
      <c r="AV54" s="82">
        <v>5.3024090498208052</v>
      </c>
      <c r="AW54" s="82">
        <v>5.735394077500227</v>
      </c>
      <c r="AX54" s="82">
        <v>6.2232278037731801</v>
      </c>
      <c r="AY54" s="82">
        <v>9.1011034515598166E-2</v>
      </c>
      <c r="AZ54" s="82">
        <v>0.2784292066143742</v>
      </c>
      <c r="BA54" s="82">
        <v>1.050904905536139</v>
      </c>
      <c r="BB54" s="2"/>
      <c r="BC54" s="18">
        <v>557.44840119704384</v>
      </c>
      <c r="BD54" s="18">
        <v>6276.3366507484297</v>
      </c>
      <c r="BE54" s="18">
        <v>263146.22194028704</v>
      </c>
      <c r="BG54" s="22">
        <v>6.5763871069540398</v>
      </c>
      <c r="BH54" s="22">
        <v>7.0093721346334616</v>
      </c>
      <c r="BI54" s="22">
        <v>7.4972058609064147</v>
      </c>
      <c r="BJ54" s="22">
        <v>0.38260421152239016</v>
      </c>
      <c r="BK54" s="22">
        <v>1.1704974855904937</v>
      </c>
      <c r="BL54" s="22">
        <v>4.4179328903107313</v>
      </c>
      <c r="BM54" s="2"/>
      <c r="BN54" s="18">
        <v>2340.9748773594283</v>
      </c>
      <c r="BO54" s="18">
        <v>26058.838279176362</v>
      </c>
      <c r="BP54" s="18">
        <v>1060596.6225148903</v>
      </c>
      <c r="BR54" s="22" t="s">
        <v>42</v>
      </c>
      <c r="BS54" s="22" t="s">
        <v>42</v>
      </c>
      <c r="BT54" s="22" t="s">
        <v>42</v>
      </c>
      <c r="BU54" s="22" t="s">
        <v>42</v>
      </c>
      <c r="BV54" s="22" t="s">
        <v>42</v>
      </c>
      <c r="BW54" s="22" t="s">
        <v>42</v>
      </c>
      <c r="BX54" s="2"/>
      <c r="BY54" s="18" t="s">
        <v>42</v>
      </c>
      <c r="BZ54" s="18" t="s">
        <v>42</v>
      </c>
      <c r="CA54" s="18" t="s">
        <v>42</v>
      </c>
      <c r="CC54">
        <v>318</v>
      </c>
      <c r="CD54">
        <v>42</v>
      </c>
    </row>
    <row r="55" spans="1:82" x14ac:dyDescent="0.2">
      <c r="A55">
        <v>319</v>
      </c>
      <c r="B55">
        <v>43</v>
      </c>
      <c r="C55" s="11" t="s">
        <v>4</v>
      </c>
      <c r="D55" s="11" t="s">
        <v>247</v>
      </c>
      <c r="E55" s="63" t="s">
        <v>288</v>
      </c>
      <c r="F55" s="11" t="s">
        <v>42</v>
      </c>
      <c r="G55" s="78">
        <v>23.7</v>
      </c>
      <c r="H55" s="78">
        <v>343</v>
      </c>
      <c r="I55" s="79">
        <v>48</v>
      </c>
      <c r="J55" s="79">
        <v>2</v>
      </c>
      <c r="K55" s="79" t="s">
        <v>42</v>
      </c>
      <c r="L55" s="79" t="s">
        <v>42</v>
      </c>
      <c r="M55" s="79">
        <v>40</v>
      </c>
      <c r="N55" s="79">
        <v>53</v>
      </c>
      <c r="O55" s="79">
        <v>65</v>
      </c>
      <c r="P55" s="79" t="s">
        <v>13</v>
      </c>
      <c r="Q55" s="79">
        <v>0</v>
      </c>
      <c r="R55" s="79">
        <v>0</v>
      </c>
      <c r="S55" s="79" t="s">
        <v>211</v>
      </c>
      <c r="T55" s="80">
        <v>760.76403814532148</v>
      </c>
      <c r="U55" s="80">
        <v>1109.4475556285938</v>
      </c>
      <c r="V55" s="80">
        <v>1584.9250794694199</v>
      </c>
      <c r="W55" s="80" t="s">
        <v>42</v>
      </c>
      <c r="X55" s="80" t="s">
        <v>42</v>
      </c>
      <c r="Y55" s="80" t="s">
        <v>42</v>
      </c>
      <c r="Z55" s="80" t="s">
        <v>42</v>
      </c>
      <c r="AB55" s="79" t="s">
        <v>470</v>
      </c>
      <c r="AC55" s="79">
        <v>1.6666666666666666E-2</v>
      </c>
      <c r="AD55" s="79">
        <v>4.9999999999999996E-2</v>
      </c>
      <c r="AE55" s="79">
        <v>8.3333333333333329E-2</v>
      </c>
      <c r="AF55" s="79">
        <v>0.49</v>
      </c>
      <c r="AG55" s="79">
        <v>0.66</v>
      </c>
      <c r="AH55" s="79">
        <v>0.83000000000000007</v>
      </c>
      <c r="AI55" s="79">
        <v>39</v>
      </c>
      <c r="AJ55" s="79">
        <v>71</v>
      </c>
      <c r="AK55" s="79">
        <v>103</v>
      </c>
      <c r="AL55" s="81">
        <v>8.8382254711401285E-3</v>
      </c>
      <c r="AM55" s="81">
        <v>4.7487744947280981E-2</v>
      </c>
      <c r="AN55" s="81">
        <v>0.16356257753141296</v>
      </c>
      <c r="AO55" s="81">
        <v>6.4158453640942546E-3</v>
      </c>
      <c r="AP55" s="81">
        <v>5.1192065483921946E-2</v>
      </c>
      <c r="AQ55" s="81">
        <v>0.16065533919147454</v>
      </c>
      <c r="AR55" s="81" t="s">
        <v>42</v>
      </c>
      <c r="AS55" s="81" t="s">
        <v>42</v>
      </c>
      <c r="AT55" s="81" t="s">
        <v>42</v>
      </c>
      <c r="AV55" s="82">
        <v>6.1068319553535106</v>
      </c>
      <c r="AW55" s="82">
        <v>6.5398169830329325</v>
      </c>
      <c r="AX55" s="82">
        <v>7.0276507093058855</v>
      </c>
      <c r="AY55" s="82">
        <v>0.2297764438430637</v>
      </c>
      <c r="AZ55" s="82">
        <v>0.70295292541622389</v>
      </c>
      <c r="BA55" s="82">
        <v>2.653229834124561</v>
      </c>
      <c r="BB55" s="2"/>
      <c r="BC55" s="18">
        <v>1404.8228348500686</v>
      </c>
      <c r="BD55" s="18">
        <v>14802.828102210677</v>
      </c>
      <c r="BE55" s="18">
        <v>300199.38309882185</v>
      </c>
      <c r="BG55" s="22">
        <v>6.6443201076293148</v>
      </c>
      <c r="BH55" s="22">
        <v>7.0773051353087366</v>
      </c>
      <c r="BI55" s="22">
        <v>7.5651388615816915</v>
      </c>
      <c r="BJ55" s="22">
        <v>0.41372926967123941</v>
      </c>
      <c r="BK55" s="22">
        <v>1.2657180848544773</v>
      </c>
      <c r="BL55" s="22">
        <v>4.777334104326358</v>
      </c>
      <c r="BM55" s="2"/>
      <c r="BN55" s="18">
        <v>2575.2600053842139</v>
      </c>
      <c r="BO55" s="18">
        <v>24724.887985854086</v>
      </c>
      <c r="BP55" s="18">
        <v>744614.90781282098</v>
      </c>
      <c r="BR55" s="22" t="s">
        <v>42</v>
      </c>
      <c r="BS55" s="22" t="s">
        <v>42</v>
      </c>
      <c r="BT55" s="22" t="s">
        <v>42</v>
      </c>
      <c r="BU55" s="22" t="s">
        <v>42</v>
      </c>
      <c r="BV55" s="22" t="s">
        <v>42</v>
      </c>
      <c r="BW55" s="22" t="s">
        <v>42</v>
      </c>
      <c r="BX55" s="2"/>
      <c r="BY55" s="18" t="s">
        <v>42</v>
      </c>
      <c r="BZ55" s="18" t="s">
        <v>42</v>
      </c>
      <c r="CA55" s="18" t="s">
        <v>42</v>
      </c>
      <c r="CC55">
        <v>319</v>
      </c>
      <c r="CD55">
        <v>43</v>
      </c>
    </row>
    <row r="56" spans="1:82" x14ac:dyDescent="0.2">
      <c r="A56">
        <v>319</v>
      </c>
      <c r="B56">
        <v>44</v>
      </c>
      <c r="C56" s="11" t="s">
        <v>4</v>
      </c>
      <c r="D56" s="11" t="s">
        <v>247</v>
      </c>
      <c r="E56" s="63" t="s">
        <v>363</v>
      </c>
      <c r="F56" s="11" t="s">
        <v>42</v>
      </c>
      <c r="G56" s="78">
        <v>5.5</v>
      </c>
      <c r="H56" s="78">
        <v>56</v>
      </c>
      <c r="I56" s="79">
        <v>48</v>
      </c>
      <c r="J56" s="79">
        <v>2</v>
      </c>
      <c r="K56" s="79" t="s">
        <v>42</v>
      </c>
      <c r="L56" s="79" t="s">
        <v>42</v>
      </c>
      <c r="M56" s="79">
        <v>40</v>
      </c>
      <c r="N56" s="79">
        <v>53</v>
      </c>
      <c r="O56" s="79">
        <v>65</v>
      </c>
      <c r="P56" s="79" t="s">
        <v>13</v>
      </c>
      <c r="Q56" s="79">
        <v>0</v>
      </c>
      <c r="R56" s="79">
        <v>0</v>
      </c>
      <c r="S56" s="79" t="s">
        <v>211</v>
      </c>
      <c r="T56" s="80">
        <v>760.76403814532148</v>
      </c>
      <c r="U56" s="80">
        <v>1109.4475556285938</v>
      </c>
      <c r="V56" s="80">
        <v>1584.9250794694199</v>
      </c>
      <c r="W56" s="80" t="s">
        <v>42</v>
      </c>
      <c r="X56" s="80" t="s">
        <v>42</v>
      </c>
      <c r="Y56" s="80" t="s">
        <v>42</v>
      </c>
      <c r="Z56" s="80" t="s">
        <v>42</v>
      </c>
      <c r="AB56" s="79" t="s">
        <v>470</v>
      </c>
      <c r="AC56" s="79">
        <v>1.6666666666666666E-2</v>
      </c>
      <c r="AD56" s="79">
        <v>4.9999999999999996E-2</v>
      </c>
      <c r="AE56" s="79">
        <v>8.3333333333333329E-2</v>
      </c>
      <c r="AF56" s="79">
        <v>0.49</v>
      </c>
      <c r="AG56" s="79">
        <v>0.66</v>
      </c>
      <c r="AH56" s="79">
        <v>0.83000000000000007</v>
      </c>
      <c r="AI56" s="79">
        <v>39</v>
      </c>
      <c r="AJ56" s="79">
        <v>71</v>
      </c>
      <c r="AK56" s="79">
        <v>103</v>
      </c>
      <c r="AL56" s="81">
        <v>2.7592248561079447E-3</v>
      </c>
      <c r="AM56" s="81">
        <v>1.6031946502958402E-2</v>
      </c>
      <c r="AN56" s="81">
        <v>0.11969501149092071</v>
      </c>
      <c r="AO56" s="81">
        <v>6.4158453640942546E-3</v>
      </c>
      <c r="AP56" s="81">
        <v>5.1192065483921946E-2</v>
      </c>
      <c r="AQ56" s="81">
        <v>0.16065533919147454</v>
      </c>
      <c r="AR56" s="81" t="s">
        <v>42</v>
      </c>
      <c r="AS56" s="81" t="s">
        <v>42</v>
      </c>
      <c r="AT56" s="81" t="s">
        <v>42</v>
      </c>
      <c r="AV56" s="82">
        <v>5.0495225278270768</v>
      </c>
      <c r="AW56" s="82">
        <v>5.4825075555064986</v>
      </c>
      <c r="AX56" s="82">
        <v>5.9703412817794517</v>
      </c>
      <c r="AY56" s="82">
        <v>6.8022218176449795E-2</v>
      </c>
      <c r="AZ56" s="82">
        <v>0.20809973581580163</v>
      </c>
      <c r="BA56" s="82">
        <v>0.78545291950097518</v>
      </c>
      <c r="BB56" s="2"/>
      <c r="BC56" s="18">
        <v>568.29618318395433</v>
      </c>
      <c r="BD56" s="18">
        <v>12980.316256507009</v>
      </c>
      <c r="BE56" s="18">
        <v>284664.33888570598</v>
      </c>
      <c r="BG56" s="22">
        <v>6.6443201076293148</v>
      </c>
      <c r="BH56" s="22">
        <v>7.0773051353087366</v>
      </c>
      <c r="BI56" s="22">
        <v>7.5651388615816915</v>
      </c>
      <c r="BJ56" s="22">
        <v>0.41372926967123941</v>
      </c>
      <c r="BK56" s="22">
        <v>1.2657180848544773</v>
      </c>
      <c r="BL56" s="22">
        <v>4.777334104326358</v>
      </c>
      <c r="BM56" s="2"/>
      <c r="BN56" s="18">
        <v>2575.2600053842139</v>
      </c>
      <c r="BO56" s="18">
        <v>24724.887985854086</v>
      </c>
      <c r="BP56" s="18">
        <v>744614.90781282098</v>
      </c>
      <c r="BR56" s="22" t="s">
        <v>42</v>
      </c>
      <c r="BS56" s="22" t="s">
        <v>42</v>
      </c>
      <c r="BT56" s="22" t="s">
        <v>42</v>
      </c>
      <c r="BU56" s="22" t="s">
        <v>42</v>
      </c>
      <c r="BV56" s="22" t="s">
        <v>42</v>
      </c>
      <c r="BW56" s="22" t="s">
        <v>42</v>
      </c>
      <c r="BX56" s="2"/>
      <c r="BY56" s="18" t="s">
        <v>42</v>
      </c>
      <c r="BZ56" s="18" t="s">
        <v>42</v>
      </c>
      <c r="CA56" s="18" t="s">
        <v>42</v>
      </c>
      <c r="CC56">
        <v>319</v>
      </c>
      <c r="CD56">
        <v>44</v>
      </c>
    </row>
    <row r="57" spans="1:82" x14ac:dyDescent="0.2">
      <c r="A57">
        <v>319</v>
      </c>
      <c r="B57">
        <v>45</v>
      </c>
      <c r="C57" s="11" t="s">
        <v>4</v>
      </c>
      <c r="D57" s="11" t="s">
        <v>247</v>
      </c>
      <c r="E57" s="63" t="s">
        <v>364</v>
      </c>
      <c r="F57" s="11" t="s">
        <v>42</v>
      </c>
      <c r="G57" s="78">
        <v>8.9</v>
      </c>
      <c r="H57" s="78">
        <v>358</v>
      </c>
      <c r="I57" s="79">
        <v>48</v>
      </c>
      <c r="J57" s="79">
        <v>2</v>
      </c>
      <c r="K57" s="79" t="s">
        <v>42</v>
      </c>
      <c r="L57" s="79" t="s">
        <v>42</v>
      </c>
      <c r="M57" s="79">
        <v>40</v>
      </c>
      <c r="N57" s="79">
        <v>53</v>
      </c>
      <c r="O57" s="79">
        <v>65</v>
      </c>
      <c r="P57" s="79" t="s">
        <v>13</v>
      </c>
      <c r="Q57" s="79">
        <v>0</v>
      </c>
      <c r="R57" s="79">
        <v>0</v>
      </c>
      <c r="S57" s="79" t="s">
        <v>211</v>
      </c>
      <c r="T57" s="80">
        <v>760.76403814532148</v>
      </c>
      <c r="U57" s="80">
        <v>1109.4475556285938</v>
      </c>
      <c r="V57" s="80">
        <v>1584.9250794694199</v>
      </c>
      <c r="W57" s="80" t="s">
        <v>42</v>
      </c>
      <c r="X57" s="80" t="s">
        <v>42</v>
      </c>
      <c r="Y57" s="80" t="s">
        <v>42</v>
      </c>
      <c r="Z57" s="80" t="s">
        <v>42</v>
      </c>
      <c r="AB57" s="79" t="s">
        <v>470</v>
      </c>
      <c r="AC57" s="79">
        <v>1.6666666666666666E-2</v>
      </c>
      <c r="AD57" s="79">
        <v>4.9999999999999996E-2</v>
      </c>
      <c r="AE57" s="79">
        <v>8.3333333333333329E-2</v>
      </c>
      <c r="AF57" s="79">
        <v>0.49</v>
      </c>
      <c r="AG57" s="79">
        <v>0.66</v>
      </c>
      <c r="AH57" s="79">
        <v>0.83000000000000007</v>
      </c>
      <c r="AI57" s="79">
        <v>39</v>
      </c>
      <c r="AJ57" s="79">
        <v>71</v>
      </c>
      <c r="AK57" s="79">
        <v>103</v>
      </c>
      <c r="AL57" s="81">
        <v>6.9941312825244637E-3</v>
      </c>
      <c r="AM57" s="81">
        <v>5.2438134198599176E-2</v>
      </c>
      <c r="AN57" s="81">
        <v>0.15808561933997126</v>
      </c>
      <c r="AO57" s="81">
        <v>6.4158453640942546E-3</v>
      </c>
      <c r="AP57" s="81">
        <v>5.1192065483921946E-2</v>
      </c>
      <c r="AQ57" s="81">
        <v>0.16065533919147454</v>
      </c>
      <c r="AR57" s="81" t="s">
        <v>42</v>
      </c>
      <c r="AS57" s="81" t="s">
        <v>42</v>
      </c>
      <c r="AT57" s="81" t="s">
        <v>42</v>
      </c>
      <c r="AV57" s="82">
        <v>5.3979013897448596</v>
      </c>
      <c r="AW57" s="82">
        <v>5.8308864174242814</v>
      </c>
      <c r="AX57" s="82">
        <v>6.3187201436972344</v>
      </c>
      <c r="AY57" s="82">
        <v>0.1015874878807755</v>
      </c>
      <c r="AZ57" s="82">
        <v>0.31078565146673487</v>
      </c>
      <c r="BA57" s="82">
        <v>1.1730312694852716</v>
      </c>
      <c r="BB57" s="2"/>
      <c r="BC57" s="18">
        <v>642.61055689263162</v>
      </c>
      <c r="BD57" s="18">
        <v>5926.7107080830719</v>
      </c>
      <c r="BE57" s="18">
        <v>167716.50718313045</v>
      </c>
      <c r="BG57" s="22">
        <v>6.6443201076293148</v>
      </c>
      <c r="BH57" s="22">
        <v>7.0773051353087366</v>
      </c>
      <c r="BI57" s="22">
        <v>7.5651388615816915</v>
      </c>
      <c r="BJ57" s="22">
        <v>0.41372926967123941</v>
      </c>
      <c r="BK57" s="22">
        <v>1.2657180848544773</v>
      </c>
      <c r="BL57" s="22">
        <v>4.777334104326358</v>
      </c>
      <c r="BM57" s="2"/>
      <c r="BN57" s="18">
        <v>2575.2600053842139</v>
      </c>
      <c r="BO57" s="18">
        <v>24724.887985854086</v>
      </c>
      <c r="BP57" s="18">
        <v>744614.90781282098</v>
      </c>
      <c r="BR57" s="22" t="s">
        <v>42</v>
      </c>
      <c r="BS57" s="22" t="s">
        <v>42</v>
      </c>
      <c r="BT57" s="22" t="s">
        <v>42</v>
      </c>
      <c r="BU57" s="22" t="s">
        <v>42</v>
      </c>
      <c r="BV57" s="22" t="s">
        <v>42</v>
      </c>
      <c r="BW57" s="22" t="s">
        <v>42</v>
      </c>
      <c r="BX57" s="2"/>
      <c r="BY57" s="18" t="s">
        <v>42</v>
      </c>
      <c r="BZ57" s="18" t="s">
        <v>42</v>
      </c>
      <c r="CA57" s="18" t="s">
        <v>42</v>
      </c>
      <c r="CC57">
        <v>319</v>
      </c>
      <c r="CD57">
        <v>45</v>
      </c>
    </row>
    <row r="58" spans="1:82" x14ac:dyDescent="0.2">
      <c r="A58">
        <v>319</v>
      </c>
      <c r="B58">
        <v>46</v>
      </c>
      <c r="C58" s="11" t="s">
        <v>4</v>
      </c>
      <c r="D58" s="11" t="s">
        <v>247</v>
      </c>
      <c r="E58" s="63" t="s">
        <v>368</v>
      </c>
      <c r="F58" s="11" t="s">
        <v>42</v>
      </c>
      <c r="G58" s="78">
        <v>2.1</v>
      </c>
      <c r="H58" s="78">
        <v>85</v>
      </c>
      <c r="I58" s="79">
        <v>48</v>
      </c>
      <c r="J58" s="79">
        <v>2</v>
      </c>
      <c r="K58" s="79" t="s">
        <v>42</v>
      </c>
      <c r="L58" s="79" t="s">
        <v>42</v>
      </c>
      <c r="M58" s="79">
        <v>40</v>
      </c>
      <c r="N58" s="79">
        <v>53</v>
      </c>
      <c r="O58" s="79">
        <v>65</v>
      </c>
      <c r="P58" s="79" t="s">
        <v>14</v>
      </c>
      <c r="Q58" s="79">
        <v>0</v>
      </c>
      <c r="R58" s="79">
        <v>0</v>
      </c>
      <c r="S58" s="79" t="s">
        <v>211</v>
      </c>
      <c r="T58" s="80">
        <v>760.76403814532148</v>
      </c>
      <c r="U58" s="80">
        <v>1109.4475556285938</v>
      </c>
      <c r="V58" s="80">
        <v>1584.9250794694199</v>
      </c>
      <c r="W58" s="80" t="s">
        <v>42</v>
      </c>
      <c r="X58" s="80" t="s">
        <v>42</v>
      </c>
      <c r="Y58" s="80" t="s">
        <v>42</v>
      </c>
      <c r="Z58" s="80" t="s">
        <v>42</v>
      </c>
      <c r="AB58" s="79" t="s">
        <v>470</v>
      </c>
      <c r="AC58" s="79">
        <v>1.6666666666666666E-2</v>
      </c>
      <c r="AD58" s="79">
        <v>4.9999999999999996E-2</v>
      </c>
      <c r="AE58" s="79">
        <v>8.3333333333333329E-2</v>
      </c>
      <c r="AF58" s="79">
        <v>0.49</v>
      </c>
      <c r="AG58" s="79">
        <v>0.66</v>
      </c>
      <c r="AH58" s="79">
        <v>0.83000000000000007</v>
      </c>
      <c r="AI58" s="79">
        <v>39</v>
      </c>
      <c r="AJ58" s="79">
        <v>71</v>
      </c>
      <c r="AK58" s="79">
        <v>103</v>
      </c>
      <c r="AL58" s="79" t="s">
        <v>42</v>
      </c>
      <c r="AM58" s="79" t="s">
        <v>42</v>
      </c>
      <c r="AN58" s="79" t="s">
        <v>42</v>
      </c>
      <c r="AO58" s="81">
        <v>6.4158453640942546E-3</v>
      </c>
      <c r="AP58" s="81">
        <v>5.1192065483921946E-2</v>
      </c>
      <c r="AQ58" s="81">
        <v>0.16065533919147454</v>
      </c>
      <c r="AR58" s="81" t="s">
        <v>42</v>
      </c>
      <c r="AS58" s="81" t="s">
        <v>42</v>
      </c>
      <c r="AT58" s="81" t="s">
        <v>42</v>
      </c>
      <c r="AV58" s="79" t="s">
        <v>42</v>
      </c>
      <c r="AW58" s="79" t="s">
        <v>42</v>
      </c>
      <c r="AX58" s="79" t="s">
        <v>42</v>
      </c>
      <c r="AY58" s="79" t="s">
        <v>42</v>
      </c>
      <c r="AZ58" s="79" t="s">
        <v>42</v>
      </c>
      <c r="BA58" s="79" t="s">
        <v>42</v>
      </c>
      <c r="BB58" s="2"/>
      <c r="BC58" s="18" t="s">
        <v>42</v>
      </c>
      <c r="BD58" s="18" t="s">
        <v>42</v>
      </c>
      <c r="BE58" s="18" t="s">
        <v>42</v>
      </c>
      <c r="BG58" s="22">
        <v>6.6443201076293148</v>
      </c>
      <c r="BH58" s="22">
        <v>7.0773051353087366</v>
      </c>
      <c r="BI58" s="22">
        <v>7.5651388615816915</v>
      </c>
      <c r="BJ58" s="22">
        <v>0.41372926967123941</v>
      </c>
      <c r="BK58" s="22">
        <v>1.2657180848544773</v>
      </c>
      <c r="BL58" s="22">
        <v>4.777334104326358</v>
      </c>
      <c r="BM58" s="2"/>
      <c r="BN58" s="18">
        <v>2575.2600053842139</v>
      </c>
      <c r="BO58" s="18">
        <v>24724.887985854086</v>
      </c>
      <c r="BP58" s="18">
        <v>744614.90781282098</v>
      </c>
      <c r="BR58" s="22" t="s">
        <v>42</v>
      </c>
      <c r="BS58" s="22" t="s">
        <v>42</v>
      </c>
      <c r="BT58" s="22" t="s">
        <v>42</v>
      </c>
      <c r="BU58" s="22" t="s">
        <v>42</v>
      </c>
      <c r="BV58" s="22" t="s">
        <v>42</v>
      </c>
      <c r="BW58" s="22" t="s">
        <v>42</v>
      </c>
      <c r="BX58" s="2"/>
      <c r="BY58" s="18" t="s">
        <v>42</v>
      </c>
      <c r="BZ58" s="18" t="s">
        <v>42</v>
      </c>
      <c r="CA58" s="18" t="s">
        <v>42</v>
      </c>
      <c r="CC58">
        <v>319</v>
      </c>
      <c r="CD58">
        <v>46</v>
      </c>
    </row>
    <row r="59" spans="1:82" x14ac:dyDescent="0.2">
      <c r="A59">
        <v>319</v>
      </c>
      <c r="B59">
        <v>47</v>
      </c>
      <c r="C59" s="11" t="s">
        <v>4</v>
      </c>
      <c r="D59" s="11" t="s">
        <v>247</v>
      </c>
      <c r="E59" s="63" t="s">
        <v>366</v>
      </c>
      <c r="F59" s="11" t="s">
        <v>42</v>
      </c>
      <c r="G59" s="78">
        <v>7.8</v>
      </c>
      <c r="H59" s="78">
        <v>17</v>
      </c>
      <c r="I59" s="79">
        <v>48</v>
      </c>
      <c r="J59" s="79">
        <v>2</v>
      </c>
      <c r="K59" s="79" t="s">
        <v>42</v>
      </c>
      <c r="L59" s="79" t="s">
        <v>42</v>
      </c>
      <c r="M59" s="79">
        <v>40</v>
      </c>
      <c r="N59" s="79">
        <v>53</v>
      </c>
      <c r="O59" s="79">
        <v>65</v>
      </c>
      <c r="P59" s="79" t="s">
        <v>13</v>
      </c>
      <c r="Q59" s="79">
        <v>0</v>
      </c>
      <c r="R59" s="79">
        <v>0</v>
      </c>
      <c r="S59" s="79" t="s">
        <v>211</v>
      </c>
      <c r="T59" s="80">
        <v>760.76403814532148</v>
      </c>
      <c r="U59" s="80">
        <v>1109.4475556285938</v>
      </c>
      <c r="V59" s="80">
        <v>1584.9250794694199</v>
      </c>
      <c r="W59" s="80" t="s">
        <v>42</v>
      </c>
      <c r="X59" s="80" t="s">
        <v>42</v>
      </c>
      <c r="Y59" s="80" t="s">
        <v>42</v>
      </c>
      <c r="Z59" s="80" t="s">
        <v>42</v>
      </c>
      <c r="AB59" s="79" t="s">
        <v>470</v>
      </c>
      <c r="AC59" s="79">
        <v>1.6666666666666666E-2</v>
      </c>
      <c r="AD59" s="79">
        <v>4.9999999999999996E-2</v>
      </c>
      <c r="AE59" s="79">
        <v>8.3333333333333329E-2</v>
      </c>
      <c r="AF59" s="79">
        <v>0.49</v>
      </c>
      <c r="AG59" s="79">
        <v>0.66</v>
      </c>
      <c r="AH59" s="79">
        <v>0.83000000000000007</v>
      </c>
      <c r="AI59" s="79">
        <v>39</v>
      </c>
      <c r="AJ59" s="79">
        <v>71</v>
      </c>
      <c r="AK59" s="79">
        <v>103</v>
      </c>
      <c r="AL59" s="81">
        <v>3.9936157843626944E-3</v>
      </c>
      <c r="AM59" s="81">
        <v>4.4361738719221278E-2</v>
      </c>
      <c r="AN59" s="81">
        <v>0.16326360308893967</v>
      </c>
      <c r="AO59" s="81">
        <v>6.4158453640942546E-3</v>
      </c>
      <c r="AP59" s="81">
        <v>5.1192065483921946E-2</v>
      </c>
      <c r="AQ59" s="81">
        <v>0.16065533919147454</v>
      </c>
      <c r="AR59" s="81" t="s">
        <v>42</v>
      </c>
      <c r="AS59" s="81" t="s">
        <v>42</v>
      </c>
      <c r="AT59" s="81" t="s">
        <v>42</v>
      </c>
      <c r="AV59" s="82">
        <v>5.3024090498208052</v>
      </c>
      <c r="AW59" s="82">
        <v>5.735394077500227</v>
      </c>
      <c r="AX59" s="82">
        <v>6.2232278037731801</v>
      </c>
      <c r="AY59" s="82">
        <v>9.1011034515598166E-2</v>
      </c>
      <c r="AZ59" s="82">
        <v>0.2784292066143742</v>
      </c>
      <c r="BA59" s="82">
        <v>1.050904905536139</v>
      </c>
      <c r="BB59" s="2"/>
      <c r="BC59" s="18">
        <v>557.44840119704384</v>
      </c>
      <c r="BD59" s="18">
        <v>6276.3366507484297</v>
      </c>
      <c r="BE59" s="18">
        <v>263146.22194028704</v>
      </c>
      <c r="BG59" s="22">
        <v>6.6443201076293148</v>
      </c>
      <c r="BH59" s="22">
        <v>7.0773051353087366</v>
      </c>
      <c r="BI59" s="22">
        <v>7.5651388615816915</v>
      </c>
      <c r="BJ59" s="22">
        <v>0.41372926967123941</v>
      </c>
      <c r="BK59" s="22">
        <v>1.2657180848544773</v>
      </c>
      <c r="BL59" s="22">
        <v>4.777334104326358</v>
      </c>
      <c r="BM59" s="2"/>
      <c r="BN59" s="18">
        <v>2575.2600053842139</v>
      </c>
      <c r="BO59" s="18">
        <v>24724.887985854086</v>
      </c>
      <c r="BP59" s="18">
        <v>744614.90781282098</v>
      </c>
      <c r="BR59" s="22" t="s">
        <v>42</v>
      </c>
      <c r="BS59" s="22" t="s">
        <v>42</v>
      </c>
      <c r="BT59" s="22" t="s">
        <v>42</v>
      </c>
      <c r="BU59" s="22" t="s">
        <v>42</v>
      </c>
      <c r="BV59" s="22" t="s">
        <v>42</v>
      </c>
      <c r="BW59" s="22" t="s">
        <v>42</v>
      </c>
      <c r="BX59" s="2"/>
      <c r="BY59" s="18" t="s">
        <v>42</v>
      </c>
      <c r="BZ59" s="18" t="s">
        <v>42</v>
      </c>
      <c r="CA59" s="18" t="s">
        <v>42</v>
      </c>
      <c r="CC59">
        <v>319</v>
      </c>
      <c r="CD59">
        <v>47</v>
      </c>
    </row>
    <row r="60" spans="1:82" x14ac:dyDescent="0.2">
      <c r="A60">
        <v>320</v>
      </c>
      <c r="B60">
        <v>48</v>
      </c>
      <c r="C60" s="11" t="s">
        <v>4</v>
      </c>
      <c r="D60" s="11" t="s">
        <v>248</v>
      </c>
      <c r="E60" s="63" t="s">
        <v>249</v>
      </c>
      <c r="F60" s="11" t="s">
        <v>42</v>
      </c>
      <c r="G60" s="78">
        <v>14.9</v>
      </c>
      <c r="H60" s="78">
        <v>327</v>
      </c>
      <c r="I60" s="79">
        <v>56.1</v>
      </c>
      <c r="J60" s="79">
        <v>358</v>
      </c>
      <c r="K60" s="79" t="s">
        <v>42</v>
      </c>
      <c r="L60" s="79" t="s">
        <v>42</v>
      </c>
      <c r="M60" s="79">
        <v>40</v>
      </c>
      <c r="N60" s="79">
        <v>53</v>
      </c>
      <c r="O60" s="79">
        <v>65</v>
      </c>
      <c r="P60" s="79" t="s">
        <v>13</v>
      </c>
      <c r="Q60" s="79">
        <v>0</v>
      </c>
      <c r="R60" s="79">
        <v>0</v>
      </c>
      <c r="S60" s="79" t="s">
        <v>211</v>
      </c>
      <c r="T60" s="80">
        <v>986.55056160318725</v>
      </c>
      <c r="U60" s="80">
        <v>1438.7195690046478</v>
      </c>
      <c r="V60" s="80">
        <v>2055.3136700066398</v>
      </c>
      <c r="W60" s="80" t="s">
        <v>42</v>
      </c>
      <c r="X60" s="80" t="s">
        <v>42</v>
      </c>
      <c r="Y60" s="80" t="s">
        <v>42</v>
      </c>
      <c r="Z60" s="80" t="s">
        <v>42</v>
      </c>
      <c r="AB60" s="79" t="s">
        <v>470</v>
      </c>
      <c r="AC60" s="79">
        <v>1.6666666666666666E-2</v>
      </c>
      <c r="AD60" s="79">
        <v>4.9999999999999996E-2</v>
      </c>
      <c r="AE60" s="79">
        <v>8.3333333333333329E-2</v>
      </c>
      <c r="AF60" s="79">
        <v>0.49</v>
      </c>
      <c r="AG60" s="79">
        <v>0.66</v>
      </c>
      <c r="AH60" s="79">
        <v>0.83000000000000007</v>
      </c>
      <c r="AI60" s="79">
        <v>39</v>
      </c>
      <c r="AJ60" s="79">
        <v>71</v>
      </c>
      <c r="AK60" s="79">
        <v>103</v>
      </c>
      <c r="AL60" s="81">
        <v>7.4056321532083354E-3</v>
      </c>
      <c r="AM60" s="81">
        <v>5.2150351570420507E-2</v>
      </c>
      <c r="AN60" s="81">
        <v>0.15880080711845868</v>
      </c>
      <c r="AO60" s="81">
        <v>6.9941312825244637E-3</v>
      </c>
      <c r="AP60" s="81">
        <v>5.2438134198599176E-2</v>
      </c>
      <c r="AQ60" s="81">
        <v>0.15808561933997126</v>
      </c>
      <c r="AR60" s="81" t="s">
        <v>42</v>
      </c>
      <c r="AS60" s="81" t="s">
        <v>42</v>
      </c>
      <c r="AT60" s="81" t="s">
        <v>42</v>
      </c>
      <c r="AV60" s="82">
        <v>5.7708951593571269</v>
      </c>
      <c r="AW60" s="82">
        <v>6.2038801870365488</v>
      </c>
      <c r="AX60" s="82">
        <v>6.6917139133095018</v>
      </c>
      <c r="AY60" s="82">
        <v>0.15607635203325601</v>
      </c>
      <c r="AZ60" s="82">
        <v>0.47748292390234692</v>
      </c>
      <c r="BA60" s="82">
        <v>1.8022144772107034</v>
      </c>
      <c r="BB60" s="2"/>
      <c r="BC60" s="18">
        <v>982.84356903066396</v>
      </c>
      <c r="BD60" s="18">
        <v>9155.890795052157</v>
      </c>
      <c r="BE60" s="18">
        <v>243357.2772622701</v>
      </c>
      <c r="BG60" s="22">
        <v>6.757189480763607</v>
      </c>
      <c r="BH60" s="22">
        <v>7.1901745084430289</v>
      </c>
      <c r="BI60" s="22">
        <v>7.6780082347159819</v>
      </c>
      <c r="BJ60" s="22">
        <v>0.4711410365917168</v>
      </c>
      <c r="BK60" s="22">
        <v>1.441357366388611</v>
      </c>
      <c r="BL60" s="22">
        <v>5.4402680860501409</v>
      </c>
      <c r="BM60" s="2"/>
      <c r="BN60" s="18">
        <v>2980.2902917975339</v>
      </c>
      <c r="BO60" s="18">
        <v>27486.816386901788</v>
      </c>
      <c r="BP60" s="18">
        <v>777833.2814031092</v>
      </c>
      <c r="BR60" s="22" t="s">
        <v>42</v>
      </c>
      <c r="BS60" s="22" t="s">
        <v>42</v>
      </c>
      <c r="BT60" s="22" t="s">
        <v>42</v>
      </c>
      <c r="BU60" s="22" t="s">
        <v>42</v>
      </c>
      <c r="BV60" s="22" t="s">
        <v>42</v>
      </c>
      <c r="BW60" s="22" t="s">
        <v>42</v>
      </c>
      <c r="BX60" s="2"/>
      <c r="BY60" s="18" t="s">
        <v>42</v>
      </c>
      <c r="BZ60" s="18" t="s">
        <v>42</v>
      </c>
      <c r="CA60" s="18" t="s">
        <v>42</v>
      </c>
      <c r="CC60">
        <v>320</v>
      </c>
      <c r="CD60">
        <v>48</v>
      </c>
    </row>
    <row r="61" spans="1:82" x14ac:dyDescent="0.2">
      <c r="A61">
        <v>320</v>
      </c>
      <c r="B61">
        <v>49</v>
      </c>
      <c r="C61" s="11" t="s">
        <v>4</v>
      </c>
      <c r="D61" s="11" t="s">
        <v>248</v>
      </c>
      <c r="E61" s="63" t="s">
        <v>369</v>
      </c>
      <c r="F61" s="11" t="s">
        <v>42</v>
      </c>
      <c r="G61" s="78">
        <v>28.7</v>
      </c>
      <c r="H61" s="78">
        <v>5</v>
      </c>
      <c r="I61" s="79">
        <v>56.1</v>
      </c>
      <c r="J61" s="79">
        <v>358</v>
      </c>
      <c r="K61" s="79" t="s">
        <v>42</v>
      </c>
      <c r="L61" s="79" t="s">
        <v>42</v>
      </c>
      <c r="M61" s="79">
        <v>40</v>
      </c>
      <c r="N61" s="79">
        <v>53</v>
      </c>
      <c r="O61" s="79">
        <v>65</v>
      </c>
      <c r="P61" s="79" t="s">
        <v>13</v>
      </c>
      <c r="Q61" s="79">
        <v>0</v>
      </c>
      <c r="R61" s="79">
        <v>0</v>
      </c>
      <c r="S61" s="79" t="s">
        <v>211</v>
      </c>
      <c r="T61" s="80">
        <v>986.55056160318725</v>
      </c>
      <c r="U61" s="80">
        <v>1438.7195690046478</v>
      </c>
      <c r="V61" s="80">
        <v>2055.3136700066398</v>
      </c>
      <c r="W61" s="80" t="s">
        <v>42</v>
      </c>
      <c r="X61" s="80" t="s">
        <v>42</v>
      </c>
      <c r="Y61" s="80" t="s">
        <v>42</v>
      </c>
      <c r="Z61" s="80" t="s">
        <v>42</v>
      </c>
      <c r="AB61" s="79" t="s">
        <v>470</v>
      </c>
      <c r="AC61" s="79">
        <v>1.6666666666666666E-2</v>
      </c>
      <c r="AD61" s="79">
        <v>4.9999999999999996E-2</v>
      </c>
      <c r="AE61" s="79">
        <v>8.3333333333333329E-2</v>
      </c>
      <c r="AF61" s="79">
        <v>0.49</v>
      </c>
      <c r="AG61" s="79">
        <v>0.66</v>
      </c>
      <c r="AH61" s="79">
        <v>0.83000000000000007</v>
      </c>
      <c r="AI61" s="79">
        <v>39</v>
      </c>
      <c r="AJ61" s="79">
        <v>71</v>
      </c>
      <c r="AK61" s="79">
        <v>103</v>
      </c>
      <c r="AL61" s="81">
        <v>5.9614583540576853E-3</v>
      </c>
      <c r="AM61" s="81">
        <v>5.0093465504248813E-2</v>
      </c>
      <c r="AN61" s="81">
        <v>0.16206952614678224</v>
      </c>
      <c r="AO61" s="81">
        <v>6.9941312825244637E-3</v>
      </c>
      <c r="AP61" s="81">
        <v>5.2438134198599176E-2</v>
      </c>
      <c r="AQ61" s="81">
        <v>0.15808561933997126</v>
      </c>
      <c r="AR61" s="81" t="s">
        <v>42</v>
      </c>
      <c r="AS61" s="81" t="s">
        <v>42</v>
      </c>
      <c r="AT61" s="81" t="s">
        <v>42</v>
      </c>
      <c r="AV61" s="82">
        <v>6.245387873226659</v>
      </c>
      <c r="AW61" s="82">
        <v>6.6783729009060808</v>
      </c>
      <c r="AX61" s="82">
        <v>7.1662066271790339</v>
      </c>
      <c r="AY61" s="82">
        <v>0.26951532369936476</v>
      </c>
      <c r="AZ61" s="82">
        <v>0.82452570885972376</v>
      </c>
      <c r="BA61" s="82">
        <v>3.1120948937711477</v>
      </c>
      <c r="BB61" s="2"/>
      <c r="BC61" s="18">
        <v>1662.9611383899007</v>
      </c>
      <c r="BD61" s="18">
        <v>16459.745808358763</v>
      </c>
      <c r="BE61" s="18">
        <v>522035.83568656328</v>
      </c>
      <c r="BG61" s="22">
        <v>6.757189480763607</v>
      </c>
      <c r="BH61" s="22">
        <v>7.1901745084430289</v>
      </c>
      <c r="BI61" s="22">
        <v>7.6780082347159819</v>
      </c>
      <c r="BJ61" s="22">
        <v>0.4711410365917168</v>
      </c>
      <c r="BK61" s="22">
        <v>1.441357366388611</v>
      </c>
      <c r="BL61" s="22">
        <v>5.4402680860501409</v>
      </c>
      <c r="BM61" s="2"/>
      <c r="BN61" s="18">
        <v>2980.2902917975339</v>
      </c>
      <c r="BO61" s="18">
        <v>27486.816386901788</v>
      </c>
      <c r="BP61" s="18">
        <v>777833.2814031092</v>
      </c>
      <c r="BR61" s="22" t="s">
        <v>42</v>
      </c>
      <c r="BS61" s="22" t="s">
        <v>42</v>
      </c>
      <c r="BT61" s="22" t="s">
        <v>42</v>
      </c>
      <c r="BU61" s="22" t="s">
        <v>42</v>
      </c>
      <c r="BV61" s="22" t="s">
        <v>42</v>
      </c>
      <c r="BW61" s="22" t="s">
        <v>42</v>
      </c>
      <c r="BX61" s="2"/>
      <c r="BY61" s="18" t="s">
        <v>42</v>
      </c>
      <c r="BZ61" s="18" t="s">
        <v>42</v>
      </c>
      <c r="CA61" s="18" t="s">
        <v>42</v>
      </c>
      <c r="CC61">
        <v>320</v>
      </c>
      <c r="CD61">
        <v>49</v>
      </c>
    </row>
    <row r="62" spans="1:82" x14ac:dyDescent="0.2">
      <c r="A62">
        <v>320</v>
      </c>
      <c r="B62">
        <v>50</v>
      </c>
      <c r="C62" s="11" t="s">
        <v>4</v>
      </c>
      <c r="D62" s="11" t="s">
        <v>248</v>
      </c>
      <c r="E62" s="63" t="s">
        <v>370</v>
      </c>
      <c r="F62" s="11" t="s">
        <v>42</v>
      </c>
      <c r="G62" s="78">
        <v>12.5</v>
      </c>
      <c r="H62" s="78">
        <v>19</v>
      </c>
      <c r="I62" s="79">
        <v>56.1</v>
      </c>
      <c r="J62" s="79">
        <v>358</v>
      </c>
      <c r="K62" s="79" t="s">
        <v>42</v>
      </c>
      <c r="L62" s="79" t="s">
        <v>42</v>
      </c>
      <c r="M62" s="79">
        <v>40</v>
      </c>
      <c r="N62" s="79">
        <v>53</v>
      </c>
      <c r="O62" s="79">
        <v>65</v>
      </c>
      <c r="P62" s="79" t="s">
        <v>13</v>
      </c>
      <c r="Q62" s="79">
        <v>0</v>
      </c>
      <c r="R62" s="79">
        <v>0</v>
      </c>
      <c r="S62" s="79" t="s">
        <v>211</v>
      </c>
      <c r="T62" s="80">
        <v>986.55056160318725</v>
      </c>
      <c r="U62" s="80">
        <v>1438.7195690046478</v>
      </c>
      <c r="V62" s="80">
        <v>2055.3136700066398</v>
      </c>
      <c r="W62" s="80" t="s">
        <v>42</v>
      </c>
      <c r="X62" s="80" t="s">
        <v>42</v>
      </c>
      <c r="Y62" s="80" t="s">
        <v>42</v>
      </c>
      <c r="Z62" s="80" t="s">
        <v>42</v>
      </c>
      <c r="AB62" s="79" t="s">
        <v>470</v>
      </c>
      <c r="AC62" s="79">
        <v>1.6666666666666666E-2</v>
      </c>
      <c r="AD62" s="79">
        <v>4.9999999999999996E-2</v>
      </c>
      <c r="AE62" s="79">
        <v>8.3333333333333329E-2</v>
      </c>
      <c r="AF62" s="79">
        <v>0.49</v>
      </c>
      <c r="AG62" s="79">
        <v>0.66</v>
      </c>
      <c r="AH62" s="79">
        <v>0.83000000000000007</v>
      </c>
      <c r="AI62" s="79">
        <v>39</v>
      </c>
      <c r="AJ62" s="79">
        <v>71</v>
      </c>
      <c r="AK62" s="79">
        <v>103</v>
      </c>
      <c r="AL62" s="81">
        <v>3.6462173035990233E-3</v>
      </c>
      <c r="AM62" s="81">
        <v>4.3209879894360557E-2</v>
      </c>
      <c r="AN62" s="81">
        <v>0.1627657170949327</v>
      </c>
      <c r="AO62" s="81">
        <v>6.9941312825244637E-3</v>
      </c>
      <c r="AP62" s="81">
        <v>5.2438134198599176E-2</v>
      </c>
      <c r="AQ62" s="81">
        <v>0.15808561933997126</v>
      </c>
      <c r="AR62" s="81" t="s">
        <v>42</v>
      </c>
      <c r="AS62" s="81" t="s">
        <v>42</v>
      </c>
      <c r="AT62" s="81" t="s">
        <v>42</v>
      </c>
      <c r="AV62" s="82">
        <v>5.6437680670167651</v>
      </c>
      <c r="AW62" s="82">
        <v>6.076753094696187</v>
      </c>
      <c r="AX62" s="82">
        <v>6.56458682096914</v>
      </c>
      <c r="AY62" s="82">
        <v>0.13482597189393458</v>
      </c>
      <c r="AZ62" s="82">
        <v>0.4124718347092991</v>
      </c>
      <c r="BA62" s="82">
        <v>1.5568362233343216</v>
      </c>
      <c r="BB62" s="2"/>
      <c r="BC62" s="18">
        <v>828.3437956120556</v>
      </c>
      <c r="BD62" s="18">
        <v>9545.7760058049116</v>
      </c>
      <c r="BE62" s="18">
        <v>426972.9677925767</v>
      </c>
      <c r="BG62" s="22">
        <v>6.757189480763607</v>
      </c>
      <c r="BH62" s="22">
        <v>7.1901745084430289</v>
      </c>
      <c r="BI62" s="22">
        <v>7.6780082347159819</v>
      </c>
      <c r="BJ62" s="22">
        <v>0.4711410365917168</v>
      </c>
      <c r="BK62" s="22">
        <v>1.441357366388611</v>
      </c>
      <c r="BL62" s="22">
        <v>5.4402680860501409</v>
      </c>
      <c r="BM62" s="2"/>
      <c r="BN62" s="18">
        <v>2980.2902917975339</v>
      </c>
      <c r="BO62" s="18">
        <v>27486.816386901788</v>
      </c>
      <c r="BP62" s="18">
        <v>777833.2814031092</v>
      </c>
      <c r="BR62" s="22" t="s">
        <v>42</v>
      </c>
      <c r="BS62" s="22" t="s">
        <v>42</v>
      </c>
      <c r="BT62" s="22" t="s">
        <v>42</v>
      </c>
      <c r="BU62" s="22" t="s">
        <v>42</v>
      </c>
      <c r="BV62" s="22" t="s">
        <v>42</v>
      </c>
      <c r="BW62" s="22" t="s">
        <v>42</v>
      </c>
      <c r="BX62" s="2"/>
      <c r="BY62" s="18" t="s">
        <v>42</v>
      </c>
      <c r="BZ62" s="18" t="s">
        <v>42</v>
      </c>
      <c r="CA62" s="18" t="s">
        <v>42</v>
      </c>
      <c r="CC62">
        <v>320</v>
      </c>
      <c r="CD62">
        <v>50</v>
      </c>
    </row>
    <row r="63" spans="1:82" x14ac:dyDescent="0.2">
      <c r="A63">
        <v>321</v>
      </c>
      <c r="B63">
        <v>51</v>
      </c>
      <c r="C63" s="11" t="s">
        <v>4</v>
      </c>
      <c r="D63" s="11" t="s">
        <v>251</v>
      </c>
      <c r="E63" s="63" t="s">
        <v>250</v>
      </c>
      <c r="F63" s="11" t="s">
        <v>42</v>
      </c>
      <c r="G63" s="78">
        <v>10</v>
      </c>
      <c r="H63" s="78">
        <v>352</v>
      </c>
      <c r="I63" s="79">
        <v>51.2</v>
      </c>
      <c r="J63" s="79">
        <v>6</v>
      </c>
      <c r="K63" s="79" t="s">
        <v>42</v>
      </c>
      <c r="L63" s="79" t="s">
        <v>42</v>
      </c>
      <c r="M63" s="79">
        <v>40</v>
      </c>
      <c r="N63" s="79">
        <v>53</v>
      </c>
      <c r="O63" s="79">
        <v>65</v>
      </c>
      <c r="P63" s="79" t="s">
        <v>13</v>
      </c>
      <c r="Q63" s="79">
        <v>0</v>
      </c>
      <c r="R63" s="79">
        <v>0</v>
      </c>
      <c r="S63" s="79" t="s">
        <v>211</v>
      </c>
      <c r="T63" s="80">
        <v>847.15819107557661</v>
      </c>
      <c r="U63" s="80">
        <v>1235.4390286518824</v>
      </c>
      <c r="V63" s="80">
        <v>1764.9128980741179</v>
      </c>
      <c r="W63" s="80" t="s">
        <v>42</v>
      </c>
      <c r="X63" s="80" t="s">
        <v>42</v>
      </c>
      <c r="Y63" s="80" t="s">
        <v>42</v>
      </c>
      <c r="Z63" s="80" t="s">
        <v>42</v>
      </c>
      <c r="AB63" s="79" t="s">
        <v>470</v>
      </c>
      <c r="AC63" s="79">
        <v>1.6666666666666666E-2</v>
      </c>
      <c r="AD63" s="79">
        <v>4.9999999999999996E-2</v>
      </c>
      <c r="AE63" s="79">
        <v>8.3333333333333329E-2</v>
      </c>
      <c r="AF63" s="79">
        <v>0.49</v>
      </c>
      <c r="AG63" s="79">
        <v>0.66</v>
      </c>
      <c r="AH63" s="79">
        <v>0.83000000000000007</v>
      </c>
      <c r="AI63" s="79">
        <v>39</v>
      </c>
      <c r="AJ63" s="79">
        <v>71</v>
      </c>
      <c r="AK63" s="79">
        <v>103</v>
      </c>
      <c r="AL63" s="81">
        <v>7.7968347009194422E-3</v>
      </c>
      <c r="AM63" s="81">
        <v>5.1192065483921939E-2</v>
      </c>
      <c r="AN63" s="81">
        <v>0.16065533919147448</v>
      </c>
      <c r="AO63" s="81">
        <v>5.806302091968701E-3</v>
      </c>
      <c r="AP63" s="81">
        <v>4.9696594172015489E-2</v>
      </c>
      <c r="AQ63" s="81">
        <v>0.16244236237945511</v>
      </c>
      <c r="AR63" s="81" t="s">
        <v>42</v>
      </c>
      <c r="AS63" s="81" t="s">
        <v>42</v>
      </c>
      <c r="AT63" s="81" t="s">
        <v>42</v>
      </c>
      <c r="AV63" s="82">
        <v>5.4822513786700044</v>
      </c>
      <c r="AW63" s="82">
        <v>5.9152364063494263</v>
      </c>
      <c r="AX63" s="82">
        <v>6.4030701326223793</v>
      </c>
      <c r="AY63" s="82">
        <v>0.11194771034172391</v>
      </c>
      <c r="AZ63" s="82">
        <v>0.34248058313632168</v>
      </c>
      <c r="BA63" s="82">
        <v>1.2926608140191327</v>
      </c>
      <c r="BB63" s="2"/>
      <c r="BC63" s="18">
        <v>696.81910918815356</v>
      </c>
      <c r="BD63" s="18">
        <v>6690.1106626355149</v>
      </c>
      <c r="BE63" s="18">
        <v>165793.0254525847</v>
      </c>
      <c r="BG63" s="22">
        <v>6.6910346469630539</v>
      </c>
      <c r="BH63" s="22">
        <v>7.1240196746424758</v>
      </c>
      <c r="BI63" s="22">
        <v>7.6118534009154288</v>
      </c>
      <c r="BJ63" s="22">
        <v>0.43658973074501523</v>
      </c>
      <c r="BK63" s="22">
        <v>1.3356548795902772</v>
      </c>
      <c r="BL63" s="22">
        <v>5.0413039714212164</v>
      </c>
      <c r="BM63" s="2"/>
      <c r="BN63" s="18">
        <v>2687.6593294375339</v>
      </c>
      <c r="BO63" s="18">
        <v>26876.185417599383</v>
      </c>
      <c r="BP63" s="18">
        <v>868246.93093291973</v>
      </c>
      <c r="BR63" s="22" t="s">
        <v>42</v>
      </c>
      <c r="BS63" s="22" t="s">
        <v>42</v>
      </c>
      <c r="BT63" s="22" t="s">
        <v>42</v>
      </c>
      <c r="BU63" s="22" t="s">
        <v>42</v>
      </c>
      <c r="BV63" s="22" t="s">
        <v>42</v>
      </c>
      <c r="BW63" s="22" t="s">
        <v>42</v>
      </c>
      <c r="BX63" s="2"/>
      <c r="BY63" s="18" t="s">
        <v>42</v>
      </c>
      <c r="BZ63" s="18" t="s">
        <v>42</v>
      </c>
      <c r="CA63" s="18" t="s">
        <v>42</v>
      </c>
      <c r="CC63">
        <v>321</v>
      </c>
      <c r="CD63">
        <v>51</v>
      </c>
    </row>
    <row r="64" spans="1:82" x14ac:dyDescent="0.2">
      <c r="A64">
        <v>321</v>
      </c>
      <c r="B64">
        <v>52</v>
      </c>
      <c r="C64" s="11" t="s">
        <v>4</v>
      </c>
      <c r="D64" s="11" t="s">
        <v>251</v>
      </c>
      <c r="E64" s="63" t="s">
        <v>371</v>
      </c>
      <c r="F64" s="11" t="s">
        <v>42</v>
      </c>
      <c r="G64" s="78">
        <v>28.7</v>
      </c>
      <c r="H64" s="78">
        <v>5</v>
      </c>
      <c r="I64" s="79">
        <v>51.2</v>
      </c>
      <c r="J64" s="79">
        <v>6</v>
      </c>
      <c r="K64" s="79" t="s">
        <v>42</v>
      </c>
      <c r="L64" s="79" t="s">
        <v>42</v>
      </c>
      <c r="M64" s="79">
        <v>40</v>
      </c>
      <c r="N64" s="79">
        <v>53</v>
      </c>
      <c r="O64" s="79">
        <v>65</v>
      </c>
      <c r="P64" s="79" t="s">
        <v>13</v>
      </c>
      <c r="Q64" s="79">
        <v>0</v>
      </c>
      <c r="R64" s="79">
        <v>0</v>
      </c>
      <c r="S64" s="79" t="s">
        <v>211</v>
      </c>
      <c r="T64" s="80">
        <v>847.15819107557661</v>
      </c>
      <c r="U64" s="80">
        <v>1235.4390286518824</v>
      </c>
      <c r="V64" s="80">
        <v>1764.9128980741179</v>
      </c>
      <c r="W64" s="80" t="s">
        <v>42</v>
      </c>
      <c r="X64" s="80" t="s">
        <v>42</v>
      </c>
      <c r="Y64" s="80" t="s">
        <v>42</v>
      </c>
      <c r="Z64" s="80" t="s">
        <v>42</v>
      </c>
      <c r="AB64" s="79" t="s">
        <v>470</v>
      </c>
      <c r="AC64" s="79">
        <v>1.6666666666666666E-2</v>
      </c>
      <c r="AD64" s="79">
        <v>4.9999999999999996E-2</v>
      </c>
      <c r="AE64" s="79">
        <v>8.3333333333333329E-2</v>
      </c>
      <c r="AF64" s="79">
        <v>0.49</v>
      </c>
      <c r="AG64" s="79">
        <v>0.66</v>
      </c>
      <c r="AH64" s="79">
        <v>0.83000000000000007</v>
      </c>
      <c r="AI64" s="79">
        <v>39</v>
      </c>
      <c r="AJ64" s="79">
        <v>71</v>
      </c>
      <c r="AK64" s="79">
        <v>103</v>
      </c>
      <c r="AL64" s="81">
        <v>5.9614583540576853E-3</v>
      </c>
      <c r="AM64" s="81">
        <v>5.0093465504248813E-2</v>
      </c>
      <c r="AN64" s="81">
        <v>0.16206952614678224</v>
      </c>
      <c r="AO64" s="81">
        <v>5.806302091968701E-3</v>
      </c>
      <c r="AP64" s="81">
        <v>4.9696594172015489E-2</v>
      </c>
      <c r="AQ64" s="81">
        <v>0.16244236237945511</v>
      </c>
      <c r="AR64" s="81" t="s">
        <v>42</v>
      </c>
      <c r="AS64" s="81" t="s">
        <v>42</v>
      </c>
      <c r="AT64" s="81" t="s">
        <v>42</v>
      </c>
      <c r="AV64" s="82">
        <v>6.245387873226659</v>
      </c>
      <c r="AW64" s="82">
        <v>6.6783729009060808</v>
      </c>
      <c r="AX64" s="82">
        <v>7.1662066271790339</v>
      </c>
      <c r="AY64" s="82">
        <v>0.26951532369936476</v>
      </c>
      <c r="AZ64" s="82">
        <v>0.82452570885972376</v>
      </c>
      <c r="BA64" s="82">
        <v>3.1120948937711477</v>
      </c>
      <c r="BB64" s="2"/>
      <c r="BC64" s="18">
        <v>1662.9611383899007</v>
      </c>
      <c r="BD64" s="18">
        <v>16459.745808358763</v>
      </c>
      <c r="BE64" s="18">
        <v>522035.83568656328</v>
      </c>
      <c r="BG64" s="22">
        <v>6.6910346469630539</v>
      </c>
      <c r="BH64" s="22">
        <v>7.1240196746424758</v>
      </c>
      <c r="BI64" s="22">
        <v>7.6118534009154288</v>
      </c>
      <c r="BJ64" s="22">
        <v>0.43658973074501523</v>
      </c>
      <c r="BK64" s="22">
        <v>1.3356548795902772</v>
      </c>
      <c r="BL64" s="22">
        <v>5.0413039714212164</v>
      </c>
      <c r="BM64" s="2"/>
      <c r="BN64" s="18">
        <v>2687.6593294375339</v>
      </c>
      <c r="BO64" s="18">
        <v>26876.185417599383</v>
      </c>
      <c r="BP64" s="18">
        <v>868246.93093291973</v>
      </c>
      <c r="BR64" s="22" t="s">
        <v>42</v>
      </c>
      <c r="BS64" s="22" t="s">
        <v>42</v>
      </c>
      <c r="BT64" s="22" t="s">
        <v>42</v>
      </c>
      <c r="BU64" s="22" t="s">
        <v>42</v>
      </c>
      <c r="BV64" s="22" t="s">
        <v>42</v>
      </c>
      <c r="BW64" s="22" t="s">
        <v>42</v>
      </c>
      <c r="BX64" s="2"/>
      <c r="BY64" s="18" t="s">
        <v>42</v>
      </c>
      <c r="BZ64" s="18" t="s">
        <v>42</v>
      </c>
      <c r="CA64" s="18" t="s">
        <v>42</v>
      </c>
      <c r="CC64">
        <v>321</v>
      </c>
      <c r="CD64">
        <v>52</v>
      </c>
    </row>
    <row r="65" spans="1:83" x14ac:dyDescent="0.2">
      <c r="A65">
        <v>321</v>
      </c>
      <c r="B65">
        <v>53</v>
      </c>
      <c r="C65" s="11" t="s">
        <v>4</v>
      </c>
      <c r="D65" s="11" t="s">
        <v>251</v>
      </c>
      <c r="E65" s="63" t="s">
        <v>372</v>
      </c>
      <c r="F65" s="11" t="s">
        <v>42</v>
      </c>
      <c r="G65" s="78">
        <v>12.5</v>
      </c>
      <c r="H65" s="78">
        <v>19</v>
      </c>
      <c r="I65" s="79">
        <v>51.2</v>
      </c>
      <c r="J65" s="79">
        <v>6</v>
      </c>
      <c r="K65" s="79" t="s">
        <v>42</v>
      </c>
      <c r="L65" s="79" t="s">
        <v>42</v>
      </c>
      <c r="M65" s="79">
        <v>40</v>
      </c>
      <c r="N65" s="79">
        <v>53</v>
      </c>
      <c r="O65" s="79">
        <v>65</v>
      </c>
      <c r="P65" s="79" t="s">
        <v>13</v>
      </c>
      <c r="Q65" s="79">
        <v>0</v>
      </c>
      <c r="R65" s="79">
        <v>0</v>
      </c>
      <c r="S65" s="79" t="s">
        <v>211</v>
      </c>
      <c r="T65" s="80">
        <v>847.15819107557661</v>
      </c>
      <c r="U65" s="80">
        <v>1235.4390286518824</v>
      </c>
      <c r="V65" s="80">
        <v>1764.9128980741179</v>
      </c>
      <c r="W65" s="80" t="s">
        <v>42</v>
      </c>
      <c r="X65" s="80" t="s">
        <v>42</v>
      </c>
      <c r="Y65" s="80" t="s">
        <v>42</v>
      </c>
      <c r="Z65" s="80" t="s">
        <v>42</v>
      </c>
      <c r="AB65" s="79" t="s">
        <v>470</v>
      </c>
      <c r="AC65" s="79">
        <v>1.6666666666666666E-2</v>
      </c>
      <c r="AD65" s="79">
        <v>4.9999999999999996E-2</v>
      </c>
      <c r="AE65" s="79">
        <v>8.3333333333333329E-2</v>
      </c>
      <c r="AF65" s="79">
        <v>0.49</v>
      </c>
      <c r="AG65" s="79">
        <v>0.66</v>
      </c>
      <c r="AH65" s="79">
        <v>0.83000000000000007</v>
      </c>
      <c r="AI65" s="79">
        <v>39</v>
      </c>
      <c r="AJ65" s="79">
        <v>71</v>
      </c>
      <c r="AK65" s="79">
        <v>103</v>
      </c>
      <c r="AL65" s="81">
        <v>3.6462173035990233E-3</v>
      </c>
      <c r="AM65" s="81">
        <v>4.3209879894360557E-2</v>
      </c>
      <c r="AN65" s="81">
        <v>0.1627657170949327</v>
      </c>
      <c r="AO65" s="81">
        <v>5.806302091968701E-3</v>
      </c>
      <c r="AP65" s="81">
        <v>4.9696594172015489E-2</v>
      </c>
      <c r="AQ65" s="81">
        <v>0.16244236237945511</v>
      </c>
      <c r="AR65" s="81" t="s">
        <v>42</v>
      </c>
      <c r="AS65" s="81" t="s">
        <v>42</v>
      </c>
      <c r="AT65" s="81" t="s">
        <v>42</v>
      </c>
      <c r="AV65" s="82">
        <v>5.6437680670167651</v>
      </c>
      <c r="AW65" s="82">
        <v>6.076753094696187</v>
      </c>
      <c r="AX65" s="82">
        <v>6.56458682096914</v>
      </c>
      <c r="AY65" s="82">
        <v>0.13482597189393458</v>
      </c>
      <c r="AZ65" s="82">
        <v>0.4124718347092991</v>
      </c>
      <c r="BA65" s="82">
        <v>1.5568362233343216</v>
      </c>
      <c r="BB65" s="2"/>
      <c r="BC65" s="18">
        <v>828.3437956120556</v>
      </c>
      <c r="BD65" s="18">
        <v>9545.7760058049116</v>
      </c>
      <c r="BE65" s="18">
        <v>426972.9677925767</v>
      </c>
      <c r="BG65" s="22">
        <v>6.6910346469630539</v>
      </c>
      <c r="BH65" s="22">
        <v>7.1240196746424758</v>
      </c>
      <c r="BI65" s="22">
        <v>7.6118534009154288</v>
      </c>
      <c r="BJ65" s="22">
        <v>0.43658973074501523</v>
      </c>
      <c r="BK65" s="22">
        <v>1.3356548795902772</v>
      </c>
      <c r="BL65" s="22">
        <v>5.0413039714212164</v>
      </c>
      <c r="BM65" s="2"/>
      <c r="BN65" s="18">
        <v>2687.6593294375339</v>
      </c>
      <c r="BO65" s="18">
        <v>26876.185417599383</v>
      </c>
      <c r="BP65" s="18">
        <v>868246.93093291973</v>
      </c>
      <c r="BR65" s="22" t="s">
        <v>42</v>
      </c>
      <c r="BS65" s="22" t="s">
        <v>42</v>
      </c>
      <c r="BT65" s="22" t="s">
        <v>42</v>
      </c>
      <c r="BU65" s="22" t="s">
        <v>42</v>
      </c>
      <c r="BV65" s="22" t="s">
        <v>42</v>
      </c>
      <c r="BW65" s="22" t="s">
        <v>42</v>
      </c>
      <c r="BX65" s="2"/>
      <c r="BY65" s="18" t="s">
        <v>42</v>
      </c>
      <c r="BZ65" s="18" t="s">
        <v>42</v>
      </c>
      <c r="CA65" s="18" t="s">
        <v>42</v>
      </c>
      <c r="CC65">
        <v>321</v>
      </c>
      <c r="CD65">
        <v>53</v>
      </c>
    </row>
    <row r="66" spans="1:83" x14ac:dyDescent="0.2">
      <c r="A66">
        <v>322</v>
      </c>
      <c r="B66" t="s">
        <v>416</v>
      </c>
      <c r="C66" s="13" t="s">
        <v>32</v>
      </c>
      <c r="D66" s="13" t="s">
        <v>218</v>
      </c>
      <c r="E66" s="13" t="s">
        <v>42</v>
      </c>
      <c r="F66" s="83" t="s">
        <v>42</v>
      </c>
      <c r="G66" s="84" t="s">
        <v>42</v>
      </c>
      <c r="H66" s="84" t="s">
        <v>42</v>
      </c>
      <c r="I66" s="85">
        <v>14</v>
      </c>
      <c r="J66" s="85">
        <v>9</v>
      </c>
      <c r="K66" s="85" t="s">
        <v>42</v>
      </c>
      <c r="L66" s="85" t="s">
        <v>42</v>
      </c>
      <c r="M66" s="85">
        <v>40</v>
      </c>
      <c r="N66" s="85">
        <v>53</v>
      </c>
      <c r="O66" s="85">
        <v>65</v>
      </c>
      <c r="P66" s="85" t="s">
        <v>13</v>
      </c>
      <c r="Q66" s="85">
        <v>0</v>
      </c>
      <c r="R66" s="85">
        <v>0</v>
      </c>
      <c r="S66" s="85" t="s">
        <v>211</v>
      </c>
      <c r="T66" s="86">
        <v>97.587600323870205</v>
      </c>
      <c r="U66" s="86">
        <v>142.31525047231068</v>
      </c>
      <c r="V66" s="86">
        <v>203.3075006747296</v>
      </c>
      <c r="W66" s="86" t="s">
        <v>42</v>
      </c>
      <c r="X66" s="86" t="s">
        <v>42</v>
      </c>
      <c r="Y66" s="86" t="s">
        <v>42</v>
      </c>
      <c r="Z66" s="86" t="s">
        <v>42</v>
      </c>
      <c r="AB66" s="85" t="s">
        <v>470</v>
      </c>
      <c r="AC66" s="85">
        <v>1.2500000000000001E-2</v>
      </c>
      <c r="AD66" s="85">
        <v>3.7499999999999999E-2</v>
      </c>
      <c r="AE66" s="85">
        <v>6.25E-2</v>
      </c>
      <c r="AF66" s="85">
        <v>0.57000000000000006</v>
      </c>
      <c r="AG66" s="85">
        <v>0.75</v>
      </c>
      <c r="AH66" s="85">
        <v>0.92999999999999994</v>
      </c>
      <c r="AI66" s="85">
        <v>46</v>
      </c>
      <c r="AJ66" s="85">
        <v>73</v>
      </c>
      <c r="AK66" s="85">
        <v>100</v>
      </c>
      <c r="AL66" s="85" t="s">
        <v>42</v>
      </c>
      <c r="AM66" s="85" t="s">
        <v>42</v>
      </c>
      <c r="AN66" s="85" t="s">
        <v>42</v>
      </c>
      <c r="AO66" s="87">
        <v>5.59749774112305E-3</v>
      </c>
      <c r="AP66" s="87">
        <v>4.2003907479354244E-2</v>
      </c>
      <c r="AQ66" s="87">
        <v>0.1375145197029437</v>
      </c>
      <c r="AR66" s="87" t="s">
        <v>42</v>
      </c>
      <c r="AS66" s="87" t="s">
        <v>42</v>
      </c>
      <c r="AT66" s="87" t="s">
        <v>42</v>
      </c>
      <c r="AV66" s="88" t="s">
        <v>42</v>
      </c>
      <c r="AW66" s="88" t="s">
        <v>42</v>
      </c>
      <c r="AX66" s="88" t="s">
        <v>42</v>
      </c>
      <c r="AY66" s="88" t="s">
        <v>42</v>
      </c>
      <c r="AZ66" s="88" t="s">
        <v>42</v>
      </c>
      <c r="BA66" s="88" t="s">
        <v>42</v>
      </c>
      <c r="BB66" s="2"/>
      <c r="BC66" s="19" t="s">
        <v>42</v>
      </c>
      <c r="BD66" s="19" t="s">
        <v>42</v>
      </c>
      <c r="BE66" s="19" t="s">
        <v>42</v>
      </c>
      <c r="BG66" s="23">
        <v>5.7524647714670678</v>
      </c>
      <c r="BH66" s="23">
        <v>6.1854497991464896</v>
      </c>
      <c r="BI66" s="23">
        <v>6.6732835254194427</v>
      </c>
      <c r="BJ66" s="23">
        <v>0.14817965471977182</v>
      </c>
      <c r="BK66" s="23">
        <v>0.45332463167361253</v>
      </c>
      <c r="BL66" s="23">
        <v>1.7110312708177218</v>
      </c>
      <c r="BM66" s="2"/>
      <c r="BN66" s="19">
        <v>1077.5564285129071</v>
      </c>
      <c r="BO66" s="19">
        <v>10792.439534260726</v>
      </c>
      <c r="BP66" s="19">
        <v>305677.88500338554</v>
      </c>
      <c r="BR66" s="23" t="s">
        <v>42</v>
      </c>
      <c r="BS66" s="23" t="s">
        <v>42</v>
      </c>
      <c r="BT66" s="23" t="s">
        <v>42</v>
      </c>
      <c r="BU66" s="23" t="s">
        <v>42</v>
      </c>
      <c r="BV66" s="23" t="s">
        <v>42</v>
      </c>
      <c r="BW66" s="23" t="s">
        <v>42</v>
      </c>
      <c r="BX66" s="2"/>
      <c r="BY66" s="23" t="s">
        <v>42</v>
      </c>
      <c r="BZ66" s="23" t="s">
        <v>42</v>
      </c>
      <c r="CA66" s="23" t="s">
        <v>42</v>
      </c>
      <c r="CC66">
        <v>322</v>
      </c>
      <c r="CD66" t="s">
        <v>416</v>
      </c>
    </row>
    <row r="67" spans="1:83" x14ac:dyDescent="0.2">
      <c r="A67">
        <v>323</v>
      </c>
      <c r="B67" t="s">
        <v>416</v>
      </c>
      <c r="C67" s="13" t="s">
        <v>32</v>
      </c>
      <c r="D67" s="13" t="s">
        <v>432</v>
      </c>
      <c r="E67" s="13" t="s">
        <v>42</v>
      </c>
      <c r="F67" s="83" t="s">
        <v>437</v>
      </c>
      <c r="G67" s="84" t="s">
        <v>42</v>
      </c>
      <c r="H67" s="84" t="s">
        <v>42</v>
      </c>
      <c r="I67" s="85">
        <v>15.8</v>
      </c>
      <c r="J67" s="85">
        <v>173</v>
      </c>
      <c r="K67" s="85">
        <v>26.200000000000003</v>
      </c>
      <c r="L67" s="85">
        <v>179</v>
      </c>
      <c r="M67" s="85">
        <v>40</v>
      </c>
      <c r="N67" s="85">
        <v>53</v>
      </c>
      <c r="O67" s="85">
        <v>65</v>
      </c>
      <c r="P67" s="85" t="s">
        <v>9</v>
      </c>
      <c r="Q67" s="85">
        <v>0</v>
      </c>
      <c r="R67" s="85">
        <v>0</v>
      </c>
      <c r="S67" s="85" t="s">
        <v>211</v>
      </c>
      <c r="T67" s="86">
        <v>119.38315654144824</v>
      </c>
      <c r="U67" s="86">
        <v>174.10043662294538</v>
      </c>
      <c r="V67" s="86">
        <v>248.71490946135052</v>
      </c>
      <c r="W67" s="86" t="s">
        <v>211</v>
      </c>
      <c r="X67" s="86">
        <v>277.34269513295271</v>
      </c>
      <c r="Y67" s="86">
        <v>404.45809706888934</v>
      </c>
      <c r="Z67" s="86">
        <v>577.79728152698465</v>
      </c>
      <c r="AB67" s="85" t="s">
        <v>470</v>
      </c>
      <c r="AC67" s="85">
        <v>1.2500000000000001E-2</v>
      </c>
      <c r="AD67" s="85">
        <v>3.7499999999999999E-2</v>
      </c>
      <c r="AE67" s="85">
        <v>6.25E-2</v>
      </c>
      <c r="AF67" s="85">
        <v>0.57000000000000006</v>
      </c>
      <c r="AG67" s="85">
        <v>0.75</v>
      </c>
      <c r="AH67" s="85">
        <v>0.92999999999999994</v>
      </c>
      <c r="AI67" s="85">
        <v>46</v>
      </c>
      <c r="AJ67" s="85">
        <v>73</v>
      </c>
      <c r="AK67" s="85">
        <v>100</v>
      </c>
      <c r="AL67" s="85" t="s">
        <v>42</v>
      </c>
      <c r="AM67" s="85" t="s">
        <v>42</v>
      </c>
      <c r="AN67" s="85" t="s">
        <v>42</v>
      </c>
      <c r="AO67" s="87">
        <v>7.4281303913892862E-3</v>
      </c>
      <c r="AP67" s="87">
        <v>4.4691591646533378E-2</v>
      </c>
      <c r="AQ67" s="87">
        <v>0.13544599423617859</v>
      </c>
      <c r="AR67" s="87">
        <v>6.8023404788633939E-3</v>
      </c>
      <c r="AS67" s="87">
        <v>4.492324744016022E-2</v>
      </c>
      <c r="AT67" s="87">
        <v>0.13500855311572707</v>
      </c>
      <c r="AV67" s="88" t="s">
        <v>42</v>
      </c>
      <c r="AW67" s="88" t="s">
        <v>42</v>
      </c>
      <c r="AX67" s="88" t="s">
        <v>42</v>
      </c>
      <c r="AY67" s="88" t="s">
        <v>42</v>
      </c>
      <c r="AZ67" s="88" t="s">
        <v>42</v>
      </c>
      <c r="BA67" s="88" t="s">
        <v>42</v>
      </c>
      <c r="BB67" s="2"/>
      <c r="BC67" s="19" t="s">
        <v>42</v>
      </c>
      <c r="BD67" s="19" t="s">
        <v>42</v>
      </c>
      <c r="BE67" s="19" t="s">
        <v>42</v>
      </c>
      <c r="BG67" s="23">
        <v>5.8400131902607084</v>
      </c>
      <c r="BH67" s="23">
        <v>6.2729982179401302</v>
      </c>
      <c r="BI67" s="23">
        <v>6.7608319442130833</v>
      </c>
      <c r="BJ67" s="23">
        <v>0.16389389928190101</v>
      </c>
      <c r="BK67" s="23">
        <v>0.50139907307805553</v>
      </c>
      <c r="BL67" s="23">
        <v>1.8924837373788594</v>
      </c>
      <c r="BM67" s="2"/>
      <c r="BN67" s="19">
        <v>1210.0313501787105</v>
      </c>
      <c r="BO67" s="19">
        <v>11219.091882957091</v>
      </c>
      <c r="BP67" s="19">
        <v>254772.5521313725</v>
      </c>
      <c r="BR67" s="23">
        <v>6.2060868642029137</v>
      </c>
      <c r="BS67" s="23">
        <v>6.6390718918823355</v>
      </c>
      <c r="BT67" s="23">
        <v>7.1269056181552886</v>
      </c>
      <c r="BU67" s="23">
        <v>0.24980413608448221</v>
      </c>
      <c r="BV67" s="23">
        <v>0.76422345695972771</v>
      </c>
      <c r="BW67" s="23">
        <v>2.8844897042611546</v>
      </c>
      <c r="BY67" s="19">
        <v>1850.2837806902075</v>
      </c>
      <c r="BZ67" s="19">
        <v>17011.758955710127</v>
      </c>
      <c r="CA67" s="19">
        <v>424043.71160543925</v>
      </c>
      <c r="CC67">
        <v>323</v>
      </c>
      <c r="CE67">
        <v>604</v>
      </c>
    </row>
    <row r="68" spans="1:83" x14ac:dyDescent="0.2">
      <c r="A68">
        <v>324</v>
      </c>
      <c r="B68" t="s">
        <v>416</v>
      </c>
      <c r="C68" s="13" t="s">
        <v>32</v>
      </c>
      <c r="D68" s="13" t="s">
        <v>436</v>
      </c>
      <c r="E68" s="13" t="s">
        <v>42</v>
      </c>
      <c r="F68" s="83" t="s">
        <v>437</v>
      </c>
      <c r="G68" s="84" t="s">
        <v>42</v>
      </c>
      <c r="H68" s="84" t="s">
        <v>42</v>
      </c>
      <c r="I68" s="85">
        <v>10.4</v>
      </c>
      <c r="J68" s="85">
        <v>168</v>
      </c>
      <c r="K68" s="85">
        <v>26.200000000000003</v>
      </c>
      <c r="L68" s="85">
        <v>179</v>
      </c>
      <c r="M68" s="85">
        <v>40</v>
      </c>
      <c r="N68" s="85">
        <v>53</v>
      </c>
      <c r="O68" s="85">
        <v>65</v>
      </c>
      <c r="P68" s="85" t="s">
        <v>9</v>
      </c>
      <c r="Q68" s="85">
        <v>0</v>
      </c>
      <c r="R68" s="85">
        <v>0</v>
      </c>
      <c r="S68" s="85" t="s">
        <v>211</v>
      </c>
      <c r="T68" s="86">
        <v>59.461630185805916</v>
      </c>
      <c r="U68" s="86">
        <v>86.714877354300299</v>
      </c>
      <c r="V68" s="86">
        <v>123.87839622042898</v>
      </c>
      <c r="W68" s="86" t="s">
        <v>211</v>
      </c>
      <c r="X68" s="86">
        <v>277.34269513295271</v>
      </c>
      <c r="Y68" s="86">
        <v>404.45809706888934</v>
      </c>
      <c r="Z68" s="86">
        <v>577.79728152698465</v>
      </c>
      <c r="AB68" s="85" t="s">
        <v>470</v>
      </c>
      <c r="AC68" s="85">
        <v>1.2500000000000001E-2</v>
      </c>
      <c r="AD68" s="85">
        <v>3.7499999999999999E-2</v>
      </c>
      <c r="AE68" s="85">
        <v>6.25E-2</v>
      </c>
      <c r="AF68" s="85">
        <v>0.57000000000000006</v>
      </c>
      <c r="AG68" s="85">
        <v>0.75</v>
      </c>
      <c r="AH68" s="85">
        <v>0.92999999999999994</v>
      </c>
      <c r="AI68" s="85">
        <v>46</v>
      </c>
      <c r="AJ68" s="85">
        <v>73</v>
      </c>
      <c r="AK68" s="85">
        <v>100</v>
      </c>
      <c r="AL68" s="85" t="s">
        <v>42</v>
      </c>
      <c r="AM68" s="85" t="s">
        <v>42</v>
      </c>
      <c r="AN68" s="85" t="s">
        <v>42</v>
      </c>
      <c r="AO68" s="87">
        <v>7.8877181857920885E-3</v>
      </c>
      <c r="AP68" s="87">
        <v>4.3330666245436252E-2</v>
      </c>
      <c r="AQ68" s="87">
        <v>0.1370121030456323</v>
      </c>
      <c r="AR68" s="87">
        <v>6.8023404788633939E-3</v>
      </c>
      <c r="AS68" s="87">
        <v>4.492324744016022E-2</v>
      </c>
      <c r="AT68" s="87">
        <v>0.13500855311572707</v>
      </c>
      <c r="AV68" s="88" t="s">
        <v>42</v>
      </c>
      <c r="AW68" s="88" t="s">
        <v>42</v>
      </c>
      <c r="AX68" s="88" t="s">
        <v>42</v>
      </c>
      <c r="AY68" s="88" t="s">
        <v>42</v>
      </c>
      <c r="AZ68" s="88" t="s">
        <v>42</v>
      </c>
      <c r="BA68" s="88" t="s">
        <v>42</v>
      </c>
      <c r="BB68" s="2"/>
      <c r="BC68" s="19" t="s">
        <v>42</v>
      </c>
      <c r="BD68" s="19" t="s">
        <v>42</v>
      </c>
      <c r="BE68" s="19" t="s">
        <v>42</v>
      </c>
      <c r="BG68" s="23">
        <v>5.5373069441679705</v>
      </c>
      <c r="BH68" s="23">
        <v>5.9702919718473924</v>
      </c>
      <c r="BI68" s="23">
        <v>6.4581256981203454</v>
      </c>
      <c r="BJ68" s="23">
        <v>0.11566705145289352</v>
      </c>
      <c r="BK68" s="23">
        <v>0.35385912860856034</v>
      </c>
      <c r="BL68" s="23">
        <v>1.3356080658539677</v>
      </c>
      <c r="BM68" s="2"/>
      <c r="BN68" s="19">
        <v>844.21046667950384</v>
      </c>
      <c r="BO68" s="19">
        <v>8166.4825231213736</v>
      </c>
      <c r="BP68" s="19">
        <v>169327.55892062152</v>
      </c>
      <c r="BR68" s="23">
        <v>6.2060868642029137</v>
      </c>
      <c r="BS68" s="23">
        <v>6.6390718918823355</v>
      </c>
      <c r="BT68" s="23">
        <v>7.1269056181552886</v>
      </c>
      <c r="BU68" s="23">
        <v>0.24980413608448221</v>
      </c>
      <c r="BV68" s="23">
        <v>0.76422345695972771</v>
      </c>
      <c r="BW68" s="23">
        <v>2.8844897042611546</v>
      </c>
      <c r="BY68" s="19">
        <v>1850.2837806902075</v>
      </c>
      <c r="BZ68" s="19">
        <v>17011.758955710127</v>
      </c>
      <c r="CA68" s="19">
        <v>424043.71160543925</v>
      </c>
      <c r="CC68">
        <v>324</v>
      </c>
      <c r="CE68">
        <v>604</v>
      </c>
    </row>
    <row r="69" spans="1:83" x14ac:dyDescent="0.2">
      <c r="A69">
        <v>325</v>
      </c>
      <c r="B69" t="s">
        <v>416</v>
      </c>
      <c r="C69" s="13" t="s">
        <v>32</v>
      </c>
      <c r="D69" s="13" t="s">
        <v>235</v>
      </c>
      <c r="E69" s="13" t="s">
        <v>42</v>
      </c>
      <c r="F69" s="83" t="s">
        <v>42</v>
      </c>
      <c r="G69" s="84" t="s">
        <v>42</v>
      </c>
      <c r="H69" s="84" t="s">
        <v>42</v>
      </c>
      <c r="I69" s="85">
        <v>13.9</v>
      </c>
      <c r="J69" s="85">
        <v>197</v>
      </c>
      <c r="K69" s="85" t="s">
        <v>42</v>
      </c>
      <c r="L69" s="85" t="s">
        <v>42</v>
      </c>
      <c r="M69" s="85">
        <v>40</v>
      </c>
      <c r="N69" s="85">
        <v>53</v>
      </c>
      <c r="O69" s="85">
        <v>65</v>
      </c>
      <c r="P69" s="85" t="s">
        <v>9</v>
      </c>
      <c r="Q69" s="85">
        <v>0</v>
      </c>
      <c r="R69" s="85">
        <v>0</v>
      </c>
      <c r="S69" s="85" t="s">
        <v>211</v>
      </c>
      <c r="T69" s="86">
        <v>96.428611466154734</v>
      </c>
      <c r="U69" s="86">
        <v>140.62505838814229</v>
      </c>
      <c r="V69" s="86">
        <v>200.89294055448903</v>
      </c>
      <c r="W69" s="86" t="s">
        <v>42</v>
      </c>
      <c r="X69" s="86" t="s">
        <v>42</v>
      </c>
      <c r="Y69" s="86" t="s">
        <v>42</v>
      </c>
      <c r="Z69" s="86" t="s">
        <v>42</v>
      </c>
      <c r="AB69" s="85" t="s">
        <v>470</v>
      </c>
      <c r="AC69" s="85">
        <v>1.2500000000000001E-2</v>
      </c>
      <c r="AD69" s="85">
        <v>3.7499999999999999E-2</v>
      </c>
      <c r="AE69" s="85">
        <v>6.25E-2</v>
      </c>
      <c r="AF69" s="85">
        <v>0.57000000000000006</v>
      </c>
      <c r="AG69" s="85">
        <v>0.75</v>
      </c>
      <c r="AH69" s="85">
        <v>0.92999999999999994</v>
      </c>
      <c r="AI69" s="85">
        <v>46</v>
      </c>
      <c r="AJ69" s="85">
        <v>73</v>
      </c>
      <c r="AK69" s="85">
        <v>100</v>
      </c>
      <c r="AL69" s="85" t="s">
        <v>42</v>
      </c>
      <c r="AM69" s="85" t="s">
        <v>42</v>
      </c>
      <c r="AN69" s="85" t="s">
        <v>42</v>
      </c>
      <c r="AO69" s="87">
        <v>4.5092273369818723E-3</v>
      </c>
      <c r="AP69" s="87">
        <v>3.8743934317205637E-2</v>
      </c>
      <c r="AQ69" s="87">
        <v>0.13651029850562643</v>
      </c>
      <c r="AR69" s="87" t="s">
        <v>42</v>
      </c>
      <c r="AS69" s="87" t="s">
        <v>42</v>
      </c>
      <c r="AT69" s="87" t="s">
        <v>42</v>
      </c>
      <c r="AV69" s="88" t="s">
        <v>42</v>
      </c>
      <c r="AW69" s="88" t="s">
        <v>42</v>
      </c>
      <c r="AX69" s="88" t="s">
        <v>42</v>
      </c>
      <c r="AY69" s="88" t="s">
        <v>42</v>
      </c>
      <c r="AZ69" s="88" t="s">
        <v>42</v>
      </c>
      <c r="BA69" s="88" t="s">
        <v>42</v>
      </c>
      <c r="BB69" s="2"/>
      <c r="BC69" s="19" t="s">
        <v>42</v>
      </c>
      <c r="BD69" s="19" t="s">
        <v>42</v>
      </c>
      <c r="BE69" s="19" t="s">
        <v>42</v>
      </c>
      <c r="BG69" s="23">
        <v>5.7472760457601622</v>
      </c>
      <c r="BH69" s="23">
        <v>6.180261073439584</v>
      </c>
      <c r="BI69" s="23">
        <v>6.668094799712537</v>
      </c>
      <c r="BJ69" s="23">
        <v>0.14729710648850108</v>
      </c>
      <c r="BK69" s="23">
        <v>0.45062466012467339</v>
      </c>
      <c r="BL69" s="23">
        <v>1.7008404816397815</v>
      </c>
      <c r="BM69" s="2"/>
      <c r="BN69" s="19">
        <v>1079.0182726208752</v>
      </c>
      <c r="BO69" s="19">
        <v>11630.844106726592</v>
      </c>
      <c r="BP69" s="19">
        <v>377191.11380580615</v>
      </c>
      <c r="BR69" s="23" t="s">
        <v>42</v>
      </c>
      <c r="BS69" s="23" t="s">
        <v>42</v>
      </c>
      <c r="BT69" s="23" t="s">
        <v>42</v>
      </c>
      <c r="BU69" s="23" t="s">
        <v>42</v>
      </c>
      <c r="BV69" s="23" t="s">
        <v>42</v>
      </c>
      <c r="BW69" s="23" t="s">
        <v>42</v>
      </c>
      <c r="BX69" s="2"/>
      <c r="BY69" s="23" t="s">
        <v>42</v>
      </c>
      <c r="BZ69" s="23" t="s">
        <v>42</v>
      </c>
      <c r="CA69" s="23" t="s">
        <v>42</v>
      </c>
      <c r="CC69">
        <v>325</v>
      </c>
      <c r="CD69" t="s">
        <v>416</v>
      </c>
    </row>
    <row r="70" spans="1:83" x14ac:dyDescent="0.2">
      <c r="A70">
        <v>326</v>
      </c>
      <c r="B70">
        <v>54</v>
      </c>
      <c r="C70" s="13" t="s">
        <v>32</v>
      </c>
      <c r="D70" s="13" t="s">
        <v>236</v>
      </c>
      <c r="E70" s="13" t="s">
        <v>237</v>
      </c>
      <c r="F70" s="83" t="s">
        <v>42</v>
      </c>
      <c r="G70" s="84">
        <v>13.5</v>
      </c>
      <c r="H70" s="84">
        <v>186</v>
      </c>
      <c r="I70" s="85">
        <v>86.8</v>
      </c>
      <c r="J70" s="85">
        <v>172</v>
      </c>
      <c r="K70" s="85" t="s">
        <v>42</v>
      </c>
      <c r="L70" s="85" t="s">
        <v>42</v>
      </c>
      <c r="M70" s="85">
        <v>40</v>
      </c>
      <c r="N70" s="85">
        <v>53</v>
      </c>
      <c r="O70" s="85">
        <v>65</v>
      </c>
      <c r="P70" s="85" t="s">
        <v>9</v>
      </c>
      <c r="Q70" s="85">
        <v>0</v>
      </c>
      <c r="R70" s="85">
        <v>0</v>
      </c>
      <c r="S70" s="85" t="s">
        <v>308</v>
      </c>
      <c r="T70" s="86">
        <v>935</v>
      </c>
      <c r="U70" s="86">
        <v>935</v>
      </c>
      <c r="V70" s="86">
        <v>935</v>
      </c>
      <c r="W70" s="86" t="s">
        <v>42</v>
      </c>
      <c r="X70" s="86" t="s">
        <v>42</v>
      </c>
      <c r="Y70" s="86" t="s">
        <v>42</v>
      </c>
      <c r="Z70" s="86" t="s">
        <v>42</v>
      </c>
      <c r="AB70" s="85" t="s">
        <v>470</v>
      </c>
      <c r="AC70" s="85">
        <v>1.2500000000000001E-2</v>
      </c>
      <c r="AD70" s="85">
        <v>3.7499999999999999E-2</v>
      </c>
      <c r="AE70" s="85">
        <v>6.25E-2</v>
      </c>
      <c r="AF70" s="85">
        <v>0.57000000000000006</v>
      </c>
      <c r="AG70" s="85">
        <v>0.75</v>
      </c>
      <c r="AH70" s="85">
        <v>0.92999999999999994</v>
      </c>
      <c r="AI70" s="85">
        <v>46</v>
      </c>
      <c r="AJ70" s="85">
        <v>73</v>
      </c>
      <c r="AK70" s="85">
        <v>100</v>
      </c>
      <c r="AL70" s="87">
        <v>5.9785848721381225E-3</v>
      </c>
      <c r="AM70" s="87">
        <v>4.3018532285474358E-2</v>
      </c>
      <c r="AN70" s="87">
        <v>0.13720043753558483</v>
      </c>
      <c r="AO70" s="87">
        <v>7.5246888567615773E-3</v>
      </c>
      <c r="AP70" s="87">
        <v>4.4446322361153826E-2</v>
      </c>
      <c r="AQ70" s="87">
        <v>0.13584217719469097</v>
      </c>
      <c r="AR70" s="87" t="s">
        <v>42</v>
      </c>
      <c r="AS70" s="87" t="s">
        <v>42</v>
      </c>
      <c r="AT70" s="87" t="s">
        <v>42</v>
      </c>
      <c r="AV70" s="88">
        <v>5.699474326161682</v>
      </c>
      <c r="AW70" s="88">
        <v>6.1324593538411039</v>
      </c>
      <c r="AX70" s="88">
        <v>6.6202930801140569</v>
      </c>
      <c r="AY70" s="88">
        <v>0.14375623472010082</v>
      </c>
      <c r="AZ70" s="88">
        <v>0.43979210424344212</v>
      </c>
      <c r="BA70" s="88">
        <v>1.6599540162667468</v>
      </c>
      <c r="BB70" s="2"/>
      <c r="BC70" s="19">
        <v>1047.7826259323383</v>
      </c>
      <c r="BD70" s="19">
        <v>10223.317274632876</v>
      </c>
      <c r="BE70" s="19">
        <v>277649.98770906415</v>
      </c>
      <c r="BG70" s="23">
        <v>6.7338817434948979</v>
      </c>
      <c r="BH70" s="23">
        <v>7.0030099685356504</v>
      </c>
      <c r="BI70" s="23">
        <v>7.3359417348228604</v>
      </c>
      <c r="BJ70" s="23">
        <v>0.45866654554261993</v>
      </c>
      <c r="BK70" s="23">
        <v>1.1619552487079703</v>
      </c>
      <c r="BL70" s="23">
        <v>3.6693323643409621</v>
      </c>
      <c r="BM70" s="2"/>
      <c r="BN70" s="19">
        <v>3376.4663892662174</v>
      </c>
      <c r="BO70" s="19">
        <v>26142.888477169519</v>
      </c>
      <c r="BP70" s="19">
        <v>487639.08172013686</v>
      </c>
      <c r="BR70" s="23" t="s">
        <v>42</v>
      </c>
      <c r="BS70" s="23" t="s">
        <v>42</v>
      </c>
      <c r="BT70" s="23" t="s">
        <v>42</v>
      </c>
      <c r="BU70" s="23" t="s">
        <v>42</v>
      </c>
      <c r="BV70" s="23" t="s">
        <v>42</v>
      </c>
      <c r="BW70" s="23" t="s">
        <v>42</v>
      </c>
      <c r="BX70" s="2"/>
      <c r="BY70" s="23" t="s">
        <v>42</v>
      </c>
      <c r="BZ70" s="23" t="s">
        <v>42</v>
      </c>
      <c r="CA70" s="23" t="s">
        <v>42</v>
      </c>
      <c r="CC70">
        <v>326</v>
      </c>
      <c r="CD70">
        <v>54</v>
      </c>
    </row>
    <row r="71" spans="1:83" x14ac:dyDescent="0.2">
      <c r="A71">
        <v>326</v>
      </c>
      <c r="B71">
        <v>55</v>
      </c>
      <c r="C71" s="13" t="s">
        <v>32</v>
      </c>
      <c r="D71" s="13" t="s">
        <v>236</v>
      </c>
      <c r="E71" s="13" t="s">
        <v>238</v>
      </c>
      <c r="F71" s="83" t="s">
        <v>42</v>
      </c>
      <c r="G71" s="84">
        <v>8.8000000000000007</v>
      </c>
      <c r="H71" s="84">
        <v>123</v>
      </c>
      <c r="I71" s="85">
        <v>86.8</v>
      </c>
      <c r="J71" s="85">
        <v>172</v>
      </c>
      <c r="K71" s="85" t="s">
        <v>42</v>
      </c>
      <c r="L71" s="85" t="s">
        <v>42</v>
      </c>
      <c r="M71" s="85">
        <v>40</v>
      </c>
      <c r="N71" s="85">
        <v>53</v>
      </c>
      <c r="O71" s="85">
        <v>65</v>
      </c>
      <c r="P71" s="85" t="s">
        <v>9</v>
      </c>
      <c r="Q71" s="85">
        <v>0</v>
      </c>
      <c r="R71" s="85">
        <v>0</v>
      </c>
      <c r="S71" s="85" t="s">
        <v>308</v>
      </c>
      <c r="T71" s="86">
        <v>935</v>
      </c>
      <c r="U71" s="86">
        <v>935</v>
      </c>
      <c r="V71" s="86">
        <v>935</v>
      </c>
      <c r="W71" s="86" t="s">
        <v>42</v>
      </c>
      <c r="X71" s="86" t="s">
        <v>42</v>
      </c>
      <c r="Y71" s="86" t="s">
        <v>42</v>
      </c>
      <c r="Z71" s="86" t="s">
        <v>42</v>
      </c>
      <c r="AB71" s="85" t="s">
        <v>470</v>
      </c>
      <c r="AC71" s="85">
        <v>1.2500000000000001E-2</v>
      </c>
      <c r="AD71" s="85">
        <v>3.7499999999999999E-2</v>
      </c>
      <c r="AE71" s="85">
        <v>6.25E-2</v>
      </c>
      <c r="AF71" s="85">
        <v>0.57000000000000006</v>
      </c>
      <c r="AG71" s="85">
        <v>0.75</v>
      </c>
      <c r="AH71" s="85">
        <v>0.92999999999999994</v>
      </c>
      <c r="AI71" s="85">
        <v>46</v>
      </c>
      <c r="AJ71" s="85">
        <v>73</v>
      </c>
      <c r="AK71" s="85">
        <v>100</v>
      </c>
      <c r="AL71" s="85" t="s">
        <v>42</v>
      </c>
      <c r="AM71" s="85" t="s">
        <v>42</v>
      </c>
      <c r="AN71" s="85" t="s">
        <v>42</v>
      </c>
      <c r="AO71" s="87">
        <v>7.5246888567615773E-3</v>
      </c>
      <c r="AP71" s="87">
        <v>4.4446322361153826E-2</v>
      </c>
      <c r="AQ71" s="87">
        <v>0.13584217719469097</v>
      </c>
      <c r="AR71" s="87" t="s">
        <v>42</v>
      </c>
      <c r="AS71" s="87" t="s">
        <v>42</v>
      </c>
      <c r="AT71" s="87" t="s">
        <v>42</v>
      </c>
      <c r="AV71" s="88" t="s">
        <v>42</v>
      </c>
      <c r="AW71" s="88" t="s">
        <v>42</v>
      </c>
      <c r="AX71" s="88" t="s">
        <v>42</v>
      </c>
      <c r="AY71" s="88" t="s">
        <v>42</v>
      </c>
      <c r="AZ71" s="88" t="s">
        <v>42</v>
      </c>
      <c r="BA71" s="88" t="s">
        <v>42</v>
      </c>
      <c r="BB71" s="2"/>
      <c r="BC71" s="19" t="s">
        <v>42</v>
      </c>
      <c r="BD71" s="19" t="s">
        <v>42</v>
      </c>
      <c r="BE71" s="19" t="s">
        <v>42</v>
      </c>
      <c r="BG71" s="23">
        <v>6.7338817434948979</v>
      </c>
      <c r="BH71" s="23">
        <v>7.0030099685356504</v>
      </c>
      <c r="BI71" s="23">
        <v>7.3359417348228604</v>
      </c>
      <c r="BJ71" s="23">
        <v>0.45866654554261993</v>
      </c>
      <c r="BK71" s="23">
        <v>1.1619552487079703</v>
      </c>
      <c r="BL71" s="23">
        <v>3.6693323643409621</v>
      </c>
      <c r="BM71" s="2"/>
      <c r="BN71" s="19">
        <v>3376.4663892662174</v>
      </c>
      <c r="BO71" s="19">
        <v>26142.888477169519</v>
      </c>
      <c r="BP71" s="19">
        <v>487639.08172013686</v>
      </c>
      <c r="BR71" s="23" t="s">
        <v>42</v>
      </c>
      <c r="BS71" s="23" t="s">
        <v>42</v>
      </c>
      <c r="BT71" s="23" t="s">
        <v>42</v>
      </c>
      <c r="BU71" s="23" t="s">
        <v>42</v>
      </c>
      <c r="BV71" s="23" t="s">
        <v>42</v>
      </c>
      <c r="BW71" s="23" t="s">
        <v>42</v>
      </c>
      <c r="BX71" s="2"/>
      <c r="BY71" s="23" t="s">
        <v>42</v>
      </c>
      <c r="BZ71" s="23" t="s">
        <v>42</v>
      </c>
      <c r="CA71" s="23" t="s">
        <v>42</v>
      </c>
      <c r="CC71">
        <v>326</v>
      </c>
      <c r="CD71">
        <v>55</v>
      </c>
    </row>
    <row r="72" spans="1:83" x14ac:dyDescent="0.2">
      <c r="A72">
        <v>326</v>
      </c>
      <c r="B72">
        <v>56</v>
      </c>
      <c r="C72" s="13" t="s">
        <v>32</v>
      </c>
      <c r="D72" s="13" t="s">
        <v>236</v>
      </c>
      <c r="E72" s="13" t="s">
        <v>547</v>
      </c>
      <c r="F72" s="83" t="s">
        <v>42</v>
      </c>
      <c r="G72" s="84">
        <v>49.7</v>
      </c>
      <c r="H72" s="84">
        <v>183</v>
      </c>
      <c r="I72" s="85">
        <v>86.8</v>
      </c>
      <c r="J72" s="85">
        <v>172</v>
      </c>
      <c r="K72" s="85" t="s">
        <v>42</v>
      </c>
      <c r="L72" s="85" t="s">
        <v>42</v>
      </c>
      <c r="M72" s="85">
        <v>40</v>
      </c>
      <c r="N72" s="85">
        <v>53</v>
      </c>
      <c r="O72" s="85">
        <v>65</v>
      </c>
      <c r="P72" s="85" t="s">
        <v>9</v>
      </c>
      <c r="Q72" s="85">
        <v>0</v>
      </c>
      <c r="R72" s="85">
        <v>0</v>
      </c>
      <c r="S72" s="85" t="s">
        <v>308</v>
      </c>
      <c r="T72" s="86">
        <v>935</v>
      </c>
      <c r="U72" s="86">
        <v>935</v>
      </c>
      <c r="V72" s="86">
        <v>935</v>
      </c>
      <c r="W72" s="86" t="s">
        <v>42</v>
      </c>
      <c r="X72" s="86" t="s">
        <v>42</v>
      </c>
      <c r="Y72" s="86" t="s">
        <v>42</v>
      </c>
      <c r="Z72" s="86" t="s">
        <v>42</v>
      </c>
      <c r="AB72" s="85" t="s">
        <v>470</v>
      </c>
      <c r="AC72" s="85">
        <v>1.2500000000000001E-2</v>
      </c>
      <c r="AD72" s="85">
        <v>3.7499999999999999E-2</v>
      </c>
      <c r="AE72" s="85">
        <v>6.25E-2</v>
      </c>
      <c r="AF72" s="85">
        <v>0.57000000000000006</v>
      </c>
      <c r="AG72" s="85">
        <v>0.75</v>
      </c>
      <c r="AH72" s="85">
        <v>0.92999999999999994</v>
      </c>
      <c r="AI72" s="85">
        <v>46</v>
      </c>
      <c r="AJ72" s="85">
        <v>73</v>
      </c>
      <c r="AK72" s="85">
        <v>100</v>
      </c>
      <c r="AL72" s="87">
        <v>6.3432851175850005E-3</v>
      </c>
      <c r="AM72" s="87">
        <v>4.3915246284781488E-2</v>
      </c>
      <c r="AN72" s="87">
        <v>0.13651029850562643</v>
      </c>
      <c r="AO72" s="87">
        <v>7.5246888567615773E-3</v>
      </c>
      <c r="AP72" s="87">
        <v>4.4446322361153826E-2</v>
      </c>
      <c r="AQ72" s="87">
        <v>0.13584217719469097</v>
      </c>
      <c r="AR72" s="87" t="s">
        <v>42</v>
      </c>
      <c r="AS72" s="87" t="s">
        <v>42</v>
      </c>
      <c r="AT72" s="87" t="s">
        <v>42</v>
      </c>
      <c r="AV72" s="88">
        <v>6.6428453598922248</v>
      </c>
      <c r="AW72" s="88">
        <v>7.0758303875716466</v>
      </c>
      <c r="AX72" s="88">
        <v>7.5636641138445997</v>
      </c>
      <c r="AY72" s="88">
        <v>0.42590447771843459</v>
      </c>
      <c r="AZ72" s="88">
        <v>1.3029655849514545</v>
      </c>
      <c r="BA72" s="88">
        <v>4.9179212971961146</v>
      </c>
      <c r="BB72" s="2"/>
      <c r="BC72" s="19">
        <v>3119.9439337602826</v>
      </c>
      <c r="BD72" s="19">
        <v>29670.005184577272</v>
      </c>
      <c r="BE72" s="19">
        <v>775295.64035558479</v>
      </c>
      <c r="BG72" s="23">
        <v>6.7338817434948979</v>
      </c>
      <c r="BH72" s="23">
        <v>7.0030099685356504</v>
      </c>
      <c r="BI72" s="23">
        <v>7.3359417348228604</v>
      </c>
      <c r="BJ72" s="23">
        <v>0.45866654554261993</v>
      </c>
      <c r="BK72" s="23">
        <v>1.1619552487079703</v>
      </c>
      <c r="BL72" s="23">
        <v>3.6693323643409621</v>
      </c>
      <c r="BM72" s="2"/>
      <c r="BN72" s="19">
        <v>3376.4663892662174</v>
      </c>
      <c r="BO72" s="19">
        <v>26142.888477169519</v>
      </c>
      <c r="BP72" s="19">
        <v>487639.08172013686</v>
      </c>
      <c r="BR72" s="23" t="s">
        <v>42</v>
      </c>
      <c r="BS72" s="23" t="s">
        <v>42</v>
      </c>
      <c r="BT72" s="23" t="s">
        <v>42</v>
      </c>
      <c r="BU72" s="23" t="s">
        <v>42</v>
      </c>
      <c r="BV72" s="23" t="s">
        <v>42</v>
      </c>
      <c r="BW72" s="23" t="s">
        <v>42</v>
      </c>
      <c r="BX72" s="2"/>
      <c r="BY72" s="23" t="s">
        <v>42</v>
      </c>
      <c r="BZ72" s="23" t="s">
        <v>42</v>
      </c>
      <c r="CA72" s="23" t="s">
        <v>42</v>
      </c>
      <c r="CC72">
        <v>326</v>
      </c>
      <c r="CD72">
        <v>56</v>
      </c>
    </row>
    <row r="73" spans="1:83" x14ac:dyDescent="0.2">
      <c r="A73">
        <v>326</v>
      </c>
      <c r="B73">
        <v>57</v>
      </c>
      <c r="C73" s="13" t="s">
        <v>32</v>
      </c>
      <c r="D73" s="13" t="s">
        <v>236</v>
      </c>
      <c r="E73" s="13" t="s">
        <v>239</v>
      </c>
      <c r="F73" s="83" t="s">
        <v>42</v>
      </c>
      <c r="G73" s="84">
        <v>14.8</v>
      </c>
      <c r="H73" s="84">
        <v>147</v>
      </c>
      <c r="I73" s="85">
        <v>86.8</v>
      </c>
      <c r="J73" s="85">
        <v>172</v>
      </c>
      <c r="K73" s="85" t="s">
        <v>42</v>
      </c>
      <c r="L73" s="85" t="s">
        <v>42</v>
      </c>
      <c r="M73" s="85">
        <v>40</v>
      </c>
      <c r="N73" s="85">
        <v>53</v>
      </c>
      <c r="O73" s="85">
        <v>65</v>
      </c>
      <c r="P73" s="85" t="s">
        <v>9</v>
      </c>
      <c r="Q73" s="85">
        <v>0</v>
      </c>
      <c r="R73" s="85">
        <v>0</v>
      </c>
      <c r="S73" s="85" t="s">
        <v>308</v>
      </c>
      <c r="T73" s="86">
        <v>935</v>
      </c>
      <c r="U73" s="86">
        <v>935</v>
      </c>
      <c r="V73" s="86">
        <v>935</v>
      </c>
      <c r="W73" s="86" t="s">
        <v>42</v>
      </c>
      <c r="X73" s="86" t="s">
        <v>42</v>
      </c>
      <c r="Y73" s="86" t="s">
        <v>42</v>
      </c>
      <c r="Z73" s="86" t="s">
        <v>42</v>
      </c>
      <c r="AB73" s="85" t="s">
        <v>470</v>
      </c>
      <c r="AC73" s="85">
        <v>1.2500000000000001E-2</v>
      </c>
      <c r="AD73" s="85">
        <v>3.7499999999999999E-2</v>
      </c>
      <c r="AE73" s="85">
        <v>6.25E-2</v>
      </c>
      <c r="AF73" s="85">
        <v>0.57000000000000006</v>
      </c>
      <c r="AG73" s="85">
        <v>0.75</v>
      </c>
      <c r="AH73" s="85">
        <v>0.92999999999999994</v>
      </c>
      <c r="AI73" s="85">
        <v>46</v>
      </c>
      <c r="AJ73" s="85">
        <v>73</v>
      </c>
      <c r="AK73" s="85">
        <v>100</v>
      </c>
      <c r="AL73" s="87">
        <v>6.802340478863393E-3</v>
      </c>
      <c r="AM73" s="87">
        <v>4.492324744016022E-2</v>
      </c>
      <c r="AN73" s="87">
        <v>0.13500855311572707</v>
      </c>
      <c r="AO73" s="87">
        <v>7.5246888567615773E-3</v>
      </c>
      <c r="AP73" s="87">
        <v>4.4446322361153826E-2</v>
      </c>
      <c r="AQ73" s="87">
        <v>0.13584217719469097</v>
      </c>
      <c r="AR73" s="87" t="s">
        <v>42</v>
      </c>
      <c r="AS73" s="87" t="s">
        <v>42</v>
      </c>
      <c r="AT73" s="87" t="s">
        <v>42</v>
      </c>
      <c r="AV73" s="88">
        <v>5.7660209043282675</v>
      </c>
      <c r="AW73" s="88">
        <v>6.1990059320076893</v>
      </c>
      <c r="AX73" s="88">
        <v>6.6868396582806424</v>
      </c>
      <c r="AY73" s="88">
        <v>0.15520295230328629</v>
      </c>
      <c r="AZ73" s="88">
        <v>0.4748109402778668</v>
      </c>
      <c r="BA73" s="88">
        <v>1.7921293258265401</v>
      </c>
      <c r="BB73" s="2"/>
      <c r="BC73" s="19">
        <v>1149.5786653624004</v>
      </c>
      <c r="BD73" s="19">
        <v>10569.381496970722</v>
      </c>
      <c r="BE73" s="19">
        <v>263457.75125416653</v>
      </c>
      <c r="BG73" s="23">
        <v>6.7338817434948979</v>
      </c>
      <c r="BH73" s="23">
        <v>7.0030099685356504</v>
      </c>
      <c r="BI73" s="23">
        <v>7.3359417348228604</v>
      </c>
      <c r="BJ73" s="23">
        <v>0.45866654554261993</v>
      </c>
      <c r="BK73" s="23">
        <v>1.1619552487079703</v>
      </c>
      <c r="BL73" s="23">
        <v>3.6693323643409621</v>
      </c>
      <c r="BM73" s="2"/>
      <c r="BN73" s="19">
        <v>3376.4663892662174</v>
      </c>
      <c r="BO73" s="19">
        <v>26142.888477169519</v>
      </c>
      <c r="BP73" s="19">
        <v>487639.08172013686</v>
      </c>
      <c r="BR73" s="23" t="s">
        <v>42</v>
      </c>
      <c r="BS73" s="23" t="s">
        <v>42</v>
      </c>
      <c r="BT73" s="23" t="s">
        <v>42</v>
      </c>
      <c r="BU73" s="23" t="s">
        <v>42</v>
      </c>
      <c r="BV73" s="23" t="s">
        <v>42</v>
      </c>
      <c r="BW73" s="23" t="s">
        <v>42</v>
      </c>
      <c r="BX73" s="2"/>
      <c r="BY73" s="23" t="s">
        <v>42</v>
      </c>
      <c r="BZ73" s="23" t="s">
        <v>42</v>
      </c>
      <c r="CA73" s="23" t="s">
        <v>42</v>
      </c>
      <c r="CC73">
        <v>326</v>
      </c>
      <c r="CD73">
        <v>57</v>
      </c>
    </row>
    <row r="74" spans="1:83" x14ac:dyDescent="0.2">
      <c r="A74">
        <v>327</v>
      </c>
      <c r="B74">
        <v>58</v>
      </c>
      <c r="C74" s="13" t="s">
        <v>32</v>
      </c>
      <c r="D74" s="13" t="s">
        <v>256</v>
      </c>
      <c r="E74" s="64" t="s">
        <v>373</v>
      </c>
      <c r="F74" s="83" t="s">
        <v>42</v>
      </c>
      <c r="G74" s="84">
        <v>41.7</v>
      </c>
      <c r="H74" s="84">
        <v>346</v>
      </c>
      <c r="I74" s="85">
        <v>106.8</v>
      </c>
      <c r="J74" s="85">
        <v>342</v>
      </c>
      <c r="K74" s="85" t="s">
        <v>42</v>
      </c>
      <c r="L74" s="85" t="s">
        <v>42</v>
      </c>
      <c r="M74" s="85">
        <v>40</v>
      </c>
      <c r="N74" s="85">
        <v>53</v>
      </c>
      <c r="O74" s="85">
        <v>65</v>
      </c>
      <c r="P74" s="85" t="s">
        <v>13</v>
      </c>
      <c r="Q74" s="85">
        <v>0</v>
      </c>
      <c r="R74" s="85">
        <v>0</v>
      </c>
      <c r="S74" s="85" t="s">
        <v>211</v>
      </c>
      <c r="T74" s="86">
        <v>2884.9170730071401</v>
      </c>
      <c r="U74" s="86">
        <v>4207.1707314687465</v>
      </c>
      <c r="V74" s="86">
        <v>4680.4830901879714</v>
      </c>
      <c r="W74" s="86" t="s">
        <v>42</v>
      </c>
      <c r="X74" s="86" t="s">
        <v>42</v>
      </c>
      <c r="Y74" s="86" t="s">
        <v>42</v>
      </c>
      <c r="Z74" s="86" t="s">
        <v>42</v>
      </c>
      <c r="AB74" s="85" t="s">
        <v>471</v>
      </c>
      <c r="AC74" s="85">
        <v>0.25</v>
      </c>
      <c r="AD74" s="85">
        <v>0.35</v>
      </c>
      <c r="AE74" s="85">
        <v>0.45</v>
      </c>
      <c r="AF74" s="85">
        <v>0.57000000000000006</v>
      </c>
      <c r="AG74" s="85">
        <v>0.75</v>
      </c>
      <c r="AH74" s="85">
        <v>0.92999999999999994</v>
      </c>
      <c r="AI74" s="85">
        <v>46</v>
      </c>
      <c r="AJ74" s="85">
        <v>73</v>
      </c>
      <c r="AK74" s="85">
        <v>100</v>
      </c>
      <c r="AL74" s="87">
        <v>0.16109851216571691</v>
      </c>
      <c r="AM74" s="87">
        <v>0.39847074832925183</v>
      </c>
      <c r="AN74" s="87">
        <v>0.98889825199084991</v>
      </c>
      <c r="AO74" s="87">
        <v>0.16424638689384161</v>
      </c>
      <c r="AP74" s="87">
        <v>0.39203646980730628</v>
      </c>
      <c r="AQ74" s="87">
        <v>0.99010454186119479</v>
      </c>
      <c r="AR74" s="87" t="s">
        <v>42</v>
      </c>
      <c r="AS74" s="87" t="s">
        <v>42</v>
      </c>
      <c r="AT74" s="87" t="s">
        <v>42</v>
      </c>
      <c r="AV74" s="88">
        <v>6.5158114702929337</v>
      </c>
      <c r="AW74" s="88">
        <v>6.9487964979723555</v>
      </c>
      <c r="AX74" s="88">
        <v>7.4366302242453086</v>
      </c>
      <c r="AY74" s="88">
        <v>0.36795546807096291</v>
      </c>
      <c r="AZ74" s="88">
        <v>1.1256827217677687</v>
      </c>
      <c r="BA74" s="88">
        <v>4.248783770811313</v>
      </c>
      <c r="BB74" s="2"/>
      <c r="BC74" s="19">
        <v>372.08627614640335</v>
      </c>
      <c r="BD74" s="19">
        <v>2825.0071717626556</v>
      </c>
      <c r="BE74" s="19">
        <v>26373.823778339582</v>
      </c>
      <c r="BG74" s="23">
        <v>7.2232034664909008</v>
      </c>
      <c r="BH74" s="23">
        <v>7.6561884941703227</v>
      </c>
      <c r="BI74" s="23">
        <v>8.0354208044978037</v>
      </c>
      <c r="BJ74" s="23">
        <v>0.80567136068412371</v>
      </c>
      <c r="BK74" s="23">
        <v>2.4647828578276161</v>
      </c>
      <c r="BL74" s="23">
        <v>8.2096867479037776</v>
      </c>
      <c r="BM74" s="2"/>
      <c r="BN74" s="19">
        <v>813.72352778992979</v>
      </c>
      <c r="BO74" s="19">
        <v>6287.1264477998848</v>
      </c>
      <c r="BP74" s="19">
        <v>49983.971660880401</v>
      </c>
      <c r="BR74" s="23" t="s">
        <v>42</v>
      </c>
      <c r="BS74" s="23" t="s">
        <v>42</v>
      </c>
      <c r="BT74" s="23" t="s">
        <v>42</v>
      </c>
      <c r="BU74" s="23" t="s">
        <v>42</v>
      </c>
      <c r="BV74" s="23" t="s">
        <v>42</v>
      </c>
      <c r="BW74" s="23" t="s">
        <v>42</v>
      </c>
      <c r="BX74" s="2"/>
      <c r="BY74" s="23" t="s">
        <v>42</v>
      </c>
      <c r="BZ74" s="23" t="s">
        <v>42</v>
      </c>
      <c r="CA74" s="23" t="s">
        <v>42</v>
      </c>
      <c r="CC74">
        <v>327</v>
      </c>
      <c r="CD74">
        <v>58</v>
      </c>
    </row>
    <row r="75" spans="1:83" x14ac:dyDescent="0.2">
      <c r="A75">
        <v>327</v>
      </c>
      <c r="B75">
        <v>59</v>
      </c>
      <c r="C75" s="13" t="s">
        <v>32</v>
      </c>
      <c r="D75" s="13" t="s">
        <v>256</v>
      </c>
      <c r="E75" s="64" t="s">
        <v>377</v>
      </c>
      <c r="F75" s="83" t="s">
        <v>42</v>
      </c>
      <c r="G75" s="84">
        <v>4.5999999999999996</v>
      </c>
      <c r="H75" s="84">
        <v>358</v>
      </c>
      <c r="I75" s="85">
        <v>106.8</v>
      </c>
      <c r="J75" s="85">
        <v>342</v>
      </c>
      <c r="K75" s="85" t="s">
        <v>42</v>
      </c>
      <c r="L75" s="85" t="s">
        <v>42</v>
      </c>
      <c r="M75" s="85">
        <v>40</v>
      </c>
      <c r="N75" s="85">
        <v>53</v>
      </c>
      <c r="O75" s="85">
        <v>65</v>
      </c>
      <c r="P75" s="85" t="s">
        <v>13</v>
      </c>
      <c r="Q75" s="85">
        <v>0</v>
      </c>
      <c r="R75" s="85">
        <v>0</v>
      </c>
      <c r="S75" s="85" t="s">
        <v>211</v>
      </c>
      <c r="T75" s="86">
        <v>2884.9170730071401</v>
      </c>
      <c r="U75" s="86">
        <v>4207.1707314687465</v>
      </c>
      <c r="V75" s="86">
        <v>4680.4830901879714</v>
      </c>
      <c r="W75" s="86" t="s">
        <v>42</v>
      </c>
      <c r="X75" s="86" t="s">
        <v>42</v>
      </c>
      <c r="Y75" s="86" t="s">
        <v>42</v>
      </c>
      <c r="Z75" s="86" t="s">
        <v>42</v>
      </c>
      <c r="AB75" s="85" t="s">
        <v>471</v>
      </c>
      <c r="AC75" s="85">
        <v>0.25</v>
      </c>
      <c r="AD75" s="85">
        <v>0.35</v>
      </c>
      <c r="AE75" s="85">
        <v>0.45</v>
      </c>
      <c r="AF75" s="85">
        <v>0.57000000000000006</v>
      </c>
      <c r="AG75" s="85">
        <v>0.75</v>
      </c>
      <c r="AH75" s="85">
        <v>0.92999999999999994</v>
      </c>
      <c r="AI75" s="85">
        <v>46</v>
      </c>
      <c r="AJ75" s="85">
        <v>73</v>
      </c>
      <c r="AK75" s="85">
        <v>100</v>
      </c>
      <c r="AL75" s="85" t="s">
        <v>42</v>
      </c>
      <c r="AM75" s="85" t="s">
        <v>42</v>
      </c>
      <c r="AN75" s="85" t="s">
        <v>42</v>
      </c>
      <c r="AO75" s="87">
        <v>0.16424638689384161</v>
      </c>
      <c r="AP75" s="87">
        <v>0.39203646980730628</v>
      </c>
      <c r="AQ75" s="87">
        <v>0.99010454186119479</v>
      </c>
      <c r="AR75" s="87" t="s">
        <v>42</v>
      </c>
      <c r="AS75" s="87" t="s">
        <v>42</v>
      </c>
      <c r="AT75" s="87" t="s">
        <v>42</v>
      </c>
      <c r="AV75" s="88" t="s">
        <v>42</v>
      </c>
      <c r="AW75" s="88" t="s">
        <v>42</v>
      </c>
      <c r="AX75" s="88" t="s">
        <v>42</v>
      </c>
      <c r="AY75" s="88" t="s">
        <v>42</v>
      </c>
      <c r="AZ75" s="88" t="s">
        <v>42</v>
      </c>
      <c r="BA75" s="88" t="s">
        <v>42</v>
      </c>
      <c r="BB75" s="2"/>
      <c r="BC75" s="19" t="s">
        <v>42</v>
      </c>
      <c r="BD75" s="19" t="s">
        <v>42</v>
      </c>
      <c r="BE75" s="19" t="s">
        <v>42</v>
      </c>
      <c r="BG75" s="23">
        <v>7.2232034664909008</v>
      </c>
      <c r="BH75" s="23">
        <v>7.6561884941703227</v>
      </c>
      <c r="BI75" s="23">
        <v>8.0354208044978037</v>
      </c>
      <c r="BJ75" s="23">
        <v>0.80567136068412371</v>
      </c>
      <c r="BK75" s="23">
        <v>2.4647828578276161</v>
      </c>
      <c r="BL75" s="23">
        <v>8.2096867479037776</v>
      </c>
      <c r="BM75" s="2"/>
      <c r="BN75" s="19">
        <v>813.72352778992979</v>
      </c>
      <c r="BO75" s="19">
        <v>6287.1264477998848</v>
      </c>
      <c r="BP75" s="19">
        <v>49983.971660880401</v>
      </c>
      <c r="BR75" s="23" t="s">
        <v>42</v>
      </c>
      <c r="BS75" s="23" t="s">
        <v>42</v>
      </c>
      <c r="BT75" s="23" t="s">
        <v>42</v>
      </c>
      <c r="BU75" s="23" t="s">
        <v>42</v>
      </c>
      <c r="BV75" s="23" t="s">
        <v>42</v>
      </c>
      <c r="BW75" s="23" t="s">
        <v>42</v>
      </c>
      <c r="BX75" s="2"/>
      <c r="BY75" s="23" t="s">
        <v>42</v>
      </c>
      <c r="BZ75" s="23" t="s">
        <v>42</v>
      </c>
      <c r="CA75" s="23" t="s">
        <v>42</v>
      </c>
      <c r="CC75">
        <v>327</v>
      </c>
      <c r="CD75">
        <v>59</v>
      </c>
    </row>
    <row r="76" spans="1:83" x14ac:dyDescent="0.2">
      <c r="A76">
        <v>327</v>
      </c>
      <c r="B76">
        <v>60</v>
      </c>
      <c r="C76" s="13" t="s">
        <v>32</v>
      </c>
      <c r="D76" s="13" t="s">
        <v>256</v>
      </c>
      <c r="E76" s="64" t="s">
        <v>374</v>
      </c>
      <c r="F76" s="83" t="s">
        <v>42</v>
      </c>
      <c r="G76" s="84">
        <v>23.2</v>
      </c>
      <c r="H76" s="84">
        <v>343</v>
      </c>
      <c r="I76" s="85">
        <v>106.8</v>
      </c>
      <c r="J76" s="85">
        <v>342</v>
      </c>
      <c r="K76" s="85" t="s">
        <v>42</v>
      </c>
      <c r="L76" s="85" t="s">
        <v>42</v>
      </c>
      <c r="M76" s="85">
        <v>40</v>
      </c>
      <c r="N76" s="85">
        <v>53</v>
      </c>
      <c r="O76" s="85">
        <v>65</v>
      </c>
      <c r="P76" s="85" t="s">
        <v>13</v>
      </c>
      <c r="Q76" s="85">
        <v>0</v>
      </c>
      <c r="R76" s="85">
        <v>0</v>
      </c>
      <c r="S76" s="85" t="s">
        <v>211</v>
      </c>
      <c r="T76" s="86">
        <v>2884.9170730071401</v>
      </c>
      <c r="U76" s="86">
        <v>4207.1707314687465</v>
      </c>
      <c r="V76" s="86">
        <v>4680.4830901879714</v>
      </c>
      <c r="W76" s="86" t="s">
        <v>42</v>
      </c>
      <c r="X76" s="86" t="s">
        <v>42</v>
      </c>
      <c r="Y76" s="86" t="s">
        <v>42</v>
      </c>
      <c r="Z76" s="86" t="s">
        <v>42</v>
      </c>
      <c r="AB76" s="85" t="s">
        <v>471</v>
      </c>
      <c r="AC76" s="85">
        <v>0.25</v>
      </c>
      <c r="AD76" s="85">
        <v>0.35</v>
      </c>
      <c r="AE76" s="85">
        <v>0.45</v>
      </c>
      <c r="AF76" s="85">
        <v>0.57000000000000006</v>
      </c>
      <c r="AG76" s="85">
        <v>0.75</v>
      </c>
      <c r="AH76" s="85">
        <v>0.92999999999999994</v>
      </c>
      <c r="AI76" s="85">
        <v>46</v>
      </c>
      <c r="AJ76" s="85">
        <v>73</v>
      </c>
      <c r="AK76" s="85">
        <v>100</v>
      </c>
      <c r="AL76" s="87">
        <v>0.16574551364133103</v>
      </c>
      <c r="AM76" s="87">
        <v>0.38863970423077088</v>
      </c>
      <c r="AN76" s="87">
        <v>0.99025536254932056</v>
      </c>
      <c r="AO76" s="87">
        <v>0.16424638689384161</v>
      </c>
      <c r="AP76" s="87">
        <v>0.39203646980730628</v>
      </c>
      <c r="AQ76" s="87">
        <v>0.99010454186119479</v>
      </c>
      <c r="AR76" s="87" t="s">
        <v>42</v>
      </c>
      <c r="AS76" s="87" t="s">
        <v>42</v>
      </c>
      <c r="AT76" s="87" t="s">
        <v>42</v>
      </c>
      <c r="AV76" s="88">
        <v>6.0913980201548368</v>
      </c>
      <c r="AW76" s="88">
        <v>6.5243830478342586</v>
      </c>
      <c r="AX76" s="88">
        <v>7.0122167741072117</v>
      </c>
      <c r="AY76" s="88">
        <v>0.22572961255674059</v>
      </c>
      <c r="AZ76" s="88">
        <v>0.69057249231434337</v>
      </c>
      <c r="BA76" s="88">
        <v>2.6065010514740878</v>
      </c>
      <c r="BB76" s="2"/>
      <c r="BC76" s="19">
        <v>227.95091154631129</v>
      </c>
      <c r="BD76" s="19">
        <v>1776.8964024949119</v>
      </c>
      <c r="BE76" s="19">
        <v>15725.922193673901</v>
      </c>
      <c r="BG76" s="23">
        <v>7.2232034664909008</v>
      </c>
      <c r="BH76" s="23">
        <v>7.6561884941703227</v>
      </c>
      <c r="BI76" s="23">
        <v>8.0354208044978037</v>
      </c>
      <c r="BJ76" s="23">
        <v>0.80567136068412371</v>
      </c>
      <c r="BK76" s="23">
        <v>2.4647828578276161</v>
      </c>
      <c r="BL76" s="23">
        <v>8.2096867479037776</v>
      </c>
      <c r="BM76" s="2"/>
      <c r="BN76" s="19">
        <v>813.72352778992979</v>
      </c>
      <c r="BO76" s="19">
        <v>6287.1264477998848</v>
      </c>
      <c r="BP76" s="19">
        <v>49983.971660880401</v>
      </c>
      <c r="BR76" s="23" t="s">
        <v>42</v>
      </c>
      <c r="BS76" s="23" t="s">
        <v>42</v>
      </c>
      <c r="BT76" s="23" t="s">
        <v>42</v>
      </c>
      <c r="BU76" s="23" t="s">
        <v>42</v>
      </c>
      <c r="BV76" s="23" t="s">
        <v>42</v>
      </c>
      <c r="BW76" s="23" t="s">
        <v>42</v>
      </c>
      <c r="BX76" s="2"/>
      <c r="BY76" s="23" t="s">
        <v>42</v>
      </c>
      <c r="BZ76" s="23" t="s">
        <v>42</v>
      </c>
      <c r="CA76" s="23" t="s">
        <v>42</v>
      </c>
      <c r="CC76">
        <v>327</v>
      </c>
      <c r="CD76">
        <v>60</v>
      </c>
    </row>
    <row r="77" spans="1:83" x14ac:dyDescent="0.2">
      <c r="A77">
        <v>327</v>
      </c>
      <c r="B77">
        <v>61</v>
      </c>
      <c r="C77" s="13" t="s">
        <v>32</v>
      </c>
      <c r="D77" s="13" t="s">
        <v>256</v>
      </c>
      <c r="E77" s="64" t="s">
        <v>375</v>
      </c>
      <c r="F77" s="83" t="s">
        <v>42</v>
      </c>
      <c r="G77" s="84">
        <v>1.6</v>
      </c>
      <c r="H77" s="84">
        <v>74</v>
      </c>
      <c r="I77" s="85">
        <v>106.8</v>
      </c>
      <c r="J77" s="85">
        <v>342</v>
      </c>
      <c r="K77" s="85" t="s">
        <v>42</v>
      </c>
      <c r="L77" s="85" t="s">
        <v>42</v>
      </c>
      <c r="M77" s="85">
        <v>40</v>
      </c>
      <c r="N77" s="85">
        <v>53</v>
      </c>
      <c r="O77" s="85">
        <v>65</v>
      </c>
      <c r="P77" s="85" t="s">
        <v>13</v>
      </c>
      <c r="Q77" s="85">
        <v>0</v>
      </c>
      <c r="R77" s="85">
        <v>0</v>
      </c>
      <c r="S77" s="85" t="s">
        <v>211</v>
      </c>
      <c r="T77" s="86">
        <v>2884.9170730071401</v>
      </c>
      <c r="U77" s="86">
        <v>4207.1707314687465</v>
      </c>
      <c r="V77" s="86">
        <v>4680.4830901879714</v>
      </c>
      <c r="W77" s="86" t="s">
        <v>42</v>
      </c>
      <c r="X77" s="86" t="s">
        <v>42</v>
      </c>
      <c r="Y77" s="86" t="s">
        <v>42</v>
      </c>
      <c r="Z77" s="86" t="s">
        <v>42</v>
      </c>
      <c r="AB77" s="85" t="s">
        <v>471</v>
      </c>
      <c r="AC77" s="85">
        <v>0.25</v>
      </c>
      <c r="AD77" s="85">
        <v>0.35</v>
      </c>
      <c r="AE77" s="85">
        <v>0.45</v>
      </c>
      <c r="AF77" s="85">
        <v>0.57000000000000006</v>
      </c>
      <c r="AG77" s="85">
        <v>0.75</v>
      </c>
      <c r="AH77" s="85">
        <v>0.92999999999999994</v>
      </c>
      <c r="AI77" s="85">
        <v>46</v>
      </c>
      <c r="AJ77" s="85">
        <v>73</v>
      </c>
      <c r="AK77" s="85">
        <v>100</v>
      </c>
      <c r="AL77" s="85" t="s">
        <v>42</v>
      </c>
      <c r="AM77" s="85" t="s">
        <v>42</v>
      </c>
      <c r="AN77" s="85" t="s">
        <v>42</v>
      </c>
      <c r="AO77" s="87">
        <v>0.16424638689384161</v>
      </c>
      <c r="AP77" s="87">
        <v>0.39203646980730628</v>
      </c>
      <c r="AQ77" s="87">
        <v>0.99010454186119479</v>
      </c>
      <c r="AR77" s="87" t="s">
        <v>42</v>
      </c>
      <c r="AS77" s="87" t="s">
        <v>42</v>
      </c>
      <c r="AT77" s="87" t="s">
        <v>42</v>
      </c>
      <c r="AV77" s="88" t="s">
        <v>42</v>
      </c>
      <c r="AW77" s="88" t="s">
        <v>42</v>
      </c>
      <c r="AX77" s="88" t="s">
        <v>42</v>
      </c>
      <c r="AY77" s="88" t="s">
        <v>42</v>
      </c>
      <c r="AZ77" s="88" t="s">
        <v>42</v>
      </c>
      <c r="BA77" s="88" t="s">
        <v>42</v>
      </c>
      <c r="BB77" s="2"/>
      <c r="BC77" s="19" t="s">
        <v>42</v>
      </c>
      <c r="BD77" s="19" t="s">
        <v>42</v>
      </c>
      <c r="BE77" s="19" t="s">
        <v>42</v>
      </c>
      <c r="BG77" s="23">
        <v>7.2232034664909008</v>
      </c>
      <c r="BH77" s="23">
        <v>7.6561884941703227</v>
      </c>
      <c r="BI77" s="23">
        <v>8.0354208044978037</v>
      </c>
      <c r="BJ77" s="23">
        <v>0.80567136068412371</v>
      </c>
      <c r="BK77" s="23">
        <v>2.4647828578276161</v>
      </c>
      <c r="BL77" s="23">
        <v>8.2096867479037776</v>
      </c>
      <c r="BM77" s="2"/>
      <c r="BN77" s="19">
        <v>813.72352778992979</v>
      </c>
      <c r="BO77" s="19">
        <v>6287.1264477998848</v>
      </c>
      <c r="BP77" s="19">
        <v>49983.971660880401</v>
      </c>
      <c r="BR77" s="23" t="s">
        <v>42</v>
      </c>
      <c r="BS77" s="23" t="s">
        <v>42</v>
      </c>
      <c r="BT77" s="23" t="s">
        <v>42</v>
      </c>
      <c r="BU77" s="23" t="s">
        <v>42</v>
      </c>
      <c r="BV77" s="23" t="s">
        <v>42</v>
      </c>
      <c r="BW77" s="23" t="s">
        <v>42</v>
      </c>
      <c r="BX77" s="2"/>
      <c r="BY77" s="23" t="s">
        <v>42</v>
      </c>
      <c r="BZ77" s="23" t="s">
        <v>42</v>
      </c>
      <c r="CA77" s="23" t="s">
        <v>42</v>
      </c>
      <c r="CC77">
        <v>327</v>
      </c>
      <c r="CD77">
        <v>61</v>
      </c>
    </row>
    <row r="78" spans="1:83" x14ac:dyDescent="0.2">
      <c r="A78">
        <v>327</v>
      </c>
      <c r="B78">
        <v>62</v>
      </c>
      <c r="C78" s="13" t="s">
        <v>32</v>
      </c>
      <c r="D78" s="13" t="s">
        <v>256</v>
      </c>
      <c r="E78" s="64" t="s">
        <v>257</v>
      </c>
      <c r="F78" s="83" t="s">
        <v>42</v>
      </c>
      <c r="G78" s="84">
        <v>27.3</v>
      </c>
      <c r="H78" s="84">
        <v>327</v>
      </c>
      <c r="I78" s="85">
        <v>106.8</v>
      </c>
      <c r="J78" s="85">
        <v>342</v>
      </c>
      <c r="K78" s="85" t="s">
        <v>42</v>
      </c>
      <c r="L78" s="85" t="s">
        <v>42</v>
      </c>
      <c r="M78" s="85">
        <v>40</v>
      </c>
      <c r="N78" s="85">
        <v>53</v>
      </c>
      <c r="O78" s="85">
        <v>65</v>
      </c>
      <c r="P78" s="85" t="s">
        <v>13</v>
      </c>
      <c r="Q78" s="85">
        <v>0</v>
      </c>
      <c r="R78" s="85">
        <v>0</v>
      </c>
      <c r="S78" s="85" t="s">
        <v>211</v>
      </c>
      <c r="T78" s="86">
        <v>2884.9170730071401</v>
      </c>
      <c r="U78" s="86">
        <v>4207.1707314687465</v>
      </c>
      <c r="V78" s="86">
        <v>4680.4830901879714</v>
      </c>
      <c r="W78" s="86" t="s">
        <v>42</v>
      </c>
      <c r="X78" s="86" t="s">
        <v>42</v>
      </c>
      <c r="Y78" s="86" t="s">
        <v>42</v>
      </c>
      <c r="Z78" s="86" t="s">
        <v>42</v>
      </c>
      <c r="AB78" s="85" t="s">
        <v>471</v>
      </c>
      <c r="AC78" s="85">
        <v>0.25</v>
      </c>
      <c r="AD78" s="85">
        <v>0.35</v>
      </c>
      <c r="AE78" s="85">
        <v>0.45</v>
      </c>
      <c r="AF78" s="85">
        <v>0.57000000000000006</v>
      </c>
      <c r="AG78" s="85">
        <v>0.75</v>
      </c>
      <c r="AH78" s="85">
        <v>0.92999999999999994</v>
      </c>
      <c r="AI78" s="85">
        <v>46</v>
      </c>
      <c r="AJ78" s="85">
        <v>73</v>
      </c>
      <c r="AK78" s="85">
        <v>100</v>
      </c>
      <c r="AL78" s="87">
        <v>0.13604680957726789</v>
      </c>
      <c r="AM78" s="87">
        <v>0.41928364277482866</v>
      </c>
      <c r="AN78" s="87">
        <v>0.97206158243323482</v>
      </c>
      <c r="AO78" s="87">
        <v>0.16424638689384161</v>
      </c>
      <c r="AP78" s="87">
        <v>0.39203646980730628</v>
      </c>
      <c r="AQ78" s="87">
        <v>0.99010454186119479</v>
      </c>
      <c r="AR78" s="87" t="s">
        <v>42</v>
      </c>
      <c r="AS78" s="87" t="s">
        <v>42</v>
      </c>
      <c r="AT78" s="87" t="s">
        <v>42</v>
      </c>
      <c r="AV78" s="88">
        <v>6.2091891237379313</v>
      </c>
      <c r="AW78" s="88">
        <v>6.6421741514173531</v>
      </c>
      <c r="AX78" s="88">
        <v>7.1300078776903062</v>
      </c>
      <c r="AY78" s="88">
        <v>0.25851401212490355</v>
      </c>
      <c r="AZ78" s="88">
        <v>0.79086949926164718</v>
      </c>
      <c r="BA78" s="88">
        <v>2.9850626897920658</v>
      </c>
      <c r="BB78" s="2"/>
      <c r="BC78" s="19">
        <v>265.94406856178722</v>
      </c>
      <c r="BD78" s="19">
        <v>1886.2398113784143</v>
      </c>
      <c r="BE78" s="19">
        <v>21941.438384828107</v>
      </c>
      <c r="BG78" s="23">
        <v>7.2232034664909008</v>
      </c>
      <c r="BH78" s="23">
        <v>7.6561884941703227</v>
      </c>
      <c r="BI78" s="23">
        <v>8.0354208044978037</v>
      </c>
      <c r="BJ78" s="23">
        <v>0.80567136068412371</v>
      </c>
      <c r="BK78" s="23">
        <v>2.4647828578276161</v>
      </c>
      <c r="BL78" s="23">
        <v>8.2096867479037776</v>
      </c>
      <c r="BN78" s="19">
        <v>813.72352778992979</v>
      </c>
      <c r="BO78" s="19">
        <v>6287.1264477998848</v>
      </c>
      <c r="BP78" s="19">
        <v>49983.971660880401</v>
      </c>
      <c r="BR78" s="23" t="s">
        <v>42</v>
      </c>
      <c r="BS78" s="23" t="s">
        <v>42</v>
      </c>
      <c r="BT78" s="23" t="s">
        <v>42</v>
      </c>
      <c r="BU78" s="23" t="s">
        <v>42</v>
      </c>
      <c r="BV78" s="23" t="s">
        <v>42</v>
      </c>
      <c r="BW78" s="23" t="s">
        <v>42</v>
      </c>
      <c r="BY78" s="23" t="s">
        <v>42</v>
      </c>
      <c r="BZ78" s="23" t="s">
        <v>42</v>
      </c>
      <c r="CA78" s="23" t="s">
        <v>42</v>
      </c>
      <c r="CC78">
        <v>327</v>
      </c>
      <c r="CD78">
        <v>62</v>
      </c>
    </row>
    <row r="79" spans="1:83" x14ac:dyDescent="0.2">
      <c r="A79">
        <v>327</v>
      </c>
      <c r="B79">
        <v>63</v>
      </c>
      <c r="C79" s="13" t="s">
        <v>32</v>
      </c>
      <c r="D79" s="13" t="s">
        <v>256</v>
      </c>
      <c r="E79" s="64" t="s">
        <v>376</v>
      </c>
      <c r="F79" s="83" t="s">
        <v>42</v>
      </c>
      <c r="G79" s="84">
        <v>0.7</v>
      </c>
      <c r="H79" s="84">
        <v>57</v>
      </c>
      <c r="I79" s="85">
        <v>106.8</v>
      </c>
      <c r="J79" s="85">
        <v>342</v>
      </c>
      <c r="K79" s="85" t="s">
        <v>42</v>
      </c>
      <c r="L79" s="85" t="s">
        <v>42</v>
      </c>
      <c r="M79" s="85">
        <v>40</v>
      </c>
      <c r="N79" s="85">
        <v>53</v>
      </c>
      <c r="O79" s="85">
        <v>65</v>
      </c>
      <c r="P79" s="85" t="s">
        <v>13</v>
      </c>
      <c r="Q79" s="85">
        <v>0</v>
      </c>
      <c r="R79" s="85">
        <v>0</v>
      </c>
      <c r="S79" s="85" t="s">
        <v>211</v>
      </c>
      <c r="T79" s="86">
        <v>2884.9170730071401</v>
      </c>
      <c r="U79" s="86">
        <v>4207.1707314687465</v>
      </c>
      <c r="V79" s="86">
        <v>4680.4830901879714</v>
      </c>
      <c r="W79" s="86" t="s">
        <v>42</v>
      </c>
      <c r="X79" s="86" t="s">
        <v>42</v>
      </c>
      <c r="Y79" s="86" t="s">
        <v>42</v>
      </c>
      <c r="Z79" s="86" t="s">
        <v>42</v>
      </c>
      <c r="AB79" s="85" t="s">
        <v>471</v>
      </c>
      <c r="AC79" s="85">
        <v>0.25</v>
      </c>
      <c r="AD79" s="85">
        <v>0.35</v>
      </c>
      <c r="AE79" s="85">
        <v>0.45</v>
      </c>
      <c r="AF79" s="85">
        <v>0.57000000000000006</v>
      </c>
      <c r="AG79" s="85">
        <v>0.75</v>
      </c>
      <c r="AH79" s="85">
        <v>0.92999999999999994</v>
      </c>
      <c r="AI79" s="85">
        <v>46</v>
      </c>
      <c r="AJ79" s="85">
        <v>73</v>
      </c>
      <c r="AK79" s="85">
        <v>100</v>
      </c>
      <c r="AL79" s="85" t="s">
        <v>42</v>
      </c>
      <c r="AM79" s="85" t="s">
        <v>42</v>
      </c>
      <c r="AN79" s="85" t="s">
        <v>42</v>
      </c>
      <c r="AO79" s="87">
        <v>0.16424638689384161</v>
      </c>
      <c r="AP79" s="87">
        <v>0.39203646980730628</v>
      </c>
      <c r="AQ79" s="87">
        <v>0.99010454186119479</v>
      </c>
      <c r="AR79" s="87" t="s">
        <v>42</v>
      </c>
      <c r="AS79" s="87" t="s">
        <v>42</v>
      </c>
      <c r="AT79" s="87" t="s">
        <v>42</v>
      </c>
      <c r="AV79" s="88" t="s">
        <v>42</v>
      </c>
      <c r="AW79" s="88" t="s">
        <v>42</v>
      </c>
      <c r="AX79" s="88" t="s">
        <v>42</v>
      </c>
      <c r="AY79" s="88" t="s">
        <v>42</v>
      </c>
      <c r="AZ79" s="88" t="s">
        <v>42</v>
      </c>
      <c r="BA79" s="88" t="s">
        <v>42</v>
      </c>
      <c r="BB79" s="2"/>
      <c r="BC79" s="19" t="s">
        <v>42</v>
      </c>
      <c r="BD79" s="19" t="s">
        <v>42</v>
      </c>
      <c r="BE79" s="19" t="s">
        <v>42</v>
      </c>
      <c r="BG79" s="23">
        <v>7.2232034664909008</v>
      </c>
      <c r="BH79" s="23">
        <v>7.6561884941703227</v>
      </c>
      <c r="BI79" s="23">
        <v>8.0354208044978037</v>
      </c>
      <c r="BJ79" s="23">
        <v>0.80567136068412371</v>
      </c>
      <c r="BK79" s="23">
        <v>2.4647828578276161</v>
      </c>
      <c r="BL79" s="23">
        <v>8.2096867479037776</v>
      </c>
      <c r="BM79" s="2"/>
      <c r="BN79" s="19">
        <v>813.72352778992979</v>
      </c>
      <c r="BO79" s="19">
        <v>6287.1264477998848</v>
      </c>
      <c r="BP79" s="19">
        <v>49983.971660880401</v>
      </c>
      <c r="BR79" s="23" t="s">
        <v>42</v>
      </c>
      <c r="BS79" s="23" t="s">
        <v>42</v>
      </c>
      <c r="BT79" s="23" t="s">
        <v>42</v>
      </c>
      <c r="BU79" s="23" t="s">
        <v>42</v>
      </c>
      <c r="BV79" s="23" t="s">
        <v>42</v>
      </c>
      <c r="BW79" s="23" t="s">
        <v>42</v>
      </c>
      <c r="BX79" s="2"/>
      <c r="BY79" s="23" t="s">
        <v>42</v>
      </c>
      <c r="BZ79" s="23" t="s">
        <v>42</v>
      </c>
      <c r="CA79" s="23" t="s">
        <v>42</v>
      </c>
      <c r="CC79">
        <v>327</v>
      </c>
      <c r="CD79">
        <v>63</v>
      </c>
    </row>
    <row r="80" spans="1:83" x14ac:dyDescent="0.2">
      <c r="A80">
        <v>327</v>
      </c>
      <c r="B80">
        <v>64</v>
      </c>
      <c r="C80" s="13" t="s">
        <v>32</v>
      </c>
      <c r="D80" s="13" t="s">
        <v>256</v>
      </c>
      <c r="E80" s="64" t="s">
        <v>100</v>
      </c>
      <c r="F80" s="83" t="s">
        <v>42</v>
      </c>
      <c r="G80" s="84">
        <v>7.7</v>
      </c>
      <c r="H80" s="84">
        <v>349</v>
      </c>
      <c r="I80" s="85">
        <v>106.8</v>
      </c>
      <c r="J80" s="85">
        <v>342</v>
      </c>
      <c r="K80" s="85" t="s">
        <v>42</v>
      </c>
      <c r="L80" s="85" t="s">
        <v>42</v>
      </c>
      <c r="M80" s="85">
        <v>40</v>
      </c>
      <c r="N80" s="85">
        <v>53</v>
      </c>
      <c r="O80" s="85">
        <v>65</v>
      </c>
      <c r="P80" s="85" t="s">
        <v>13</v>
      </c>
      <c r="Q80" s="85">
        <v>0</v>
      </c>
      <c r="R80" s="85">
        <v>0</v>
      </c>
      <c r="S80" s="85" t="s">
        <v>211</v>
      </c>
      <c r="T80" s="86">
        <v>2884.9170730071401</v>
      </c>
      <c r="U80" s="86">
        <v>4207.1707314687465</v>
      </c>
      <c r="V80" s="86">
        <v>4680.4830901879714</v>
      </c>
      <c r="W80" s="86" t="s">
        <v>42</v>
      </c>
      <c r="X80" s="86" t="s">
        <v>42</v>
      </c>
      <c r="Y80" s="86" t="s">
        <v>42</v>
      </c>
      <c r="Z80" s="86" t="s">
        <v>42</v>
      </c>
      <c r="AB80" s="85" t="s">
        <v>471</v>
      </c>
      <c r="AC80" s="85">
        <v>0.25</v>
      </c>
      <c r="AD80" s="85">
        <v>0.35</v>
      </c>
      <c r="AE80" s="85">
        <v>0.45</v>
      </c>
      <c r="AF80" s="85">
        <v>0.57000000000000006</v>
      </c>
      <c r="AG80" s="85">
        <v>0.75</v>
      </c>
      <c r="AH80" s="85">
        <v>0.92999999999999994</v>
      </c>
      <c r="AI80" s="85">
        <v>46</v>
      </c>
      <c r="AJ80" s="85">
        <v>73</v>
      </c>
      <c r="AK80" s="85">
        <v>100</v>
      </c>
      <c r="AL80" s="87">
        <v>0.15600995086607677</v>
      </c>
      <c r="AM80" s="87">
        <v>0.4072096118039244</v>
      </c>
      <c r="AN80" s="87">
        <v>0.98483064006114707</v>
      </c>
      <c r="AO80" s="87">
        <v>0.16424638689384161</v>
      </c>
      <c r="AP80" s="87">
        <v>0.39203646980730628</v>
      </c>
      <c r="AQ80" s="87">
        <v>0.99010454186119479</v>
      </c>
      <c r="AR80" s="87" t="s">
        <v>42</v>
      </c>
      <c r="AS80" s="87" t="s">
        <v>42</v>
      </c>
      <c r="AT80" s="87" t="s">
        <v>42</v>
      </c>
      <c r="AV80" s="88">
        <v>5.2930692539574737</v>
      </c>
      <c r="AW80" s="88">
        <v>5.7260542816368956</v>
      </c>
      <c r="AX80" s="88">
        <v>6.2138880079098486</v>
      </c>
      <c r="AY80" s="88">
        <v>9.0037650362756974E-2</v>
      </c>
      <c r="AZ80" s="88">
        <v>0.27545134158021578</v>
      </c>
      <c r="BA80" s="88">
        <v>1.0396652334827832</v>
      </c>
      <c r="BB80" s="2"/>
      <c r="BC80" s="19">
        <v>91.424501533752689</v>
      </c>
      <c r="BD80" s="19">
        <v>676.43624707181141</v>
      </c>
      <c r="BE80" s="19">
        <v>6664.0956407662761</v>
      </c>
      <c r="BG80" s="23">
        <v>7.2232034664909008</v>
      </c>
      <c r="BH80" s="23">
        <v>7.6561884941703227</v>
      </c>
      <c r="BI80" s="23">
        <v>8.0354208044978037</v>
      </c>
      <c r="BJ80" s="23">
        <v>0.80567136068412371</v>
      </c>
      <c r="BK80" s="23">
        <v>2.4647828578276161</v>
      </c>
      <c r="BL80" s="23">
        <v>8.2096867479037776</v>
      </c>
      <c r="BN80" s="19">
        <v>813.72352778992979</v>
      </c>
      <c r="BO80" s="19">
        <v>6287.1264477998848</v>
      </c>
      <c r="BP80" s="19">
        <v>49983.971660880401</v>
      </c>
      <c r="BR80" s="23" t="s">
        <v>42</v>
      </c>
      <c r="BS80" s="23" t="s">
        <v>42</v>
      </c>
      <c r="BT80" s="23" t="s">
        <v>42</v>
      </c>
      <c r="BU80" s="23" t="s">
        <v>42</v>
      </c>
      <c r="BV80" s="23" t="s">
        <v>42</v>
      </c>
      <c r="BW80" s="23" t="s">
        <v>42</v>
      </c>
      <c r="BY80" s="23" t="s">
        <v>42</v>
      </c>
      <c r="BZ80" s="23" t="s">
        <v>42</v>
      </c>
      <c r="CA80" s="23" t="s">
        <v>42</v>
      </c>
      <c r="CC80">
        <v>327</v>
      </c>
      <c r="CD80">
        <v>64</v>
      </c>
    </row>
    <row r="81" spans="1:82" x14ac:dyDescent="0.2">
      <c r="A81">
        <v>328</v>
      </c>
      <c r="B81">
        <v>65</v>
      </c>
      <c r="C81" s="13" t="s">
        <v>32</v>
      </c>
      <c r="D81" s="13" t="s">
        <v>258</v>
      </c>
      <c r="E81" s="64" t="s">
        <v>381</v>
      </c>
      <c r="F81" s="83" t="s">
        <v>42</v>
      </c>
      <c r="G81" s="84">
        <v>41.7</v>
      </c>
      <c r="H81" s="84">
        <v>346</v>
      </c>
      <c r="I81" s="85">
        <v>121.4</v>
      </c>
      <c r="J81" s="85">
        <v>342</v>
      </c>
      <c r="K81" s="85" t="s">
        <v>42</v>
      </c>
      <c r="L81" s="85" t="s">
        <v>42</v>
      </c>
      <c r="M81" s="85">
        <v>40</v>
      </c>
      <c r="N81" s="85">
        <v>53</v>
      </c>
      <c r="O81" s="85">
        <v>65</v>
      </c>
      <c r="P81" s="85" t="s">
        <v>13</v>
      </c>
      <c r="Q81" s="85">
        <v>0</v>
      </c>
      <c r="R81" s="85">
        <v>0</v>
      </c>
      <c r="S81" s="85" t="s">
        <v>211</v>
      </c>
      <c r="T81" s="86">
        <v>3571.7335834092314</v>
      </c>
      <c r="U81" s="86">
        <v>5208.7781424717959</v>
      </c>
      <c r="V81" s="86">
        <v>5320.3244115058033</v>
      </c>
      <c r="W81" s="86" t="s">
        <v>42</v>
      </c>
      <c r="X81" s="86" t="s">
        <v>42</v>
      </c>
      <c r="Y81" s="86" t="s">
        <v>42</v>
      </c>
      <c r="Z81" s="86" t="s">
        <v>42</v>
      </c>
      <c r="AB81" s="85" t="s">
        <v>471</v>
      </c>
      <c r="AC81" s="85">
        <v>0.25</v>
      </c>
      <c r="AD81" s="85">
        <v>0.35</v>
      </c>
      <c r="AE81" s="85">
        <v>0.45</v>
      </c>
      <c r="AF81" s="85">
        <v>0.57000000000000006</v>
      </c>
      <c r="AG81" s="85">
        <v>0.75</v>
      </c>
      <c r="AH81" s="85">
        <v>0.92999999999999994</v>
      </c>
      <c r="AI81" s="85">
        <v>46</v>
      </c>
      <c r="AJ81" s="85">
        <v>73</v>
      </c>
      <c r="AK81" s="85">
        <v>100</v>
      </c>
      <c r="AL81" s="87">
        <v>0.16109851216571691</v>
      </c>
      <c r="AM81" s="87">
        <v>0.39847074832925183</v>
      </c>
      <c r="AN81" s="87">
        <v>0.98889825199084991</v>
      </c>
      <c r="AO81" s="87">
        <v>0.16424638689384161</v>
      </c>
      <c r="AP81" s="87">
        <v>0.39203646980730628</v>
      </c>
      <c r="AQ81" s="87">
        <v>0.99010454186119479</v>
      </c>
      <c r="AR81" s="87" t="s">
        <v>42</v>
      </c>
      <c r="AS81" s="87" t="s">
        <v>42</v>
      </c>
      <c r="AT81" s="87" t="s">
        <v>42</v>
      </c>
      <c r="AV81" s="88">
        <v>6.5158114702929337</v>
      </c>
      <c r="AW81" s="88">
        <v>6.9487964979723555</v>
      </c>
      <c r="AX81" s="88">
        <v>7.4366302242453086</v>
      </c>
      <c r="AY81" s="88">
        <v>0.36795546807096291</v>
      </c>
      <c r="AZ81" s="88">
        <v>1.1256827217677687</v>
      </c>
      <c r="BA81" s="88">
        <v>4.248783770811313</v>
      </c>
      <c r="BB81" s="2"/>
      <c r="BC81" s="19">
        <v>372.08627614640335</v>
      </c>
      <c r="BD81" s="19">
        <v>2825.0071717626556</v>
      </c>
      <c r="BE81" s="19">
        <v>26373.823778339582</v>
      </c>
      <c r="BG81" s="23">
        <v>7.3159491899020681</v>
      </c>
      <c r="BH81" s="23">
        <v>7.7489342175814899</v>
      </c>
      <c r="BI81" s="23">
        <v>8.0910682385445067</v>
      </c>
      <c r="BJ81" s="23">
        <v>0.89645973488332309</v>
      </c>
      <c r="BK81" s="23">
        <v>2.7425308818187024</v>
      </c>
      <c r="BL81" s="23">
        <v>8.7528664748003404</v>
      </c>
      <c r="BM81" s="2"/>
      <c r="BN81" s="19">
        <v>905.41927340133338</v>
      </c>
      <c r="BO81" s="19">
        <v>6995.6014122020606</v>
      </c>
      <c r="BP81" s="19">
        <v>53291.074709957764</v>
      </c>
      <c r="BR81" s="23" t="s">
        <v>42</v>
      </c>
      <c r="BS81" s="23" t="s">
        <v>42</v>
      </c>
      <c r="BT81" s="23" t="s">
        <v>42</v>
      </c>
      <c r="BU81" s="23" t="s">
        <v>42</v>
      </c>
      <c r="BV81" s="23" t="s">
        <v>42</v>
      </c>
      <c r="BW81" s="23" t="s">
        <v>42</v>
      </c>
      <c r="BX81" s="2"/>
      <c r="BY81" s="23" t="s">
        <v>42</v>
      </c>
      <c r="BZ81" s="23" t="s">
        <v>42</v>
      </c>
      <c r="CA81" s="23" t="s">
        <v>42</v>
      </c>
      <c r="CC81">
        <v>328</v>
      </c>
      <c r="CD81">
        <v>65</v>
      </c>
    </row>
    <row r="82" spans="1:82" x14ac:dyDescent="0.2">
      <c r="A82">
        <v>328</v>
      </c>
      <c r="B82">
        <v>66</v>
      </c>
      <c r="C82" s="13" t="s">
        <v>32</v>
      </c>
      <c r="D82" s="13" t="s">
        <v>258</v>
      </c>
      <c r="E82" s="69" t="s">
        <v>379</v>
      </c>
      <c r="F82" s="83" t="s">
        <v>42</v>
      </c>
      <c r="G82" s="84">
        <v>4.5999999999999996</v>
      </c>
      <c r="H82" s="84">
        <v>358</v>
      </c>
      <c r="I82" s="85">
        <v>121.4</v>
      </c>
      <c r="J82" s="85">
        <v>342</v>
      </c>
      <c r="K82" s="85" t="s">
        <v>42</v>
      </c>
      <c r="L82" s="85" t="s">
        <v>42</v>
      </c>
      <c r="M82" s="85">
        <v>40</v>
      </c>
      <c r="N82" s="85">
        <v>53</v>
      </c>
      <c r="O82" s="85">
        <v>65</v>
      </c>
      <c r="P82" s="85" t="s">
        <v>13</v>
      </c>
      <c r="Q82" s="85">
        <v>0</v>
      </c>
      <c r="R82" s="85">
        <v>0</v>
      </c>
      <c r="S82" s="85" t="s">
        <v>211</v>
      </c>
      <c r="T82" s="86">
        <v>3571.7335834092314</v>
      </c>
      <c r="U82" s="86">
        <v>5208.7781424717959</v>
      </c>
      <c r="V82" s="86">
        <v>5320.3244115058033</v>
      </c>
      <c r="W82" s="86" t="s">
        <v>42</v>
      </c>
      <c r="X82" s="86" t="s">
        <v>42</v>
      </c>
      <c r="Y82" s="86" t="s">
        <v>42</v>
      </c>
      <c r="Z82" s="86" t="s">
        <v>42</v>
      </c>
      <c r="AB82" s="85" t="s">
        <v>471</v>
      </c>
      <c r="AC82" s="85">
        <v>0.25</v>
      </c>
      <c r="AD82" s="85">
        <v>0.35</v>
      </c>
      <c r="AE82" s="85">
        <v>0.45</v>
      </c>
      <c r="AF82" s="85">
        <v>0.57000000000000006</v>
      </c>
      <c r="AG82" s="85">
        <v>0.75</v>
      </c>
      <c r="AH82" s="85">
        <v>0.92999999999999994</v>
      </c>
      <c r="AI82" s="85">
        <v>46</v>
      </c>
      <c r="AJ82" s="85">
        <v>73</v>
      </c>
      <c r="AK82" s="85">
        <v>100</v>
      </c>
      <c r="AL82" s="85" t="s">
        <v>42</v>
      </c>
      <c r="AM82" s="85" t="s">
        <v>42</v>
      </c>
      <c r="AN82" s="85" t="s">
        <v>42</v>
      </c>
      <c r="AO82" s="87">
        <v>0.16424638689384161</v>
      </c>
      <c r="AP82" s="87">
        <v>0.39203646980730628</v>
      </c>
      <c r="AQ82" s="87">
        <v>0.99010454186119479</v>
      </c>
      <c r="AR82" s="87" t="s">
        <v>42</v>
      </c>
      <c r="AS82" s="87" t="s">
        <v>42</v>
      </c>
      <c r="AT82" s="87" t="s">
        <v>42</v>
      </c>
      <c r="AV82" s="89" t="s">
        <v>42</v>
      </c>
      <c r="AW82" s="89" t="s">
        <v>42</v>
      </c>
      <c r="AX82" s="89" t="s">
        <v>42</v>
      </c>
      <c r="AY82" s="89" t="s">
        <v>42</v>
      </c>
      <c r="AZ82" s="89" t="s">
        <v>42</v>
      </c>
      <c r="BA82" s="89" t="s">
        <v>42</v>
      </c>
      <c r="BB82" s="2"/>
      <c r="BC82" s="19" t="s">
        <v>42</v>
      </c>
      <c r="BD82" s="19" t="s">
        <v>42</v>
      </c>
      <c r="BE82" s="19" t="s">
        <v>42</v>
      </c>
      <c r="BG82" s="23">
        <v>7.3159491899020681</v>
      </c>
      <c r="BH82" s="23">
        <v>7.7489342175814899</v>
      </c>
      <c r="BI82" s="23">
        <v>8.0910682385445067</v>
      </c>
      <c r="BJ82" s="23">
        <v>0.89645973488332309</v>
      </c>
      <c r="BK82" s="23">
        <v>2.7425308818187024</v>
      </c>
      <c r="BL82" s="23">
        <v>8.7528664748003404</v>
      </c>
      <c r="BN82" s="19">
        <v>905.41927340133338</v>
      </c>
      <c r="BO82" s="19">
        <v>6995.6014122020606</v>
      </c>
      <c r="BP82" s="19">
        <v>53291.074709957764</v>
      </c>
      <c r="BR82" s="23" t="s">
        <v>42</v>
      </c>
      <c r="BS82" s="23" t="s">
        <v>42</v>
      </c>
      <c r="BT82" s="23" t="s">
        <v>42</v>
      </c>
      <c r="BU82" s="23" t="s">
        <v>42</v>
      </c>
      <c r="BV82" s="23" t="s">
        <v>42</v>
      </c>
      <c r="BW82" s="23" t="s">
        <v>42</v>
      </c>
      <c r="BY82" s="23" t="s">
        <v>42</v>
      </c>
      <c r="BZ82" s="23" t="s">
        <v>42</v>
      </c>
      <c r="CA82" s="23" t="s">
        <v>42</v>
      </c>
      <c r="CC82">
        <v>328</v>
      </c>
      <c r="CD82">
        <v>66</v>
      </c>
    </row>
    <row r="83" spans="1:82" x14ac:dyDescent="0.2">
      <c r="A83">
        <v>328</v>
      </c>
      <c r="B83">
        <v>67</v>
      </c>
      <c r="C83" s="13" t="s">
        <v>32</v>
      </c>
      <c r="D83" s="13" t="s">
        <v>258</v>
      </c>
      <c r="E83" s="64" t="s">
        <v>378</v>
      </c>
      <c r="F83" s="83" t="s">
        <v>42</v>
      </c>
      <c r="G83" s="84">
        <v>23.2</v>
      </c>
      <c r="H83" s="84">
        <v>343</v>
      </c>
      <c r="I83" s="85">
        <v>121.4</v>
      </c>
      <c r="J83" s="85">
        <v>342</v>
      </c>
      <c r="K83" s="85" t="s">
        <v>42</v>
      </c>
      <c r="L83" s="85" t="s">
        <v>42</v>
      </c>
      <c r="M83" s="85">
        <v>40</v>
      </c>
      <c r="N83" s="85">
        <v>53</v>
      </c>
      <c r="O83" s="85">
        <v>65</v>
      </c>
      <c r="P83" s="85" t="s">
        <v>13</v>
      </c>
      <c r="Q83" s="85">
        <v>0</v>
      </c>
      <c r="R83" s="85">
        <v>0</v>
      </c>
      <c r="S83" s="85" t="s">
        <v>211</v>
      </c>
      <c r="T83" s="86">
        <v>3571.7335834092314</v>
      </c>
      <c r="U83" s="86">
        <v>5208.7781424717959</v>
      </c>
      <c r="V83" s="86">
        <v>5320.3244115058033</v>
      </c>
      <c r="W83" s="86" t="s">
        <v>42</v>
      </c>
      <c r="X83" s="86" t="s">
        <v>42</v>
      </c>
      <c r="Y83" s="86" t="s">
        <v>42</v>
      </c>
      <c r="Z83" s="86" t="s">
        <v>42</v>
      </c>
      <c r="AB83" s="85" t="s">
        <v>471</v>
      </c>
      <c r="AC83" s="85">
        <v>0.25</v>
      </c>
      <c r="AD83" s="85">
        <v>0.35</v>
      </c>
      <c r="AE83" s="85">
        <v>0.45</v>
      </c>
      <c r="AF83" s="85">
        <v>0.57000000000000006</v>
      </c>
      <c r="AG83" s="85">
        <v>0.75</v>
      </c>
      <c r="AH83" s="85">
        <v>0.92999999999999994</v>
      </c>
      <c r="AI83" s="85">
        <v>46</v>
      </c>
      <c r="AJ83" s="85">
        <v>73</v>
      </c>
      <c r="AK83" s="85">
        <v>100</v>
      </c>
      <c r="AL83" s="87">
        <v>0.16574551364133103</v>
      </c>
      <c r="AM83" s="87">
        <v>0.38863970423077088</v>
      </c>
      <c r="AN83" s="87">
        <v>0.99025536254932056</v>
      </c>
      <c r="AO83" s="87">
        <v>0.16424638689384161</v>
      </c>
      <c r="AP83" s="87">
        <v>0.39203646980730628</v>
      </c>
      <c r="AQ83" s="87">
        <v>0.99010454186119479</v>
      </c>
      <c r="AR83" s="87" t="s">
        <v>42</v>
      </c>
      <c r="AS83" s="87" t="s">
        <v>42</v>
      </c>
      <c r="AT83" s="87" t="s">
        <v>42</v>
      </c>
      <c r="AV83" s="88">
        <v>6.0913980201548368</v>
      </c>
      <c r="AW83" s="88">
        <v>6.5243830478342586</v>
      </c>
      <c r="AX83" s="88">
        <v>7.0122167741072117</v>
      </c>
      <c r="AY83" s="88">
        <v>0.22572961255674059</v>
      </c>
      <c r="AZ83" s="88">
        <v>0.69057249231434337</v>
      </c>
      <c r="BA83" s="88">
        <v>2.6065010514740878</v>
      </c>
      <c r="BB83" s="2"/>
      <c r="BC83" s="19">
        <v>227.95091154631129</v>
      </c>
      <c r="BD83" s="19">
        <v>1776.8964024949119</v>
      </c>
      <c r="BE83" s="19">
        <v>15725.922193673901</v>
      </c>
      <c r="BG83" s="23">
        <v>7.3159491899020681</v>
      </c>
      <c r="BH83" s="23">
        <v>7.7489342175814899</v>
      </c>
      <c r="BI83" s="23">
        <v>8.0910682385445067</v>
      </c>
      <c r="BJ83" s="23">
        <v>0.89645973488332309</v>
      </c>
      <c r="BK83" s="23">
        <v>2.7425308818187024</v>
      </c>
      <c r="BL83" s="23">
        <v>8.7528664748003404</v>
      </c>
      <c r="BM83" s="2"/>
      <c r="BN83" s="19">
        <v>905.41927340133338</v>
      </c>
      <c r="BO83" s="19">
        <v>6995.6014122020606</v>
      </c>
      <c r="BP83" s="19">
        <v>53291.074709957764</v>
      </c>
      <c r="BR83" s="23" t="s">
        <v>42</v>
      </c>
      <c r="BS83" s="23" t="s">
        <v>42</v>
      </c>
      <c r="BT83" s="23" t="s">
        <v>42</v>
      </c>
      <c r="BU83" s="23" t="s">
        <v>42</v>
      </c>
      <c r="BV83" s="23" t="s">
        <v>42</v>
      </c>
      <c r="BW83" s="23" t="s">
        <v>42</v>
      </c>
      <c r="BX83" s="2"/>
      <c r="BY83" s="23" t="s">
        <v>42</v>
      </c>
      <c r="BZ83" s="23" t="s">
        <v>42</v>
      </c>
      <c r="CA83" s="23" t="s">
        <v>42</v>
      </c>
      <c r="CC83">
        <v>328</v>
      </c>
      <c r="CD83">
        <v>67</v>
      </c>
    </row>
    <row r="84" spans="1:82" x14ac:dyDescent="0.2">
      <c r="A84">
        <v>328</v>
      </c>
      <c r="B84">
        <v>68</v>
      </c>
      <c r="C84" s="13" t="s">
        <v>32</v>
      </c>
      <c r="D84" s="13" t="s">
        <v>258</v>
      </c>
      <c r="E84" s="64" t="s">
        <v>380</v>
      </c>
      <c r="F84" s="83" t="s">
        <v>42</v>
      </c>
      <c r="G84" s="84">
        <v>1.6</v>
      </c>
      <c r="H84" s="84">
        <v>74</v>
      </c>
      <c r="I84" s="85">
        <v>121.4</v>
      </c>
      <c r="J84" s="85">
        <v>342</v>
      </c>
      <c r="K84" s="85" t="s">
        <v>42</v>
      </c>
      <c r="L84" s="85" t="s">
        <v>42</v>
      </c>
      <c r="M84" s="85">
        <v>40</v>
      </c>
      <c r="N84" s="85">
        <v>53</v>
      </c>
      <c r="O84" s="85">
        <v>65</v>
      </c>
      <c r="P84" s="85" t="s">
        <v>13</v>
      </c>
      <c r="Q84" s="85">
        <v>0</v>
      </c>
      <c r="R84" s="85">
        <v>0</v>
      </c>
      <c r="S84" s="85" t="s">
        <v>211</v>
      </c>
      <c r="T84" s="86">
        <v>3571.7335834092314</v>
      </c>
      <c r="U84" s="86">
        <v>5208.7781424717959</v>
      </c>
      <c r="V84" s="86">
        <v>5320.3244115058033</v>
      </c>
      <c r="W84" s="86" t="s">
        <v>42</v>
      </c>
      <c r="X84" s="86" t="s">
        <v>42</v>
      </c>
      <c r="Y84" s="86" t="s">
        <v>42</v>
      </c>
      <c r="Z84" s="86" t="s">
        <v>42</v>
      </c>
      <c r="AB84" s="85" t="s">
        <v>471</v>
      </c>
      <c r="AC84" s="85">
        <v>0.25</v>
      </c>
      <c r="AD84" s="85">
        <v>0.35</v>
      </c>
      <c r="AE84" s="85">
        <v>0.45</v>
      </c>
      <c r="AF84" s="85">
        <v>0.57000000000000006</v>
      </c>
      <c r="AG84" s="85">
        <v>0.75</v>
      </c>
      <c r="AH84" s="85">
        <v>0.92999999999999994</v>
      </c>
      <c r="AI84" s="85">
        <v>46</v>
      </c>
      <c r="AJ84" s="85">
        <v>73</v>
      </c>
      <c r="AK84" s="85">
        <v>100</v>
      </c>
      <c r="AL84" s="85" t="s">
        <v>42</v>
      </c>
      <c r="AM84" s="85" t="s">
        <v>42</v>
      </c>
      <c r="AN84" s="85" t="s">
        <v>42</v>
      </c>
      <c r="AO84" s="87">
        <v>0.16424638689384161</v>
      </c>
      <c r="AP84" s="87">
        <v>0.39203646980730628</v>
      </c>
      <c r="AQ84" s="87">
        <v>0.99010454186119479</v>
      </c>
      <c r="AR84" s="87" t="s">
        <v>42</v>
      </c>
      <c r="AS84" s="87" t="s">
        <v>42</v>
      </c>
      <c r="AT84" s="87" t="s">
        <v>42</v>
      </c>
      <c r="AV84" s="89" t="s">
        <v>42</v>
      </c>
      <c r="AW84" s="89" t="s">
        <v>42</v>
      </c>
      <c r="AX84" s="89" t="s">
        <v>42</v>
      </c>
      <c r="AY84" s="89" t="s">
        <v>42</v>
      </c>
      <c r="AZ84" s="89" t="s">
        <v>42</v>
      </c>
      <c r="BA84" s="89" t="s">
        <v>42</v>
      </c>
      <c r="BB84" s="2"/>
      <c r="BC84" s="19" t="s">
        <v>42</v>
      </c>
      <c r="BD84" s="19" t="s">
        <v>42</v>
      </c>
      <c r="BE84" s="19" t="s">
        <v>42</v>
      </c>
      <c r="BG84" s="23">
        <v>7.3159491899020681</v>
      </c>
      <c r="BH84" s="23">
        <v>7.7489342175814899</v>
      </c>
      <c r="BI84" s="23">
        <v>8.0910682385445067</v>
      </c>
      <c r="BJ84" s="23">
        <v>0.89645973488332309</v>
      </c>
      <c r="BK84" s="23">
        <v>2.7425308818187024</v>
      </c>
      <c r="BL84" s="23">
        <v>8.7528664748003404</v>
      </c>
      <c r="BN84" s="19">
        <v>905.41927340133338</v>
      </c>
      <c r="BO84" s="19">
        <v>6995.6014122020606</v>
      </c>
      <c r="BP84" s="19">
        <v>53291.074709957764</v>
      </c>
      <c r="BR84" s="23" t="s">
        <v>42</v>
      </c>
      <c r="BS84" s="23" t="s">
        <v>42</v>
      </c>
      <c r="BT84" s="23" t="s">
        <v>42</v>
      </c>
      <c r="BU84" s="23" t="s">
        <v>42</v>
      </c>
      <c r="BV84" s="23" t="s">
        <v>42</v>
      </c>
      <c r="BW84" s="23" t="s">
        <v>42</v>
      </c>
      <c r="BY84" s="23" t="s">
        <v>42</v>
      </c>
      <c r="BZ84" s="23" t="s">
        <v>42</v>
      </c>
      <c r="CA84" s="23" t="s">
        <v>42</v>
      </c>
      <c r="CC84">
        <v>328</v>
      </c>
      <c r="CD84">
        <v>68</v>
      </c>
    </row>
    <row r="85" spans="1:82" x14ac:dyDescent="0.2">
      <c r="A85">
        <v>328</v>
      </c>
      <c r="B85">
        <v>69</v>
      </c>
      <c r="C85" s="13" t="s">
        <v>32</v>
      </c>
      <c r="D85" s="13" t="s">
        <v>258</v>
      </c>
      <c r="E85" s="64" t="s">
        <v>259</v>
      </c>
      <c r="F85" s="83" t="s">
        <v>42</v>
      </c>
      <c r="G85" s="84">
        <v>7.7</v>
      </c>
      <c r="H85" s="84">
        <v>346</v>
      </c>
      <c r="I85" s="85">
        <v>121.4</v>
      </c>
      <c r="J85" s="85">
        <v>342</v>
      </c>
      <c r="K85" s="85" t="s">
        <v>42</v>
      </c>
      <c r="L85" s="85" t="s">
        <v>42</v>
      </c>
      <c r="M85" s="85">
        <v>40</v>
      </c>
      <c r="N85" s="85">
        <v>53</v>
      </c>
      <c r="O85" s="85">
        <v>65</v>
      </c>
      <c r="P85" s="85" t="s">
        <v>13</v>
      </c>
      <c r="Q85" s="85">
        <v>0</v>
      </c>
      <c r="R85" s="85">
        <v>0</v>
      </c>
      <c r="S85" s="85" t="s">
        <v>211</v>
      </c>
      <c r="T85" s="86">
        <v>3571.7335834092314</v>
      </c>
      <c r="U85" s="86">
        <v>5208.7781424717959</v>
      </c>
      <c r="V85" s="86">
        <v>5320.3244115058033</v>
      </c>
      <c r="W85" s="86" t="s">
        <v>42</v>
      </c>
      <c r="X85" s="86" t="s">
        <v>42</v>
      </c>
      <c r="Y85" s="86" t="s">
        <v>42</v>
      </c>
      <c r="Z85" s="86" t="s">
        <v>42</v>
      </c>
      <c r="AB85" s="85" t="s">
        <v>471</v>
      </c>
      <c r="AC85" s="85">
        <v>0.25</v>
      </c>
      <c r="AD85" s="85">
        <v>0.35</v>
      </c>
      <c r="AE85" s="85">
        <v>0.45</v>
      </c>
      <c r="AF85" s="85">
        <v>0.57000000000000006</v>
      </c>
      <c r="AG85" s="85">
        <v>0.75</v>
      </c>
      <c r="AH85" s="85">
        <v>0.92999999999999994</v>
      </c>
      <c r="AI85" s="85">
        <v>46</v>
      </c>
      <c r="AJ85" s="85">
        <v>73</v>
      </c>
      <c r="AK85" s="85">
        <v>100</v>
      </c>
      <c r="AL85" s="87">
        <v>0.16109851216571691</v>
      </c>
      <c r="AM85" s="87">
        <v>0.39847074832925183</v>
      </c>
      <c r="AN85" s="87">
        <v>0.98889825199084991</v>
      </c>
      <c r="AO85" s="87">
        <v>0.16424638689384161</v>
      </c>
      <c r="AP85" s="87">
        <v>0.39203646980730628</v>
      </c>
      <c r="AQ85" s="87">
        <v>0.99010454186119479</v>
      </c>
      <c r="AR85" s="87" t="s">
        <v>42</v>
      </c>
      <c r="AS85" s="87" t="s">
        <v>42</v>
      </c>
      <c r="AT85" s="87" t="s">
        <v>42</v>
      </c>
      <c r="AV85" s="88">
        <v>5.2930692539574737</v>
      </c>
      <c r="AW85" s="88">
        <v>5.7260542816368956</v>
      </c>
      <c r="AX85" s="88">
        <v>6.2138880079098486</v>
      </c>
      <c r="AY85" s="88">
        <v>9.0037650362756974E-2</v>
      </c>
      <c r="AZ85" s="88">
        <v>0.27545134158021578</v>
      </c>
      <c r="BA85" s="88">
        <v>1.0396652334827832</v>
      </c>
      <c r="BB85" s="2"/>
      <c r="BC85" s="19">
        <v>91.048447281096088</v>
      </c>
      <c r="BD85" s="19">
        <v>691.27117294093944</v>
      </c>
      <c r="BE85" s="19">
        <v>6453.599226374683</v>
      </c>
      <c r="BG85" s="23">
        <v>7.3159491899020681</v>
      </c>
      <c r="BH85" s="23">
        <v>7.7489342175814899</v>
      </c>
      <c r="BI85" s="23">
        <v>8.0910682385445067</v>
      </c>
      <c r="BJ85" s="23">
        <v>0.89645973488332309</v>
      </c>
      <c r="BK85" s="23">
        <v>2.7425308818187024</v>
      </c>
      <c r="BL85" s="23">
        <v>8.7528664748003404</v>
      </c>
      <c r="BN85" s="19">
        <v>905.41927340133338</v>
      </c>
      <c r="BO85" s="19">
        <v>6995.6014122020606</v>
      </c>
      <c r="BP85" s="19">
        <v>53291.074709957764</v>
      </c>
      <c r="BR85" s="23" t="s">
        <v>42</v>
      </c>
      <c r="BS85" s="23" t="s">
        <v>42</v>
      </c>
      <c r="BT85" s="23" t="s">
        <v>42</v>
      </c>
      <c r="BU85" s="23" t="s">
        <v>42</v>
      </c>
      <c r="BV85" s="23" t="s">
        <v>42</v>
      </c>
      <c r="BW85" s="23" t="s">
        <v>42</v>
      </c>
      <c r="BY85" s="23" t="s">
        <v>42</v>
      </c>
      <c r="BZ85" s="23" t="s">
        <v>42</v>
      </c>
      <c r="CA85" s="23" t="s">
        <v>42</v>
      </c>
      <c r="CC85">
        <v>328</v>
      </c>
      <c r="CD85">
        <v>69</v>
      </c>
    </row>
    <row r="86" spans="1:82" x14ac:dyDescent="0.2">
      <c r="A86">
        <v>328</v>
      </c>
      <c r="B86">
        <v>70</v>
      </c>
      <c r="C86" s="13" t="s">
        <v>32</v>
      </c>
      <c r="D86" s="13" t="s">
        <v>258</v>
      </c>
      <c r="E86" s="69" t="s">
        <v>290</v>
      </c>
      <c r="F86" s="83" t="s">
        <v>42</v>
      </c>
      <c r="G86" s="84">
        <v>24.1</v>
      </c>
      <c r="H86" s="84">
        <v>338</v>
      </c>
      <c r="I86" s="85">
        <v>121.4</v>
      </c>
      <c r="J86" s="85">
        <v>342</v>
      </c>
      <c r="K86" s="85" t="s">
        <v>42</v>
      </c>
      <c r="L86" s="85" t="s">
        <v>42</v>
      </c>
      <c r="M86" s="85">
        <v>40</v>
      </c>
      <c r="N86" s="85">
        <v>53</v>
      </c>
      <c r="O86" s="85">
        <v>65</v>
      </c>
      <c r="P86" s="85" t="s">
        <v>13</v>
      </c>
      <c r="Q86" s="85">
        <v>0</v>
      </c>
      <c r="R86" s="85">
        <v>0</v>
      </c>
      <c r="S86" s="85" t="s">
        <v>211</v>
      </c>
      <c r="T86" s="86">
        <v>3571.7335834092314</v>
      </c>
      <c r="U86" s="86">
        <v>5208.7781424717959</v>
      </c>
      <c r="V86" s="86">
        <v>5320.3244115058033</v>
      </c>
      <c r="W86" s="86" t="s">
        <v>42</v>
      </c>
      <c r="X86" s="86" t="s">
        <v>42</v>
      </c>
      <c r="Y86" s="86" t="s">
        <v>42</v>
      </c>
      <c r="Z86" s="86" t="s">
        <v>42</v>
      </c>
      <c r="AB86" s="85" t="s">
        <v>471</v>
      </c>
      <c r="AC86" s="85">
        <v>0.25</v>
      </c>
      <c r="AD86" s="85">
        <v>0.35</v>
      </c>
      <c r="AE86" s="85">
        <v>0.45</v>
      </c>
      <c r="AF86" s="85">
        <v>0.57000000000000006</v>
      </c>
      <c r="AG86" s="85">
        <v>0.75</v>
      </c>
      <c r="AH86" s="85">
        <v>0.92999999999999994</v>
      </c>
      <c r="AI86" s="85">
        <v>46</v>
      </c>
      <c r="AJ86" s="85">
        <v>73</v>
      </c>
      <c r="AK86" s="85">
        <v>100</v>
      </c>
      <c r="AL86" s="87">
        <v>0.15775436371584176</v>
      </c>
      <c r="AM86" s="87">
        <v>0.40441955162407167</v>
      </c>
      <c r="AN86" s="87">
        <v>0.98648714192855236</v>
      </c>
      <c r="AO86" s="87">
        <v>0.16424638689384161</v>
      </c>
      <c r="AP86" s="87">
        <v>0.39203646980730628</v>
      </c>
      <c r="AQ86" s="87">
        <v>0.99010454186119479</v>
      </c>
      <c r="AR86" s="87" t="s">
        <v>42</v>
      </c>
      <c r="AS86" s="87" t="s">
        <v>42</v>
      </c>
      <c r="AT86" s="87" t="s">
        <v>42</v>
      </c>
      <c r="AV86" s="88">
        <v>6.118946449628119</v>
      </c>
      <c r="AW86" s="88">
        <v>6.5519314773075408</v>
      </c>
      <c r="AX86" s="88">
        <v>7.0397652035804938</v>
      </c>
      <c r="AY86" s="88">
        <v>0.23300366426773994</v>
      </c>
      <c r="AZ86" s="88">
        <v>0.71282593067536293</v>
      </c>
      <c r="BA86" s="88">
        <v>2.6904945657429828</v>
      </c>
      <c r="BB86" s="2"/>
      <c r="BC86" s="19">
        <v>236.19533835202844</v>
      </c>
      <c r="BD86" s="19">
        <v>1762.5901809464704</v>
      </c>
      <c r="BE86" s="19">
        <v>17054.961285186957</v>
      </c>
      <c r="BG86" s="23">
        <v>7.3159491899020681</v>
      </c>
      <c r="BH86" s="23">
        <v>7.7489342175814899</v>
      </c>
      <c r="BI86" s="23">
        <v>8.0910682385445067</v>
      </c>
      <c r="BJ86" s="23">
        <v>0.89645973488332309</v>
      </c>
      <c r="BK86" s="23">
        <v>2.7425308818187024</v>
      </c>
      <c r="BL86" s="23">
        <v>8.7528664748003404</v>
      </c>
      <c r="BN86" s="19">
        <v>905.41927340133338</v>
      </c>
      <c r="BO86" s="19">
        <v>6995.6014122020606</v>
      </c>
      <c r="BP86" s="19">
        <v>53291.074709957764</v>
      </c>
      <c r="BR86" s="23" t="s">
        <v>42</v>
      </c>
      <c r="BS86" s="23" t="s">
        <v>42</v>
      </c>
      <c r="BT86" s="23" t="s">
        <v>42</v>
      </c>
      <c r="BU86" s="23" t="s">
        <v>42</v>
      </c>
      <c r="BV86" s="23" t="s">
        <v>42</v>
      </c>
      <c r="BW86" s="23" t="s">
        <v>42</v>
      </c>
      <c r="BY86" s="23" t="s">
        <v>42</v>
      </c>
      <c r="BZ86" s="23" t="s">
        <v>42</v>
      </c>
      <c r="CA86" s="23" t="s">
        <v>42</v>
      </c>
      <c r="CC86">
        <v>328</v>
      </c>
      <c r="CD86">
        <v>70</v>
      </c>
    </row>
    <row r="87" spans="1:82" x14ac:dyDescent="0.2">
      <c r="A87">
        <v>328</v>
      </c>
      <c r="B87">
        <v>71</v>
      </c>
      <c r="C87" s="13" t="s">
        <v>32</v>
      </c>
      <c r="D87" s="13" t="s">
        <v>258</v>
      </c>
      <c r="E87" s="69" t="s">
        <v>289</v>
      </c>
      <c r="F87" s="83" t="s">
        <v>42</v>
      </c>
      <c r="G87" s="84">
        <v>2.2999999999999998</v>
      </c>
      <c r="H87" s="84">
        <v>22</v>
      </c>
      <c r="I87" s="85">
        <v>121.4</v>
      </c>
      <c r="J87" s="85">
        <v>342</v>
      </c>
      <c r="K87" s="85" t="s">
        <v>42</v>
      </c>
      <c r="L87" s="85" t="s">
        <v>42</v>
      </c>
      <c r="M87" s="85">
        <v>40</v>
      </c>
      <c r="N87" s="85">
        <v>53</v>
      </c>
      <c r="O87" s="85">
        <v>65</v>
      </c>
      <c r="P87" s="85" t="s">
        <v>13</v>
      </c>
      <c r="Q87" s="85">
        <v>0</v>
      </c>
      <c r="R87" s="85">
        <v>0</v>
      </c>
      <c r="S87" s="85" t="s">
        <v>211</v>
      </c>
      <c r="T87" s="86">
        <v>3571.7335834092314</v>
      </c>
      <c r="U87" s="86">
        <v>5208.7781424717959</v>
      </c>
      <c r="V87" s="86">
        <v>5320.3244115058033</v>
      </c>
      <c r="W87" s="86" t="s">
        <v>42</v>
      </c>
      <c r="X87" s="86" t="s">
        <v>42</v>
      </c>
      <c r="Y87" s="86" t="s">
        <v>42</v>
      </c>
      <c r="Z87" s="86" t="s">
        <v>42</v>
      </c>
      <c r="AB87" s="85" t="s">
        <v>471</v>
      </c>
      <c r="AC87" s="85">
        <v>0.25</v>
      </c>
      <c r="AD87" s="85">
        <v>0.35</v>
      </c>
      <c r="AE87" s="85">
        <v>0.45</v>
      </c>
      <c r="AF87" s="85">
        <v>0.57000000000000006</v>
      </c>
      <c r="AG87" s="85">
        <v>0.75</v>
      </c>
      <c r="AH87" s="85">
        <v>0.92999999999999994</v>
      </c>
      <c r="AI87" s="85">
        <v>46</v>
      </c>
      <c r="AJ87" s="85">
        <v>73</v>
      </c>
      <c r="AK87" s="85">
        <v>100</v>
      </c>
      <c r="AL87" s="85" t="s">
        <v>42</v>
      </c>
      <c r="AM87" s="85" t="s">
        <v>42</v>
      </c>
      <c r="AN87" s="85" t="s">
        <v>42</v>
      </c>
      <c r="AO87" s="87">
        <v>0.16424638689384161</v>
      </c>
      <c r="AP87" s="87">
        <v>0.39203646980730628</v>
      </c>
      <c r="AQ87" s="87">
        <v>0.99010454186119479</v>
      </c>
      <c r="AR87" s="87" t="s">
        <v>42</v>
      </c>
      <c r="AS87" s="87" t="s">
        <v>42</v>
      </c>
      <c r="AT87" s="87" t="s">
        <v>42</v>
      </c>
      <c r="AV87" s="89" t="s">
        <v>42</v>
      </c>
      <c r="AW87" s="89" t="s">
        <v>42</v>
      </c>
      <c r="AX87" s="89" t="s">
        <v>42</v>
      </c>
      <c r="AY87" s="89" t="s">
        <v>42</v>
      </c>
      <c r="AZ87" s="89" t="s">
        <v>42</v>
      </c>
      <c r="BA87" s="89" t="s">
        <v>42</v>
      </c>
      <c r="BB87" s="2"/>
      <c r="BC87" s="19" t="s">
        <v>42</v>
      </c>
      <c r="BD87" s="19" t="s">
        <v>42</v>
      </c>
      <c r="BE87" s="19" t="s">
        <v>42</v>
      </c>
      <c r="BG87" s="23">
        <v>7.3159491899020681</v>
      </c>
      <c r="BH87" s="23">
        <v>7.7489342175814899</v>
      </c>
      <c r="BI87" s="23">
        <v>8.0910682385445067</v>
      </c>
      <c r="BJ87" s="23">
        <v>0.89645973488332309</v>
      </c>
      <c r="BK87" s="23">
        <v>2.7425308818187024</v>
      </c>
      <c r="BL87" s="23">
        <v>8.7528664748003404</v>
      </c>
      <c r="BN87" s="19">
        <v>905.41927340133338</v>
      </c>
      <c r="BO87" s="19">
        <v>6995.6014122020606</v>
      </c>
      <c r="BP87" s="19">
        <v>53291.074709957764</v>
      </c>
      <c r="BR87" s="23" t="s">
        <v>42</v>
      </c>
      <c r="BS87" s="23" t="s">
        <v>42</v>
      </c>
      <c r="BT87" s="23" t="s">
        <v>42</v>
      </c>
      <c r="BU87" s="23" t="s">
        <v>42</v>
      </c>
      <c r="BV87" s="23" t="s">
        <v>42</v>
      </c>
      <c r="BW87" s="23" t="s">
        <v>42</v>
      </c>
      <c r="BY87" s="23" t="s">
        <v>42</v>
      </c>
      <c r="BZ87" s="23" t="s">
        <v>42</v>
      </c>
      <c r="CA87" s="23" t="s">
        <v>42</v>
      </c>
      <c r="CC87">
        <v>328</v>
      </c>
      <c r="CD87">
        <v>71</v>
      </c>
    </row>
    <row r="88" spans="1:82" x14ac:dyDescent="0.2">
      <c r="A88">
        <v>328</v>
      </c>
      <c r="B88">
        <v>72</v>
      </c>
      <c r="C88" s="13" t="s">
        <v>32</v>
      </c>
      <c r="D88" s="13" t="s">
        <v>258</v>
      </c>
      <c r="E88" s="69" t="s">
        <v>291</v>
      </c>
      <c r="F88" s="83" t="s">
        <v>42</v>
      </c>
      <c r="G88" s="84">
        <v>16.2</v>
      </c>
      <c r="H88" s="84">
        <v>317</v>
      </c>
      <c r="I88" s="85">
        <v>121.4</v>
      </c>
      <c r="J88" s="85">
        <v>342</v>
      </c>
      <c r="K88" s="85" t="s">
        <v>42</v>
      </c>
      <c r="L88" s="85" t="s">
        <v>42</v>
      </c>
      <c r="M88" s="85">
        <v>40</v>
      </c>
      <c r="N88" s="85">
        <v>53</v>
      </c>
      <c r="O88" s="85">
        <v>65</v>
      </c>
      <c r="P88" s="85" t="s">
        <v>13</v>
      </c>
      <c r="Q88" s="85">
        <v>0</v>
      </c>
      <c r="R88" s="85">
        <v>0</v>
      </c>
      <c r="S88" s="85" t="s">
        <v>211</v>
      </c>
      <c r="T88" s="86">
        <v>3571.7335834092314</v>
      </c>
      <c r="U88" s="86">
        <v>5208.7781424717959</v>
      </c>
      <c r="V88" s="86">
        <v>5320.3244115058033</v>
      </c>
      <c r="W88" s="86" t="s">
        <v>42</v>
      </c>
      <c r="X88" s="86" t="s">
        <v>42</v>
      </c>
      <c r="Y88" s="86" t="s">
        <v>42</v>
      </c>
      <c r="Z88" s="86" t="s">
        <v>42</v>
      </c>
      <c r="AB88" s="85" t="s">
        <v>471</v>
      </c>
      <c r="AC88" s="85">
        <v>0.25</v>
      </c>
      <c r="AD88" s="85">
        <v>0.35</v>
      </c>
      <c r="AE88" s="85">
        <v>0.45</v>
      </c>
      <c r="AF88" s="85">
        <v>0.57000000000000006</v>
      </c>
      <c r="AG88" s="85">
        <v>0.75</v>
      </c>
      <c r="AH88" s="85">
        <v>0.92999999999999994</v>
      </c>
      <c r="AI88" s="85">
        <v>46</v>
      </c>
      <c r="AJ88" s="85">
        <v>73</v>
      </c>
      <c r="AK88" s="85">
        <v>100</v>
      </c>
      <c r="AL88" s="87">
        <v>0.11194995482246094</v>
      </c>
      <c r="AM88" s="87">
        <v>0.39203646980730616</v>
      </c>
      <c r="AN88" s="87">
        <v>0.99010454186119479</v>
      </c>
      <c r="AO88" s="87">
        <v>0.16424638689384161</v>
      </c>
      <c r="AP88" s="87">
        <v>0.39203646980730628</v>
      </c>
      <c r="AQ88" s="87">
        <v>0.99010454186119479</v>
      </c>
      <c r="AR88" s="87" t="s">
        <v>42</v>
      </c>
      <c r="AS88" s="87" t="s">
        <v>42</v>
      </c>
      <c r="AT88" s="87" t="s">
        <v>42</v>
      </c>
      <c r="AV88" s="88">
        <v>5.8314430695743882</v>
      </c>
      <c r="AW88" s="88">
        <v>6.26442809725381</v>
      </c>
      <c r="AX88" s="88">
        <v>6.7522618235267631</v>
      </c>
      <c r="AY88" s="88">
        <v>0.16734435265317793</v>
      </c>
      <c r="AZ88" s="88">
        <v>0.51195501280270383</v>
      </c>
      <c r="BA88" s="88">
        <v>1.9323261410335195</v>
      </c>
      <c r="BB88" s="2"/>
      <c r="BC88" s="19">
        <v>169.01685183526646</v>
      </c>
      <c r="BD88" s="19">
        <v>1305.8861923084351</v>
      </c>
      <c r="BE88" s="19">
        <v>17260.624571916571</v>
      </c>
      <c r="BG88" s="23">
        <v>7.3159491899020681</v>
      </c>
      <c r="BH88" s="23">
        <v>7.7489342175814899</v>
      </c>
      <c r="BI88" s="23">
        <v>8.0910682385445067</v>
      </c>
      <c r="BJ88" s="23">
        <v>0.89645973488332309</v>
      </c>
      <c r="BK88" s="23">
        <v>2.7425308818187024</v>
      </c>
      <c r="BL88" s="23">
        <v>8.7528664748003404</v>
      </c>
      <c r="BN88" s="19">
        <v>905.41927340133338</v>
      </c>
      <c r="BO88" s="19">
        <v>6995.6014122020606</v>
      </c>
      <c r="BP88" s="19">
        <v>53291.074709957764</v>
      </c>
      <c r="BR88" s="23" t="s">
        <v>42</v>
      </c>
      <c r="BS88" s="23" t="s">
        <v>42</v>
      </c>
      <c r="BT88" s="23" t="s">
        <v>42</v>
      </c>
      <c r="BU88" s="23" t="s">
        <v>42</v>
      </c>
      <c r="BV88" s="23" t="s">
        <v>42</v>
      </c>
      <c r="BW88" s="23" t="s">
        <v>42</v>
      </c>
      <c r="BY88" s="23" t="s">
        <v>42</v>
      </c>
      <c r="BZ88" s="23" t="s">
        <v>42</v>
      </c>
      <c r="CA88" s="23" t="s">
        <v>42</v>
      </c>
      <c r="CC88">
        <v>328</v>
      </c>
      <c r="CD88">
        <v>72</v>
      </c>
    </row>
    <row r="89" spans="1:82" x14ac:dyDescent="0.2">
      <c r="A89">
        <v>329</v>
      </c>
      <c r="B89">
        <v>73</v>
      </c>
      <c r="C89" s="13" t="s">
        <v>32</v>
      </c>
      <c r="D89" s="13" t="s">
        <v>261</v>
      </c>
      <c r="E89" s="64" t="s">
        <v>382</v>
      </c>
      <c r="F89" s="83" t="s">
        <v>42</v>
      </c>
      <c r="G89" s="84">
        <v>29.2</v>
      </c>
      <c r="H89" s="84">
        <v>325</v>
      </c>
      <c r="I89" s="90">
        <v>135.79999999999998</v>
      </c>
      <c r="J89" s="85">
        <v>329</v>
      </c>
      <c r="K89" s="85" t="s">
        <v>42</v>
      </c>
      <c r="L89" s="85" t="s">
        <v>42</v>
      </c>
      <c r="M89" s="85">
        <v>42</v>
      </c>
      <c r="N89" s="85">
        <v>42</v>
      </c>
      <c r="O89" s="85">
        <v>42</v>
      </c>
      <c r="P89" s="85" t="s">
        <v>11</v>
      </c>
      <c r="Q89" s="85">
        <v>0</v>
      </c>
      <c r="R89" s="85">
        <v>0</v>
      </c>
      <c r="S89" s="85" t="s">
        <v>308</v>
      </c>
      <c r="T89" s="86">
        <v>4305.4068351491151</v>
      </c>
      <c r="U89" s="86">
        <v>5140</v>
      </c>
      <c r="V89" s="86">
        <v>5140</v>
      </c>
      <c r="W89" s="86" t="s">
        <v>42</v>
      </c>
      <c r="X89" s="86" t="s">
        <v>42</v>
      </c>
      <c r="Y89" s="86" t="s">
        <v>42</v>
      </c>
      <c r="Z89" s="86" t="s">
        <v>42</v>
      </c>
      <c r="AB89" s="85" t="s">
        <v>470</v>
      </c>
      <c r="AC89" s="85">
        <v>1.2500000000000001E-2</v>
      </c>
      <c r="AD89" s="85">
        <v>3.7499999999999999E-2</v>
      </c>
      <c r="AE89" s="85">
        <v>6.25E-2</v>
      </c>
      <c r="AF89" s="85">
        <v>0.57000000000000006</v>
      </c>
      <c r="AG89" s="85">
        <v>0.75</v>
      </c>
      <c r="AH89" s="85">
        <v>0.92999999999999994</v>
      </c>
      <c r="AI89" s="85">
        <v>46</v>
      </c>
      <c r="AJ89" s="85">
        <v>73</v>
      </c>
      <c r="AK89" s="85">
        <v>100</v>
      </c>
      <c r="AL89" s="87">
        <v>6.7794804501500302E-3</v>
      </c>
      <c r="AM89" s="87">
        <v>3.5993609325905014E-2</v>
      </c>
      <c r="AN89" s="87">
        <v>7.7251947169534207E-2</v>
      </c>
      <c r="AO89" s="87">
        <v>7.2358786265286626E-3</v>
      </c>
      <c r="AP89" s="87">
        <v>3.672173493771104E-2</v>
      </c>
      <c r="AQ89" s="87">
        <v>7.6210259526814914E-2</v>
      </c>
      <c r="AR89" s="87" t="s">
        <v>42</v>
      </c>
      <c r="AS89" s="87" t="s">
        <v>42</v>
      </c>
      <c r="AT89" s="87" t="s">
        <v>42</v>
      </c>
      <c r="AV89" s="88">
        <v>6.2578894644173673</v>
      </c>
      <c r="AW89" s="88">
        <v>6.6908744920967891</v>
      </c>
      <c r="AX89" s="88">
        <v>7.1787082183697422</v>
      </c>
      <c r="AY89" s="88">
        <v>0.27342250528343837</v>
      </c>
      <c r="AZ89" s="88">
        <v>0.83647891293373755</v>
      </c>
      <c r="BA89" s="88">
        <v>3.1572111405579073</v>
      </c>
      <c r="BB89" s="2"/>
      <c r="BC89" s="19">
        <v>3539.3606931796248</v>
      </c>
      <c r="BD89" s="19">
        <v>23239.650832452473</v>
      </c>
      <c r="BE89" s="19">
        <v>465701.04652902094</v>
      </c>
      <c r="BG89" s="23">
        <v>7.397084328577475</v>
      </c>
      <c r="BH89" s="23">
        <v>7.7431614766584076</v>
      </c>
      <c r="BI89" s="23">
        <v>8.0760932429456176</v>
      </c>
      <c r="BJ89" s="23">
        <v>0.98423398534522821</v>
      </c>
      <c r="BK89" s="23">
        <v>2.7243641459981065</v>
      </c>
      <c r="BL89" s="23">
        <v>8.6032551978887657</v>
      </c>
      <c r="BM89" s="2"/>
      <c r="BN89" s="19">
        <v>12914.717669986692</v>
      </c>
      <c r="BO89" s="19">
        <v>74189.41808221447</v>
      </c>
      <c r="BP89" s="19">
        <v>1188971.7395682863</v>
      </c>
      <c r="BR89" s="23" t="s">
        <v>42</v>
      </c>
      <c r="BS89" s="23" t="s">
        <v>42</v>
      </c>
      <c r="BT89" s="23" t="s">
        <v>42</v>
      </c>
      <c r="BU89" s="23" t="s">
        <v>42</v>
      </c>
      <c r="BV89" s="23" t="s">
        <v>42</v>
      </c>
      <c r="BW89" s="23" t="s">
        <v>42</v>
      </c>
      <c r="BX89" s="2"/>
      <c r="BY89" s="23" t="s">
        <v>42</v>
      </c>
      <c r="BZ89" s="23" t="s">
        <v>42</v>
      </c>
      <c r="CA89" s="23" t="s">
        <v>42</v>
      </c>
      <c r="CC89">
        <v>329</v>
      </c>
      <c r="CD89">
        <v>73</v>
      </c>
    </row>
    <row r="90" spans="1:82" x14ac:dyDescent="0.2">
      <c r="A90">
        <v>329</v>
      </c>
      <c r="B90">
        <v>74</v>
      </c>
      <c r="C90" s="13" t="s">
        <v>32</v>
      </c>
      <c r="D90" s="13" t="s">
        <v>261</v>
      </c>
      <c r="E90" s="64" t="s">
        <v>383</v>
      </c>
      <c r="F90" s="83" t="s">
        <v>42</v>
      </c>
      <c r="G90" s="84">
        <v>11.7</v>
      </c>
      <c r="H90" s="84">
        <v>7</v>
      </c>
      <c r="I90" s="90">
        <v>135.79999999999998</v>
      </c>
      <c r="J90" s="85">
        <v>329</v>
      </c>
      <c r="K90" s="85" t="s">
        <v>42</v>
      </c>
      <c r="L90" s="85" t="s">
        <v>42</v>
      </c>
      <c r="M90" s="85">
        <v>42</v>
      </c>
      <c r="N90" s="85">
        <v>42</v>
      </c>
      <c r="O90" s="85">
        <v>42</v>
      </c>
      <c r="P90" s="85" t="s">
        <v>14</v>
      </c>
      <c r="Q90" s="85">
        <v>0</v>
      </c>
      <c r="R90" s="85">
        <v>0</v>
      </c>
      <c r="S90" s="85" t="s">
        <v>308</v>
      </c>
      <c r="T90" s="86">
        <v>4305.4068351491151</v>
      </c>
      <c r="U90" s="86">
        <v>5140</v>
      </c>
      <c r="V90" s="86">
        <v>5140</v>
      </c>
      <c r="W90" s="86" t="s">
        <v>42</v>
      </c>
      <c r="X90" s="86" t="s">
        <v>42</v>
      </c>
      <c r="Y90" s="86" t="s">
        <v>42</v>
      </c>
      <c r="Z90" s="86" t="s">
        <v>42</v>
      </c>
      <c r="AB90" s="85" t="s">
        <v>470</v>
      </c>
      <c r="AC90" s="85">
        <v>1.2500000000000001E-2</v>
      </c>
      <c r="AD90" s="85">
        <v>3.7499999999999999E-2</v>
      </c>
      <c r="AE90" s="85">
        <v>6.25E-2</v>
      </c>
      <c r="AF90" s="85">
        <v>0.57000000000000006</v>
      </c>
      <c r="AG90" s="85">
        <v>0.75</v>
      </c>
      <c r="AH90" s="85">
        <v>0.92999999999999994</v>
      </c>
      <c r="AI90" s="85">
        <v>46</v>
      </c>
      <c r="AJ90" s="85">
        <v>73</v>
      </c>
      <c r="AK90" s="85">
        <v>100</v>
      </c>
      <c r="AL90" s="87">
        <v>6.0336930736880814E-3</v>
      </c>
      <c r="AM90" s="87">
        <v>3.4573968781512719E-2</v>
      </c>
      <c r="AN90" s="87">
        <v>7.8107711602945537E-2</v>
      </c>
      <c r="AO90" s="87">
        <v>7.2358786265286626E-3</v>
      </c>
      <c r="AP90" s="87">
        <v>3.672173493771104E-2</v>
      </c>
      <c r="AQ90" s="87">
        <v>7.6210259526814914E-2</v>
      </c>
      <c r="AR90" s="87" t="s">
        <v>42</v>
      </c>
      <c r="AS90" s="87" t="s">
        <v>42</v>
      </c>
      <c r="AT90" s="87" t="s">
        <v>42</v>
      </c>
      <c r="AV90" s="88">
        <v>5.5958944815802738</v>
      </c>
      <c r="AW90" s="88">
        <v>6.0288795092596956</v>
      </c>
      <c r="AX90" s="88">
        <v>6.5167132355326487</v>
      </c>
      <c r="AY90" s="88">
        <v>0.12759591389977895</v>
      </c>
      <c r="AZ90" s="88">
        <v>0.39035298591472023</v>
      </c>
      <c r="BA90" s="88">
        <v>1.4733507047506753</v>
      </c>
      <c r="BB90" s="2"/>
      <c r="BC90" s="19">
        <v>1633.5891972921038</v>
      </c>
      <c r="BD90" s="19">
        <v>11290.372487507091</v>
      </c>
      <c r="BE90" s="19">
        <v>244187.21448986349</v>
      </c>
      <c r="BG90" s="23">
        <v>7.397084328577475</v>
      </c>
      <c r="BH90" s="23">
        <v>7.7431614766584076</v>
      </c>
      <c r="BI90" s="23">
        <v>8.0760932429456176</v>
      </c>
      <c r="BJ90" s="23">
        <v>0.98423398534522821</v>
      </c>
      <c r="BK90" s="23">
        <v>2.7243641459981065</v>
      </c>
      <c r="BL90" s="23">
        <v>8.6032551978887657</v>
      </c>
      <c r="BM90" s="2"/>
      <c r="BN90" s="19">
        <v>12914.717669986692</v>
      </c>
      <c r="BO90" s="19">
        <v>74189.41808221447</v>
      </c>
      <c r="BP90" s="19">
        <v>1188971.7395682863</v>
      </c>
      <c r="BR90" s="23" t="s">
        <v>42</v>
      </c>
      <c r="BS90" s="23" t="s">
        <v>42</v>
      </c>
      <c r="BT90" s="23" t="s">
        <v>42</v>
      </c>
      <c r="BU90" s="23" t="s">
        <v>42</v>
      </c>
      <c r="BV90" s="23" t="s">
        <v>42</v>
      </c>
      <c r="BW90" s="23" t="s">
        <v>42</v>
      </c>
      <c r="BX90" s="2"/>
      <c r="BY90" s="23" t="s">
        <v>42</v>
      </c>
      <c r="BZ90" s="23" t="s">
        <v>42</v>
      </c>
      <c r="CA90" s="23" t="s">
        <v>42</v>
      </c>
      <c r="CC90">
        <v>329</v>
      </c>
      <c r="CD90">
        <v>74</v>
      </c>
    </row>
    <row r="91" spans="1:82" x14ac:dyDescent="0.2">
      <c r="A91">
        <v>329</v>
      </c>
      <c r="B91">
        <v>75</v>
      </c>
      <c r="C91" s="13" t="s">
        <v>32</v>
      </c>
      <c r="D91" s="13" t="s">
        <v>261</v>
      </c>
      <c r="E91" s="64" t="s">
        <v>384</v>
      </c>
      <c r="F91" s="83" t="s">
        <v>42</v>
      </c>
      <c r="G91" s="84">
        <v>19.399999999999999</v>
      </c>
      <c r="H91" s="84">
        <v>318</v>
      </c>
      <c r="I91" s="90">
        <v>135.79999999999998</v>
      </c>
      <c r="J91" s="85">
        <v>329</v>
      </c>
      <c r="K91" s="85" t="s">
        <v>42</v>
      </c>
      <c r="L91" s="85" t="s">
        <v>42</v>
      </c>
      <c r="M91" s="85">
        <v>42</v>
      </c>
      <c r="N91" s="85">
        <v>42</v>
      </c>
      <c r="O91" s="85">
        <v>42</v>
      </c>
      <c r="P91" s="85" t="s">
        <v>11</v>
      </c>
      <c r="Q91" s="85">
        <v>0</v>
      </c>
      <c r="R91" s="85">
        <v>0</v>
      </c>
      <c r="S91" s="85" t="s">
        <v>308</v>
      </c>
      <c r="T91" s="86">
        <v>4305.4068351491151</v>
      </c>
      <c r="U91" s="86">
        <v>5140</v>
      </c>
      <c r="V91" s="86">
        <v>5140</v>
      </c>
      <c r="W91" s="86" t="s">
        <v>42</v>
      </c>
      <c r="X91" s="86" t="s">
        <v>42</v>
      </c>
      <c r="Y91" s="86" t="s">
        <v>42</v>
      </c>
      <c r="Z91" s="86" t="s">
        <v>42</v>
      </c>
      <c r="AB91" s="85" t="s">
        <v>470</v>
      </c>
      <c r="AC91" s="85">
        <v>1.2500000000000001E-2</v>
      </c>
      <c r="AD91" s="85">
        <v>3.7499999999999999E-2</v>
      </c>
      <c r="AE91" s="85">
        <v>6.25E-2</v>
      </c>
      <c r="AF91" s="85">
        <v>0.57000000000000006</v>
      </c>
      <c r="AG91" s="85">
        <v>0.75</v>
      </c>
      <c r="AH91" s="85">
        <v>0.92999999999999994</v>
      </c>
      <c r="AI91" s="85">
        <v>46</v>
      </c>
      <c r="AJ91" s="85">
        <v>73</v>
      </c>
      <c r="AK91" s="85">
        <v>100</v>
      </c>
      <c r="AL91" s="87">
        <v>5.9027363998361768E-3</v>
      </c>
      <c r="AM91" s="87">
        <v>3.4300052475008669E-2</v>
      </c>
      <c r="AN91" s="87">
        <v>7.816725600311937E-2</v>
      </c>
      <c r="AO91" s="87">
        <v>7.2358786265286626E-3</v>
      </c>
      <c r="AP91" s="87">
        <v>3.672173493771104E-2</v>
      </c>
      <c r="AQ91" s="87">
        <v>7.6210259526814914E-2</v>
      </c>
      <c r="AR91" s="87" t="s">
        <v>42</v>
      </c>
      <c r="AS91" s="87" t="s">
        <v>42</v>
      </c>
      <c r="AT91" s="87" t="s">
        <v>42</v>
      </c>
      <c r="AV91" s="88">
        <v>5.961920928553714</v>
      </c>
      <c r="AW91" s="88">
        <v>6.3949059562331358</v>
      </c>
      <c r="AX91" s="88">
        <v>6.8827396825060889</v>
      </c>
      <c r="AY91" s="88">
        <v>0.19446882508843721</v>
      </c>
      <c r="AZ91" s="88">
        <v>0.59493665761290893</v>
      </c>
      <c r="BA91" s="88">
        <v>2.2455325702759894</v>
      </c>
      <c r="BB91" s="2"/>
      <c r="BC91" s="19">
        <v>2487.8553377986896</v>
      </c>
      <c r="BD91" s="19">
        <v>17345.065522753506</v>
      </c>
      <c r="BE91" s="19">
        <v>380422.30216113175</v>
      </c>
      <c r="BG91" s="23">
        <v>7.397084328577475</v>
      </c>
      <c r="BH91" s="23">
        <v>7.7431614766584076</v>
      </c>
      <c r="BI91" s="23">
        <v>8.0760932429456176</v>
      </c>
      <c r="BJ91" s="23">
        <v>0.98423398534522821</v>
      </c>
      <c r="BK91" s="23">
        <v>2.7243641459981065</v>
      </c>
      <c r="BL91" s="23">
        <v>8.6032551978887657</v>
      </c>
      <c r="BM91" s="2"/>
      <c r="BN91" s="19">
        <v>12914.717669986692</v>
      </c>
      <c r="BO91" s="19">
        <v>74189.41808221447</v>
      </c>
      <c r="BP91" s="19">
        <v>1188971.7395682863</v>
      </c>
      <c r="BR91" s="23" t="s">
        <v>42</v>
      </c>
      <c r="BS91" s="23" t="s">
        <v>42</v>
      </c>
      <c r="BT91" s="23" t="s">
        <v>42</v>
      </c>
      <c r="BU91" s="23" t="s">
        <v>42</v>
      </c>
      <c r="BV91" s="23" t="s">
        <v>42</v>
      </c>
      <c r="BW91" s="23" t="s">
        <v>42</v>
      </c>
      <c r="BX91" s="2"/>
      <c r="BY91" s="23" t="s">
        <v>42</v>
      </c>
      <c r="BZ91" s="23" t="s">
        <v>42</v>
      </c>
      <c r="CA91" s="23" t="s">
        <v>42</v>
      </c>
      <c r="CC91">
        <v>329</v>
      </c>
      <c r="CD91">
        <v>75</v>
      </c>
    </row>
    <row r="92" spans="1:82" x14ac:dyDescent="0.2">
      <c r="A92">
        <v>329</v>
      </c>
      <c r="B92">
        <v>76</v>
      </c>
      <c r="C92" s="13" t="s">
        <v>32</v>
      </c>
      <c r="D92" s="13" t="s">
        <v>261</v>
      </c>
      <c r="E92" s="64" t="s">
        <v>385</v>
      </c>
      <c r="F92" s="83" t="s">
        <v>42</v>
      </c>
      <c r="G92" s="84">
        <v>18.399999999999999</v>
      </c>
      <c r="H92" s="84">
        <v>330</v>
      </c>
      <c r="I92" s="90">
        <v>135.79999999999998</v>
      </c>
      <c r="J92" s="85">
        <v>329</v>
      </c>
      <c r="K92" s="85" t="s">
        <v>42</v>
      </c>
      <c r="L92" s="85" t="s">
        <v>42</v>
      </c>
      <c r="M92" s="85">
        <v>42</v>
      </c>
      <c r="N92" s="85">
        <v>42</v>
      </c>
      <c r="O92" s="85">
        <v>42</v>
      </c>
      <c r="P92" s="85" t="s">
        <v>11</v>
      </c>
      <c r="Q92" s="85">
        <v>0</v>
      </c>
      <c r="R92" s="85">
        <v>0</v>
      </c>
      <c r="S92" s="85" t="s">
        <v>308</v>
      </c>
      <c r="T92" s="86">
        <v>4305.4068351491151</v>
      </c>
      <c r="U92" s="86">
        <v>5140</v>
      </c>
      <c r="V92" s="86">
        <v>5140</v>
      </c>
      <c r="W92" s="86" t="s">
        <v>42</v>
      </c>
      <c r="X92" s="86" t="s">
        <v>42</v>
      </c>
      <c r="Y92" s="86" t="s">
        <v>42</v>
      </c>
      <c r="Z92" s="86" t="s">
        <v>42</v>
      </c>
      <c r="AB92" s="85" t="s">
        <v>470</v>
      </c>
      <c r="AC92" s="85">
        <v>1.2500000000000001E-2</v>
      </c>
      <c r="AD92" s="85">
        <v>3.7499999999999999E-2</v>
      </c>
      <c r="AE92" s="85">
        <v>6.25E-2</v>
      </c>
      <c r="AF92" s="85">
        <v>0.57000000000000006</v>
      </c>
      <c r="AG92" s="85">
        <v>0.75</v>
      </c>
      <c r="AH92" s="85">
        <v>0.92999999999999994</v>
      </c>
      <c r="AI92" s="85">
        <v>46</v>
      </c>
      <c r="AJ92" s="85">
        <v>73</v>
      </c>
      <c r="AK92" s="85">
        <v>100</v>
      </c>
      <c r="AL92" s="87">
        <v>7.3445531343321541E-3</v>
      </c>
      <c r="AM92" s="87">
        <v>3.672173493771104E-2</v>
      </c>
      <c r="AN92" s="87">
        <v>7.6210259526814914E-2</v>
      </c>
      <c r="AO92" s="87">
        <v>7.2358786265286626E-3</v>
      </c>
      <c r="AP92" s="87">
        <v>3.672173493771104E-2</v>
      </c>
      <c r="AQ92" s="87">
        <v>7.6210259526814914E-2</v>
      </c>
      <c r="AR92" s="87" t="s">
        <v>42</v>
      </c>
      <c r="AS92" s="87" t="s">
        <v>42</v>
      </c>
      <c r="AT92" s="87" t="s">
        <v>42</v>
      </c>
      <c r="AV92" s="88">
        <v>5.9236144170192331</v>
      </c>
      <c r="AW92" s="88">
        <v>6.3565994446986549</v>
      </c>
      <c r="AX92" s="88">
        <v>6.844433170971608</v>
      </c>
      <c r="AY92" s="88">
        <v>0.18607873054944163</v>
      </c>
      <c r="AZ92" s="88">
        <v>0.56926891986719907</v>
      </c>
      <c r="BA92" s="88">
        <v>2.1486521034636796</v>
      </c>
      <c r="BB92" s="2"/>
      <c r="BC92" s="19">
        <v>2441.6493488513706</v>
      </c>
      <c r="BD92" s="19">
        <v>15502.233781514329</v>
      </c>
      <c r="BE92" s="19">
        <v>292550.41990503052</v>
      </c>
      <c r="BG92" s="23">
        <v>7.397084328577475</v>
      </c>
      <c r="BH92" s="23">
        <v>7.7431614766584076</v>
      </c>
      <c r="BI92" s="23">
        <v>8.0760932429456176</v>
      </c>
      <c r="BJ92" s="23">
        <v>0.98423398534522821</v>
      </c>
      <c r="BK92" s="23">
        <v>2.7243641459981065</v>
      </c>
      <c r="BL92" s="23">
        <v>8.6032551978887657</v>
      </c>
      <c r="BM92" s="2"/>
      <c r="BN92" s="19">
        <v>12914.717669986692</v>
      </c>
      <c r="BO92" s="19">
        <v>74189.41808221447</v>
      </c>
      <c r="BP92" s="19">
        <v>1188971.7395682863</v>
      </c>
      <c r="BR92" s="23" t="s">
        <v>42</v>
      </c>
      <c r="BS92" s="23" t="s">
        <v>42</v>
      </c>
      <c r="BT92" s="23" t="s">
        <v>42</v>
      </c>
      <c r="BU92" s="23" t="s">
        <v>42</v>
      </c>
      <c r="BV92" s="23" t="s">
        <v>42</v>
      </c>
      <c r="BW92" s="23" t="s">
        <v>42</v>
      </c>
      <c r="BX92" s="2"/>
      <c r="BY92" s="23" t="s">
        <v>42</v>
      </c>
      <c r="BZ92" s="23" t="s">
        <v>42</v>
      </c>
      <c r="CA92" s="23" t="s">
        <v>42</v>
      </c>
      <c r="CC92">
        <v>329</v>
      </c>
      <c r="CD92">
        <v>76</v>
      </c>
    </row>
    <row r="93" spans="1:82" x14ac:dyDescent="0.2">
      <c r="A93">
        <v>329</v>
      </c>
      <c r="B93">
        <v>77</v>
      </c>
      <c r="C93" s="13" t="s">
        <v>32</v>
      </c>
      <c r="D93" s="13" t="s">
        <v>261</v>
      </c>
      <c r="E93" s="64" t="s">
        <v>386</v>
      </c>
      <c r="F93" s="83" t="s">
        <v>42</v>
      </c>
      <c r="G93" s="84">
        <v>20.399999999999999</v>
      </c>
      <c r="H93" s="84">
        <v>339</v>
      </c>
      <c r="I93" s="90">
        <v>135.79999999999998</v>
      </c>
      <c r="J93" s="85">
        <v>329</v>
      </c>
      <c r="K93" s="85" t="s">
        <v>42</v>
      </c>
      <c r="L93" s="85" t="s">
        <v>42</v>
      </c>
      <c r="M93" s="85">
        <v>42</v>
      </c>
      <c r="N93" s="85">
        <v>42</v>
      </c>
      <c r="O93" s="85">
        <v>42</v>
      </c>
      <c r="P93" s="85" t="s">
        <v>11</v>
      </c>
      <c r="Q93" s="85">
        <v>0</v>
      </c>
      <c r="R93" s="85">
        <v>0</v>
      </c>
      <c r="S93" s="85" t="s">
        <v>308</v>
      </c>
      <c r="T93" s="86">
        <v>4305.4068351491151</v>
      </c>
      <c r="U93" s="86">
        <v>5140</v>
      </c>
      <c r="V93" s="86">
        <v>5140</v>
      </c>
      <c r="W93" s="86" t="s">
        <v>42</v>
      </c>
      <c r="X93" s="86" t="s">
        <v>42</v>
      </c>
      <c r="Y93" s="86" t="s">
        <v>42</v>
      </c>
      <c r="Z93" s="86" t="s">
        <v>42</v>
      </c>
      <c r="AB93" s="85" t="s">
        <v>470</v>
      </c>
      <c r="AC93" s="85">
        <v>1.2500000000000001E-2</v>
      </c>
      <c r="AD93" s="85">
        <v>3.7499999999999999E-2</v>
      </c>
      <c r="AE93" s="85">
        <v>6.25E-2</v>
      </c>
      <c r="AF93" s="85">
        <v>0.57000000000000006</v>
      </c>
      <c r="AG93" s="85">
        <v>0.75</v>
      </c>
      <c r="AH93" s="85">
        <v>0.92999999999999994</v>
      </c>
      <c r="AI93" s="85">
        <v>46</v>
      </c>
      <c r="AJ93" s="85">
        <v>73</v>
      </c>
      <c r="AK93" s="85">
        <v>100</v>
      </c>
      <c r="AL93" s="87">
        <v>8.2182056688334271E-3</v>
      </c>
      <c r="AM93" s="87">
        <v>3.4837353522200375E-2</v>
      </c>
      <c r="AN93" s="87">
        <v>7.8024374837171062E-2</v>
      </c>
      <c r="AO93" s="87">
        <v>7.2358786265286626E-3</v>
      </c>
      <c r="AP93" s="87">
        <v>3.672173493771104E-2</v>
      </c>
      <c r="AQ93" s="87">
        <v>7.6210259526814914E-2</v>
      </c>
      <c r="AR93" s="87" t="s">
        <v>42</v>
      </c>
      <c r="AS93" s="87" t="s">
        <v>42</v>
      </c>
      <c r="AT93" s="87" t="s">
        <v>42</v>
      </c>
      <c r="AV93" s="88">
        <v>5.998301657713168</v>
      </c>
      <c r="AW93" s="88">
        <v>6.4312866853925899</v>
      </c>
      <c r="AX93" s="88">
        <v>6.9191204116655429</v>
      </c>
      <c r="AY93" s="88">
        <v>0.20278711419129666</v>
      </c>
      <c r="AZ93" s="88">
        <v>0.6203847216594871</v>
      </c>
      <c r="BA93" s="88">
        <v>2.3415838993306552</v>
      </c>
      <c r="BB93" s="2"/>
      <c r="BC93" s="19">
        <v>2599.0226081848496</v>
      </c>
      <c r="BD93" s="19">
        <v>17808.032440355786</v>
      </c>
      <c r="BE93" s="19">
        <v>284926.41747952782</v>
      </c>
      <c r="BG93" s="23">
        <v>7.397084328577475</v>
      </c>
      <c r="BH93" s="23">
        <v>7.7431614766584076</v>
      </c>
      <c r="BI93" s="23">
        <v>8.0760932429456176</v>
      </c>
      <c r="BJ93" s="23">
        <v>0.98423398534522821</v>
      </c>
      <c r="BK93" s="23">
        <v>2.7243641459981065</v>
      </c>
      <c r="BL93" s="23">
        <v>8.6032551978887657</v>
      </c>
      <c r="BM93" s="2"/>
      <c r="BN93" s="19">
        <v>12914.717669986692</v>
      </c>
      <c r="BO93" s="19">
        <v>74189.41808221447</v>
      </c>
      <c r="BP93" s="19">
        <v>1188971.7395682863</v>
      </c>
      <c r="BR93" s="23" t="s">
        <v>42</v>
      </c>
      <c r="BS93" s="23" t="s">
        <v>42</v>
      </c>
      <c r="BT93" s="23" t="s">
        <v>42</v>
      </c>
      <c r="BU93" s="23" t="s">
        <v>42</v>
      </c>
      <c r="BV93" s="23" t="s">
        <v>42</v>
      </c>
      <c r="BW93" s="23" t="s">
        <v>42</v>
      </c>
      <c r="BX93" s="2"/>
      <c r="BY93" s="23" t="s">
        <v>42</v>
      </c>
      <c r="BZ93" s="23" t="s">
        <v>42</v>
      </c>
      <c r="CA93" s="23" t="s">
        <v>42</v>
      </c>
      <c r="CC93">
        <v>329</v>
      </c>
      <c r="CD93">
        <v>77</v>
      </c>
    </row>
    <row r="94" spans="1:82" x14ac:dyDescent="0.2">
      <c r="A94">
        <v>329</v>
      </c>
      <c r="B94">
        <v>78</v>
      </c>
      <c r="C94" s="13" t="s">
        <v>32</v>
      </c>
      <c r="D94" s="13" t="s">
        <v>261</v>
      </c>
      <c r="E94" s="64" t="s">
        <v>387</v>
      </c>
      <c r="F94" s="83" t="s">
        <v>42</v>
      </c>
      <c r="G94" s="84">
        <v>15.7</v>
      </c>
      <c r="H94" s="84">
        <v>324</v>
      </c>
      <c r="I94" s="90">
        <v>135.79999999999998</v>
      </c>
      <c r="J94" s="85">
        <v>329</v>
      </c>
      <c r="K94" s="85" t="s">
        <v>42</v>
      </c>
      <c r="L94" s="85" t="s">
        <v>42</v>
      </c>
      <c r="M94" s="85">
        <v>42</v>
      </c>
      <c r="N94" s="85">
        <v>42</v>
      </c>
      <c r="O94" s="85">
        <v>42</v>
      </c>
      <c r="P94" s="85" t="s">
        <v>11</v>
      </c>
      <c r="Q94" s="85">
        <v>0</v>
      </c>
      <c r="R94" s="85">
        <v>0</v>
      </c>
      <c r="S94" s="85" t="s">
        <v>308</v>
      </c>
      <c r="T94" s="86">
        <v>4305.4068351491151</v>
      </c>
      <c r="U94" s="86">
        <v>5140</v>
      </c>
      <c r="V94" s="86">
        <v>5140</v>
      </c>
      <c r="W94" s="86" t="s">
        <v>42</v>
      </c>
      <c r="X94" s="86" t="s">
        <v>42</v>
      </c>
      <c r="Y94" s="86" t="s">
        <v>42</v>
      </c>
      <c r="Z94" s="86" t="s">
        <v>42</v>
      </c>
      <c r="AB94" s="85" t="s">
        <v>470</v>
      </c>
      <c r="AC94" s="85">
        <v>1.2500000000000001E-2</v>
      </c>
      <c r="AD94" s="85">
        <v>3.7499999999999999E-2</v>
      </c>
      <c r="AE94" s="85">
        <v>6.25E-2</v>
      </c>
      <c r="AF94" s="85">
        <v>0.57000000000000006</v>
      </c>
      <c r="AG94" s="85">
        <v>0.75</v>
      </c>
      <c r="AH94" s="85">
        <v>0.92999999999999994</v>
      </c>
      <c r="AI94" s="85">
        <v>46</v>
      </c>
      <c r="AJ94" s="85">
        <v>73</v>
      </c>
      <c r="AK94" s="85">
        <v>100</v>
      </c>
      <c r="AL94" s="87">
        <v>6.6601296541906867E-3</v>
      </c>
      <c r="AM94" s="87">
        <v>3.578402086248491E-2</v>
      </c>
      <c r="AN94" s="87">
        <v>7.7453720354747554E-2</v>
      </c>
      <c r="AO94" s="87">
        <v>7.2358786265286626E-3</v>
      </c>
      <c r="AP94" s="87">
        <v>3.672173493771104E-2</v>
      </c>
      <c r="AQ94" s="87">
        <v>7.6210259526814914E-2</v>
      </c>
      <c r="AR94" s="87" t="s">
        <v>42</v>
      </c>
      <c r="AS94" s="87" t="s">
        <v>42</v>
      </c>
      <c r="AT94" s="87" t="s">
        <v>42</v>
      </c>
      <c r="AV94" s="88">
        <v>5.8087507993520617</v>
      </c>
      <c r="AW94" s="88">
        <v>6.2417358270314836</v>
      </c>
      <c r="AX94" s="88">
        <v>6.7295695533044366</v>
      </c>
      <c r="AY94" s="88">
        <v>0.16302902293851654</v>
      </c>
      <c r="AZ94" s="88">
        <v>0.49875316497043143</v>
      </c>
      <c r="BA94" s="88">
        <v>1.8824970055854882</v>
      </c>
      <c r="BB94" s="2"/>
      <c r="BC94" s="19">
        <v>2104.8572256028965</v>
      </c>
      <c r="BD94" s="19">
        <v>13937.873747813288</v>
      </c>
      <c r="BE94" s="19">
        <v>282651.70549660147</v>
      </c>
      <c r="BG94" s="23">
        <v>7.397084328577475</v>
      </c>
      <c r="BH94" s="23">
        <v>7.7431614766584076</v>
      </c>
      <c r="BI94" s="23">
        <v>8.0760932429456176</v>
      </c>
      <c r="BJ94" s="23">
        <v>0.98423398534522821</v>
      </c>
      <c r="BK94" s="23">
        <v>2.7243641459981065</v>
      </c>
      <c r="BL94" s="23">
        <v>8.6032551978887657</v>
      </c>
      <c r="BM94" s="2"/>
      <c r="BN94" s="19">
        <v>12914.717669986692</v>
      </c>
      <c r="BO94" s="19">
        <v>74189.41808221447</v>
      </c>
      <c r="BP94" s="19">
        <v>1188971.7395682863</v>
      </c>
      <c r="BR94" s="23" t="s">
        <v>42</v>
      </c>
      <c r="BS94" s="23" t="s">
        <v>42</v>
      </c>
      <c r="BT94" s="23" t="s">
        <v>42</v>
      </c>
      <c r="BU94" s="23" t="s">
        <v>42</v>
      </c>
      <c r="BV94" s="23" t="s">
        <v>42</v>
      </c>
      <c r="BW94" s="23" t="s">
        <v>42</v>
      </c>
      <c r="BX94" s="2"/>
      <c r="BY94" s="23" t="s">
        <v>42</v>
      </c>
      <c r="BZ94" s="23" t="s">
        <v>42</v>
      </c>
      <c r="CA94" s="23" t="s">
        <v>42</v>
      </c>
      <c r="CC94">
        <v>329</v>
      </c>
      <c r="CD94">
        <v>78</v>
      </c>
    </row>
    <row r="95" spans="1:82" x14ac:dyDescent="0.2">
      <c r="A95">
        <v>329</v>
      </c>
      <c r="B95">
        <v>79</v>
      </c>
      <c r="C95" s="13" t="s">
        <v>32</v>
      </c>
      <c r="D95" s="13" t="s">
        <v>261</v>
      </c>
      <c r="E95" s="64" t="s">
        <v>262</v>
      </c>
      <c r="F95" s="83" t="s">
        <v>42</v>
      </c>
      <c r="G95" s="84">
        <v>13.4</v>
      </c>
      <c r="H95" s="84">
        <v>324</v>
      </c>
      <c r="I95" s="90">
        <v>135.79999999999998</v>
      </c>
      <c r="J95" s="85">
        <v>329</v>
      </c>
      <c r="K95" s="85" t="s">
        <v>42</v>
      </c>
      <c r="L95" s="85" t="s">
        <v>42</v>
      </c>
      <c r="M95" s="85">
        <v>42</v>
      </c>
      <c r="N95" s="85">
        <v>42</v>
      </c>
      <c r="O95" s="85">
        <v>42</v>
      </c>
      <c r="P95" s="85" t="s">
        <v>11</v>
      </c>
      <c r="Q95" s="85">
        <v>0</v>
      </c>
      <c r="R95" s="85">
        <v>0</v>
      </c>
      <c r="S95" s="85" t="s">
        <v>308</v>
      </c>
      <c r="T95" s="86">
        <v>4305.4068351491151</v>
      </c>
      <c r="U95" s="86">
        <v>5140</v>
      </c>
      <c r="V95" s="86">
        <v>5140</v>
      </c>
      <c r="W95" s="86" t="s">
        <v>42</v>
      </c>
      <c r="X95" s="86" t="s">
        <v>42</v>
      </c>
      <c r="Y95" s="86" t="s">
        <v>42</v>
      </c>
      <c r="Z95" s="86" t="s">
        <v>42</v>
      </c>
      <c r="AB95" s="85" t="s">
        <v>470</v>
      </c>
      <c r="AC95" s="85">
        <v>1.2500000000000001E-2</v>
      </c>
      <c r="AD95" s="85">
        <v>3.7499999999999999E-2</v>
      </c>
      <c r="AE95" s="85">
        <v>6.25E-2</v>
      </c>
      <c r="AF95" s="85">
        <v>0.57000000000000006</v>
      </c>
      <c r="AG95" s="85">
        <v>0.75</v>
      </c>
      <c r="AH95" s="85">
        <v>0.92999999999999994</v>
      </c>
      <c r="AI95" s="85">
        <v>46</v>
      </c>
      <c r="AJ95" s="85">
        <v>73</v>
      </c>
      <c r="AK95" s="85">
        <v>100</v>
      </c>
      <c r="AL95" s="87">
        <v>6.6601296541906867E-3</v>
      </c>
      <c r="AM95" s="87">
        <v>3.578402086248491E-2</v>
      </c>
      <c r="AN95" s="87">
        <v>7.7453720354747554E-2</v>
      </c>
      <c r="AO95" s="87">
        <v>7.2358786265286626E-3</v>
      </c>
      <c r="AP95" s="87">
        <v>3.672173493771104E-2</v>
      </c>
      <c r="AQ95" s="87">
        <v>7.6210259526814914E-2</v>
      </c>
      <c r="AR95" s="87" t="s">
        <v>42</v>
      </c>
      <c r="AS95" s="87" t="s">
        <v>42</v>
      </c>
      <c r="AT95" s="87" t="s">
        <v>42</v>
      </c>
      <c r="AV95" s="88">
        <v>5.6940927092780171</v>
      </c>
      <c r="AW95" s="88">
        <v>6.127077736957439</v>
      </c>
      <c r="AX95" s="88">
        <v>6.614911463230392</v>
      </c>
      <c r="AY95" s="88">
        <v>0.14286830120286503</v>
      </c>
      <c r="AZ95" s="88">
        <v>0.43707565753952093</v>
      </c>
      <c r="BA95" s="88">
        <v>1.6497010431627752</v>
      </c>
      <c r="BB95" s="2"/>
      <c r="BC95" s="19">
        <v>1844.5634444479965</v>
      </c>
      <c r="BD95" s="19">
        <v>12214.269023013574</v>
      </c>
      <c r="BE95" s="19">
        <v>247698.03724838156</v>
      </c>
      <c r="BG95" s="23">
        <v>7.397084328577475</v>
      </c>
      <c r="BH95" s="23">
        <v>7.7431614766584076</v>
      </c>
      <c r="BI95" s="23">
        <v>8.0760932429456176</v>
      </c>
      <c r="BJ95" s="23">
        <v>0.98423398534522821</v>
      </c>
      <c r="BK95" s="23">
        <v>2.7243641459981065</v>
      </c>
      <c r="BL95" s="23">
        <v>8.6032551978887657</v>
      </c>
      <c r="BM95" s="2"/>
      <c r="BN95" s="19">
        <v>12914.717669986692</v>
      </c>
      <c r="BO95" s="19">
        <v>74189.41808221447</v>
      </c>
      <c r="BP95" s="19">
        <v>1188971.7395682863</v>
      </c>
      <c r="BR95" s="23" t="s">
        <v>42</v>
      </c>
      <c r="BS95" s="23" t="s">
        <v>42</v>
      </c>
      <c r="BT95" s="23" t="s">
        <v>42</v>
      </c>
      <c r="BU95" s="23" t="s">
        <v>42</v>
      </c>
      <c r="BV95" s="23" t="s">
        <v>42</v>
      </c>
      <c r="BW95" s="23" t="s">
        <v>42</v>
      </c>
      <c r="BX95" s="2"/>
      <c r="BY95" s="23" t="s">
        <v>42</v>
      </c>
      <c r="BZ95" s="23" t="s">
        <v>42</v>
      </c>
      <c r="CA95" s="23" t="s">
        <v>42</v>
      </c>
      <c r="CC95">
        <v>329</v>
      </c>
      <c r="CD95">
        <v>79</v>
      </c>
    </row>
    <row r="96" spans="1:82" x14ac:dyDescent="0.2">
      <c r="A96">
        <v>329</v>
      </c>
      <c r="B96">
        <v>80</v>
      </c>
      <c r="C96" s="13" t="s">
        <v>32</v>
      </c>
      <c r="D96" s="13" t="s">
        <v>261</v>
      </c>
      <c r="E96" s="64" t="s">
        <v>263</v>
      </c>
      <c r="F96" s="83" t="s">
        <v>42</v>
      </c>
      <c r="G96" s="84">
        <v>7.6</v>
      </c>
      <c r="H96" s="84">
        <v>317</v>
      </c>
      <c r="I96" s="90">
        <v>135.79999999999998</v>
      </c>
      <c r="J96" s="85">
        <v>329</v>
      </c>
      <c r="K96" s="85" t="s">
        <v>42</v>
      </c>
      <c r="L96" s="85" t="s">
        <v>42</v>
      </c>
      <c r="M96" s="85">
        <v>42</v>
      </c>
      <c r="N96" s="85">
        <v>42</v>
      </c>
      <c r="O96" s="85">
        <v>42</v>
      </c>
      <c r="P96" s="85" t="s">
        <v>11</v>
      </c>
      <c r="Q96" s="85">
        <v>0</v>
      </c>
      <c r="R96" s="85">
        <v>0</v>
      </c>
      <c r="S96" s="85" t="s">
        <v>308</v>
      </c>
      <c r="T96" s="86">
        <v>4305.4068351491151</v>
      </c>
      <c r="U96" s="86">
        <v>5140</v>
      </c>
      <c r="V96" s="86">
        <v>5140</v>
      </c>
      <c r="W96" s="86" t="s">
        <v>42</v>
      </c>
      <c r="X96" s="86" t="s">
        <v>42</v>
      </c>
      <c r="Y96" s="86" t="s">
        <v>42</v>
      </c>
      <c r="Z96" s="86" t="s">
        <v>42</v>
      </c>
      <c r="AB96" s="85" t="s">
        <v>470</v>
      </c>
      <c r="AC96" s="85">
        <v>1.2500000000000001E-2</v>
      </c>
      <c r="AD96" s="85">
        <v>3.7499999999999999E-2</v>
      </c>
      <c r="AE96" s="85">
        <v>6.25E-2</v>
      </c>
      <c r="AF96" s="85">
        <v>0.57000000000000006</v>
      </c>
      <c r="AG96" s="85">
        <v>0.75</v>
      </c>
      <c r="AH96" s="85">
        <v>0.92999999999999994</v>
      </c>
      <c r="AI96" s="85">
        <v>46</v>
      </c>
      <c r="AJ96" s="85">
        <v>73</v>
      </c>
      <c r="AK96" s="85">
        <v>100</v>
      </c>
      <c r="AL96" s="87">
        <v>5.7699816952957814E-3</v>
      </c>
      <c r="AM96" s="87">
        <v>3.4015688040248647E-2</v>
      </c>
      <c r="AN96" s="87">
        <v>7.8202989899891426E-2</v>
      </c>
      <c r="AO96" s="87">
        <v>7.2358786265286626E-3</v>
      </c>
      <c r="AP96" s="87">
        <v>3.672173493771104E-2</v>
      </c>
      <c r="AQ96" s="87">
        <v>7.6210259526814914E-2</v>
      </c>
      <c r="AR96" s="87" t="s">
        <v>42</v>
      </c>
      <c r="AS96" s="87" t="s">
        <v>42</v>
      </c>
      <c r="AT96" s="87" t="s">
        <v>42</v>
      </c>
      <c r="AV96" s="88">
        <v>5.2836073658046558</v>
      </c>
      <c r="AW96" s="88">
        <v>5.7165923934840777</v>
      </c>
      <c r="AX96" s="88">
        <v>6.2044261197570307</v>
      </c>
      <c r="AY96" s="88">
        <v>8.9062156971673093E-2</v>
      </c>
      <c r="AZ96" s="88">
        <v>0.27246702377323062</v>
      </c>
      <c r="BA96" s="88">
        <v>1.0284012060440837</v>
      </c>
      <c r="BB96" s="2"/>
      <c r="BC96" s="19">
        <v>1138.8587199246808</v>
      </c>
      <c r="BD96" s="19">
        <v>8010.0400571300315</v>
      </c>
      <c r="BE96" s="19">
        <v>178233.01014672729</v>
      </c>
      <c r="BG96" s="23">
        <v>7.397084328577475</v>
      </c>
      <c r="BH96" s="23">
        <v>7.7431614766584076</v>
      </c>
      <c r="BI96" s="23">
        <v>8.0760932429456176</v>
      </c>
      <c r="BJ96" s="23">
        <v>0.98423398534522821</v>
      </c>
      <c r="BK96" s="23">
        <v>2.7243641459981065</v>
      </c>
      <c r="BL96" s="23">
        <v>8.6032551978887657</v>
      </c>
      <c r="BM96" s="2"/>
      <c r="BN96" s="19">
        <v>12914.717669986692</v>
      </c>
      <c r="BO96" s="19">
        <v>74189.41808221447</v>
      </c>
      <c r="BP96" s="19">
        <v>1188971.7395682863</v>
      </c>
      <c r="BR96" s="23" t="s">
        <v>42</v>
      </c>
      <c r="BS96" s="23" t="s">
        <v>42</v>
      </c>
      <c r="BT96" s="23" t="s">
        <v>42</v>
      </c>
      <c r="BU96" s="23" t="s">
        <v>42</v>
      </c>
      <c r="BV96" s="23" t="s">
        <v>42</v>
      </c>
      <c r="BW96" s="23" t="s">
        <v>42</v>
      </c>
      <c r="BX96" s="2"/>
      <c r="BY96" s="23" t="s">
        <v>42</v>
      </c>
      <c r="BZ96" s="23" t="s">
        <v>42</v>
      </c>
      <c r="CA96" s="23" t="s">
        <v>42</v>
      </c>
      <c r="CC96">
        <v>329</v>
      </c>
      <c r="CD96">
        <v>80</v>
      </c>
    </row>
    <row r="97" spans="1:83" x14ac:dyDescent="0.2">
      <c r="A97">
        <v>330</v>
      </c>
      <c r="B97">
        <v>81</v>
      </c>
      <c r="C97" s="13" t="s">
        <v>32</v>
      </c>
      <c r="D97" s="13" t="s">
        <v>264</v>
      </c>
      <c r="E97" s="64" t="s">
        <v>388</v>
      </c>
      <c r="F97" s="83" t="s">
        <v>42</v>
      </c>
      <c r="G97" s="84">
        <v>29.2</v>
      </c>
      <c r="H97" s="84">
        <v>325</v>
      </c>
      <c r="I97" s="90">
        <v>140.89999999999998</v>
      </c>
      <c r="J97" s="85">
        <v>329</v>
      </c>
      <c r="K97" s="85" t="s">
        <v>42</v>
      </c>
      <c r="L97" s="85" t="s">
        <v>42</v>
      </c>
      <c r="M97" s="85">
        <v>42</v>
      </c>
      <c r="N97" s="85">
        <v>42</v>
      </c>
      <c r="O97" s="85">
        <v>42</v>
      </c>
      <c r="P97" s="85" t="s">
        <v>11</v>
      </c>
      <c r="Q97" s="85">
        <v>0</v>
      </c>
      <c r="R97" s="85">
        <v>0</v>
      </c>
      <c r="S97" s="85" t="s">
        <v>308</v>
      </c>
      <c r="T97" s="86">
        <v>4578.2506727614636</v>
      </c>
      <c r="U97" s="86">
        <v>5440</v>
      </c>
      <c r="V97" s="86">
        <v>5440</v>
      </c>
      <c r="W97" s="86" t="s">
        <v>42</v>
      </c>
      <c r="X97" s="86" t="s">
        <v>42</v>
      </c>
      <c r="Y97" s="86" t="s">
        <v>42</v>
      </c>
      <c r="Z97" s="86" t="s">
        <v>42</v>
      </c>
      <c r="AB97" s="85" t="s">
        <v>470</v>
      </c>
      <c r="AC97" s="85">
        <v>1.2500000000000001E-2</v>
      </c>
      <c r="AD97" s="85">
        <v>3.7499999999999999E-2</v>
      </c>
      <c r="AE97" s="85">
        <v>6.25E-2</v>
      </c>
      <c r="AF97" s="85">
        <v>0.57000000000000006</v>
      </c>
      <c r="AG97" s="85">
        <v>0.75</v>
      </c>
      <c r="AH97" s="85">
        <v>0.92999999999999994</v>
      </c>
      <c r="AI97" s="85">
        <v>46</v>
      </c>
      <c r="AJ97" s="85">
        <v>73</v>
      </c>
      <c r="AK97" s="85">
        <v>100</v>
      </c>
      <c r="AL97" s="87">
        <v>6.7794804501500302E-3</v>
      </c>
      <c r="AM97" s="87">
        <v>3.5993609325905014E-2</v>
      </c>
      <c r="AN97" s="87">
        <v>7.7251947169534207E-2</v>
      </c>
      <c r="AO97" s="87">
        <v>7.2358786265286626E-3</v>
      </c>
      <c r="AP97" s="87">
        <v>3.672173493771104E-2</v>
      </c>
      <c r="AQ97" s="87">
        <v>7.6210259526814914E-2</v>
      </c>
      <c r="AR97" s="87" t="s">
        <v>42</v>
      </c>
      <c r="AS97" s="87" t="s">
        <v>42</v>
      </c>
      <c r="AT97" s="87" t="s">
        <v>42</v>
      </c>
      <c r="AV97" s="88">
        <v>6.2578894644173673</v>
      </c>
      <c r="AW97" s="88">
        <v>6.6908744920967891</v>
      </c>
      <c r="AX97" s="88">
        <v>7.1787082183697422</v>
      </c>
      <c r="AY97" s="88">
        <v>0.27342250528343837</v>
      </c>
      <c r="AZ97" s="88">
        <v>0.83647891293373755</v>
      </c>
      <c r="BA97" s="88">
        <v>3.1572111405579073</v>
      </c>
      <c r="BB97" s="2"/>
      <c r="BC97" s="19">
        <v>3539.3606931796248</v>
      </c>
      <c r="BD97" s="19">
        <v>23239.650832452473</v>
      </c>
      <c r="BE97" s="19">
        <v>465701.04652902094</v>
      </c>
      <c r="BG97" s="23">
        <v>7.4237697005189318</v>
      </c>
      <c r="BH97" s="23">
        <v>7.7677972573613117</v>
      </c>
      <c r="BI97" s="23">
        <v>8.1007290236485208</v>
      </c>
      <c r="BJ97" s="23">
        <v>1.0149415753487148</v>
      </c>
      <c r="BK97" s="23">
        <v>2.8027415150170389</v>
      </c>
      <c r="BL97" s="23">
        <v>8.8507626790011837</v>
      </c>
      <c r="BM97" s="2"/>
      <c r="BN97" s="19">
        <v>13317.650164825945</v>
      </c>
      <c r="BO97" s="19">
        <v>76323.777179132958</v>
      </c>
      <c r="BP97" s="19">
        <v>1223177.3272912463</v>
      </c>
      <c r="BR97" s="23" t="s">
        <v>42</v>
      </c>
      <c r="BS97" s="23" t="s">
        <v>42</v>
      </c>
      <c r="BT97" s="23" t="s">
        <v>42</v>
      </c>
      <c r="BU97" s="23" t="s">
        <v>42</v>
      </c>
      <c r="BV97" s="23" t="s">
        <v>42</v>
      </c>
      <c r="BW97" s="23" t="s">
        <v>42</v>
      </c>
      <c r="BX97" s="2"/>
      <c r="BY97" s="23" t="s">
        <v>42</v>
      </c>
      <c r="BZ97" s="23" t="s">
        <v>42</v>
      </c>
      <c r="CA97" s="23" t="s">
        <v>42</v>
      </c>
      <c r="CC97">
        <v>330</v>
      </c>
      <c r="CD97">
        <v>81</v>
      </c>
    </row>
    <row r="98" spans="1:83" x14ac:dyDescent="0.2">
      <c r="A98">
        <v>330</v>
      </c>
      <c r="B98">
        <v>82</v>
      </c>
      <c r="C98" s="13" t="s">
        <v>32</v>
      </c>
      <c r="D98" s="13" t="s">
        <v>264</v>
      </c>
      <c r="E98" s="64" t="s">
        <v>389</v>
      </c>
      <c r="F98" s="83" t="s">
        <v>42</v>
      </c>
      <c r="G98" s="84">
        <v>11.7</v>
      </c>
      <c r="H98" s="84">
        <v>7</v>
      </c>
      <c r="I98" s="90">
        <v>140.89999999999998</v>
      </c>
      <c r="J98" s="85">
        <v>329</v>
      </c>
      <c r="K98" s="85" t="s">
        <v>42</v>
      </c>
      <c r="L98" s="85" t="s">
        <v>42</v>
      </c>
      <c r="M98" s="85">
        <v>42</v>
      </c>
      <c r="N98" s="85">
        <v>42</v>
      </c>
      <c r="O98" s="85">
        <v>42</v>
      </c>
      <c r="P98" s="85" t="s">
        <v>14</v>
      </c>
      <c r="Q98" s="85">
        <v>0</v>
      </c>
      <c r="R98" s="85">
        <v>0</v>
      </c>
      <c r="S98" s="85" t="s">
        <v>308</v>
      </c>
      <c r="T98" s="86">
        <v>4578.2506727614636</v>
      </c>
      <c r="U98" s="86">
        <v>5440</v>
      </c>
      <c r="V98" s="86">
        <v>5440</v>
      </c>
      <c r="W98" s="86" t="s">
        <v>42</v>
      </c>
      <c r="X98" s="86" t="s">
        <v>42</v>
      </c>
      <c r="Y98" s="86" t="s">
        <v>42</v>
      </c>
      <c r="Z98" s="86" t="s">
        <v>42</v>
      </c>
      <c r="AB98" s="85" t="s">
        <v>470</v>
      </c>
      <c r="AC98" s="85">
        <v>1.2500000000000001E-2</v>
      </c>
      <c r="AD98" s="85">
        <v>3.7499999999999999E-2</v>
      </c>
      <c r="AE98" s="85">
        <v>6.25E-2</v>
      </c>
      <c r="AF98" s="85">
        <v>0.57000000000000006</v>
      </c>
      <c r="AG98" s="85">
        <v>0.75</v>
      </c>
      <c r="AH98" s="85">
        <v>0.92999999999999994</v>
      </c>
      <c r="AI98" s="85">
        <v>46</v>
      </c>
      <c r="AJ98" s="85">
        <v>73</v>
      </c>
      <c r="AK98" s="85">
        <v>100</v>
      </c>
      <c r="AL98" s="87">
        <v>6.0336930736880814E-3</v>
      </c>
      <c r="AM98" s="87">
        <v>3.4573968781512719E-2</v>
      </c>
      <c r="AN98" s="87">
        <v>7.8107711602945537E-2</v>
      </c>
      <c r="AO98" s="87">
        <v>7.2358786265286626E-3</v>
      </c>
      <c r="AP98" s="87">
        <v>3.672173493771104E-2</v>
      </c>
      <c r="AQ98" s="87">
        <v>7.6210259526814914E-2</v>
      </c>
      <c r="AR98" s="87" t="s">
        <v>42</v>
      </c>
      <c r="AS98" s="87" t="s">
        <v>42</v>
      </c>
      <c r="AT98" s="87" t="s">
        <v>42</v>
      </c>
      <c r="AV98" s="88">
        <v>5.5958944815802738</v>
      </c>
      <c r="AW98" s="88">
        <v>6.0288795092596956</v>
      </c>
      <c r="AX98" s="88">
        <v>6.5167132355326487</v>
      </c>
      <c r="AY98" s="88">
        <v>0.12759591389977895</v>
      </c>
      <c r="AZ98" s="88">
        <v>0.39035298591472023</v>
      </c>
      <c r="BA98" s="88">
        <v>1.4733507047506753</v>
      </c>
      <c r="BB98" s="2"/>
      <c r="BC98" s="19">
        <v>1633.5891972921038</v>
      </c>
      <c r="BD98" s="19">
        <v>11290.372487507091</v>
      </c>
      <c r="BE98" s="19">
        <v>244187.21448986349</v>
      </c>
      <c r="BG98" s="23">
        <v>7.4237697005189318</v>
      </c>
      <c r="BH98" s="23">
        <v>7.7677972573613117</v>
      </c>
      <c r="BI98" s="23">
        <v>8.1007290236485208</v>
      </c>
      <c r="BJ98" s="23">
        <v>1.0149415753487148</v>
      </c>
      <c r="BK98" s="23">
        <v>2.8027415150170389</v>
      </c>
      <c r="BL98" s="23">
        <v>8.8507626790011837</v>
      </c>
      <c r="BM98" s="2"/>
      <c r="BN98" s="19">
        <v>13317.650164825945</v>
      </c>
      <c r="BO98" s="19">
        <v>76323.777179132958</v>
      </c>
      <c r="BP98" s="19">
        <v>1223177.3272912463</v>
      </c>
      <c r="BR98" s="23" t="s">
        <v>42</v>
      </c>
      <c r="BS98" s="23" t="s">
        <v>42</v>
      </c>
      <c r="BT98" s="23" t="s">
        <v>42</v>
      </c>
      <c r="BU98" s="23" t="s">
        <v>42</v>
      </c>
      <c r="BV98" s="23" t="s">
        <v>42</v>
      </c>
      <c r="BW98" s="23" t="s">
        <v>42</v>
      </c>
      <c r="BX98" s="2"/>
      <c r="BY98" s="23" t="s">
        <v>42</v>
      </c>
      <c r="BZ98" s="23" t="s">
        <v>42</v>
      </c>
      <c r="CA98" s="23" t="s">
        <v>42</v>
      </c>
      <c r="CC98">
        <v>330</v>
      </c>
      <c r="CD98">
        <v>82</v>
      </c>
    </row>
    <row r="99" spans="1:83" x14ac:dyDescent="0.2">
      <c r="A99">
        <v>330</v>
      </c>
      <c r="B99">
        <v>83</v>
      </c>
      <c r="C99" s="13" t="s">
        <v>32</v>
      </c>
      <c r="D99" s="13" t="s">
        <v>264</v>
      </c>
      <c r="E99" s="64" t="s">
        <v>390</v>
      </c>
      <c r="F99" s="83" t="s">
        <v>42</v>
      </c>
      <c r="G99" s="84">
        <v>19.399999999999999</v>
      </c>
      <c r="H99" s="84">
        <v>318</v>
      </c>
      <c r="I99" s="90">
        <v>140.89999999999998</v>
      </c>
      <c r="J99" s="85">
        <v>329</v>
      </c>
      <c r="K99" s="85" t="s">
        <v>42</v>
      </c>
      <c r="L99" s="85" t="s">
        <v>42</v>
      </c>
      <c r="M99" s="85">
        <v>42</v>
      </c>
      <c r="N99" s="85">
        <v>42</v>
      </c>
      <c r="O99" s="85">
        <v>42</v>
      </c>
      <c r="P99" s="85" t="s">
        <v>11</v>
      </c>
      <c r="Q99" s="85">
        <v>0</v>
      </c>
      <c r="R99" s="85">
        <v>0</v>
      </c>
      <c r="S99" s="85" t="s">
        <v>308</v>
      </c>
      <c r="T99" s="86">
        <v>4578.2506727614636</v>
      </c>
      <c r="U99" s="86">
        <v>5440</v>
      </c>
      <c r="V99" s="86">
        <v>5440</v>
      </c>
      <c r="W99" s="86" t="s">
        <v>42</v>
      </c>
      <c r="X99" s="86" t="s">
        <v>42</v>
      </c>
      <c r="Y99" s="86" t="s">
        <v>42</v>
      </c>
      <c r="Z99" s="86" t="s">
        <v>42</v>
      </c>
      <c r="AB99" s="85" t="s">
        <v>470</v>
      </c>
      <c r="AC99" s="85">
        <v>1.2500000000000001E-2</v>
      </c>
      <c r="AD99" s="85">
        <v>3.7499999999999999E-2</v>
      </c>
      <c r="AE99" s="85">
        <v>6.25E-2</v>
      </c>
      <c r="AF99" s="85">
        <v>0.57000000000000006</v>
      </c>
      <c r="AG99" s="85">
        <v>0.75</v>
      </c>
      <c r="AH99" s="85">
        <v>0.92999999999999994</v>
      </c>
      <c r="AI99" s="85">
        <v>46</v>
      </c>
      <c r="AJ99" s="85">
        <v>73</v>
      </c>
      <c r="AK99" s="85">
        <v>100</v>
      </c>
      <c r="AL99" s="87">
        <v>5.9027363998361768E-3</v>
      </c>
      <c r="AM99" s="87">
        <v>3.4300052475008669E-2</v>
      </c>
      <c r="AN99" s="87">
        <v>7.816725600311937E-2</v>
      </c>
      <c r="AO99" s="87">
        <v>7.2358786265286626E-3</v>
      </c>
      <c r="AP99" s="87">
        <v>3.672173493771104E-2</v>
      </c>
      <c r="AQ99" s="87">
        <v>7.6210259526814914E-2</v>
      </c>
      <c r="AR99" s="87" t="s">
        <v>42</v>
      </c>
      <c r="AS99" s="87" t="s">
        <v>42</v>
      </c>
      <c r="AT99" s="87" t="s">
        <v>42</v>
      </c>
      <c r="AV99" s="88">
        <v>5.961920928553714</v>
      </c>
      <c r="AW99" s="88">
        <v>6.3949059562331358</v>
      </c>
      <c r="AX99" s="88">
        <v>6.8827396825060889</v>
      </c>
      <c r="AY99" s="88">
        <v>0.19446882508843721</v>
      </c>
      <c r="AZ99" s="88">
        <v>0.59493665761290893</v>
      </c>
      <c r="BA99" s="88">
        <v>2.2455325702759894</v>
      </c>
      <c r="BB99" s="2"/>
      <c r="BC99" s="19">
        <v>2487.8553377986896</v>
      </c>
      <c r="BD99" s="19">
        <v>17345.065522753506</v>
      </c>
      <c r="BE99" s="19">
        <v>380422.30216113175</v>
      </c>
      <c r="BG99" s="23">
        <v>7.4237697005189318</v>
      </c>
      <c r="BH99" s="23">
        <v>7.7677972573613117</v>
      </c>
      <c r="BI99" s="23">
        <v>8.1007290236485208</v>
      </c>
      <c r="BJ99" s="23">
        <v>1.0149415753487148</v>
      </c>
      <c r="BK99" s="23">
        <v>2.8027415150170389</v>
      </c>
      <c r="BL99" s="23">
        <v>8.8507626790011837</v>
      </c>
      <c r="BM99" s="2"/>
      <c r="BN99" s="19">
        <v>13317.650164825945</v>
      </c>
      <c r="BO99" s="19">
        <v>76323.777179132958</v>
      </c>
      <c r="BP99" s="19">
        <v>1223177.3272912463</v>
      </c>
      <c r="BR99" s="23" t="s">
        <v>42</v>
      </c>
      <c r="BS99" s="23" t="s">
        <v>42</v>
      </c>
      <c r="BT99" s="23" t="s">
        <v>42</v>
      </c>
      <c r="BU99" s="23" t="s">
        <v>42</v>
      </c>
      <c r="BV99" s="23" t="s">
        <v>42</v>
      </c>
      <c r="BW99" s="23" t="s">
        <v>42</v>
      </c>
      <c r="BX99" s="2"/>
      <c r="BY99" s="23" t="s">
        <v>42</v>
      </c>
      <c r="BZ99" s="23" t="s">
        <v>42</v>
      </c>
      <c r="CA99" s="23" t="s">
        <v>42</v>
      </c>
      <c r="CC99">
        <v>330</v>
      </c>
      <c r="CD99">
        <v>83</v>
      </c>
    </row>
    <row r="100" spans="1:83" x14ac:dyDescent="0.2">
      <c r="A100">
        <v>330</v>
      </c>
      <c r="B100">
        <v>84</v>
      </c>
      <c r="C100" s="13" t="s">
        <v>32</v>
      </c>
      <c r="D100" s="13" t="s">
        <v>264</v>
      </c>
      <c r="E100" s="64" t="s">
        <v>391</v>
      </c>
      <c r="F100" s="83" t="s">
        <v>42</v>
      </c>
      <c r="G100" s="84">
        <v>18.399999999999999</v>
      </c>
      <c r="H100" s="84">
        <v>330</v>
      </c>
      <c r="I100" s="90">
        <v>140.89999999999998</v>
      </c>
      <c r="J100" s="85">
        <v>329</v>
      </c>
      <c r="K100" s="85" t="s">
        <v>42</v>
      </c>
      <c r="L100" s="85" t="s">
        <v>42</v>
      </c>
      <c r="M100" s="85">
        <v>42</v>
      </c>
      <c r="N100" s="85">
        <v>42</v>
      </c>
      <c r="O100" s="85">
        <v>42</v>
      </c>
      <c r="P100" s="85" t="s">
        <v>11</v>
      </c>
      <c r="Q100" s="85">
        <v>0</v>
      </c>
      <c r="R100" s="85">
        <v>0</v>
      </c>
      <c r="S100" s="85" t="s">
        <v>308</v>
      </c>
      <c r="T100" s="86">
        <v>4578.2506727614636</v>
      </c>
      <c r="U100" s="86">
        <v>5440</v>
      </c>
      <c r="V100" s="86">
        <v>5440</v>
      </c>
      <c r="W100" s="86" t="s">
        <v>42</v>
      </c>
      <c r="X100" s="86" t="s">
        <v>42</v>
      </c>
      <c r="Y100" s="86" t="s">
        <v>42</v>
      </c>
      <c r="Z100" s="86" t="s">
        <v>42</v>
      </c>
      <c r="AB100" s="85" t="s">
        <v>470</v>
      </c>
      <c r="AC100" s="85">
        <v>1.2500000000000001E-2</v>
      </c>
      <c r="AD100" s="85">
        <v>3.7499999999999999E-2</v>
      </c>
      <c r="AE100" s="85">
        <v>6.25E-2</v>
      </c>
      <c r="AF100" s="85">
        <v>0.57000000000000006</v>
      </c>
      <c r="AG100" s="85">
        <v>0.75</v>
      </c>
      <c r="AH100" s="85">
        <v>0.92999999999999994</v>
      </c>
      <c r="AI100" s="85">
        <v>46</v>
      </c>
      <c r="AJ100" s="85">
        <v>73</v>
      </c>
      <c r="AK100" s="85">
        <v>100</v>
      </c>
      <c r="AL100" s="87">
        <v>7.3445531343321541E-3</v>
      </c>
      <c r="AM100" s="87">
        <v>3.672173493771104E-2</v>
      </c>
      <c r="AN100" s="87">
        <v>7.6210259526814914E-2</v>
      </c>
      <c r="AO100" s="87">
        <v>7.2358786265286626E-3</v>
      </c>
      <c r="AP100" s="87">
        <v>3.672173493771104E-2</v>
      </c>
      <c r="AQ100" s="87">
        <v>7.6210259526814914E-2</v>
      </c>
      <c r="AR100" s="87" t="s">
        <v>42</v>
      </c>
      <c r="AS100" s="87" t="s">
        <v>42</v>
      </c>
      <c r="AT100" s="87" t="s">
        <v>42</v>
      </c>
      <c r="AV100" s="88">
        <v>5.9236144170192331</v>
      </c>
      <c r="AW100" s="88">
        <v>6.3565994446986549</v>
      </c>
      <c r="AX100" s="88">
        <v>6.844433170971608</v>
      </c>
      <c r="AY100" s="88">
        <v>0.18607873054944163</v>
      </c>
      <c r="AZ100" s="88">
        <v>0.56926891986719907</v>
      </c>
      <c r="BA100" s="88">
        <v>2.1486521034636796</v>
      </c>
      <c r="BB100" s="2"/>
      <c r="BC100" s="19">
        <v>2441.6493488513706</v>
      </c>
      <c r="BD100" s="19">
        <v>15502.233781514329</v>
      </c>
      <c r="BE100" s="19">
        <v>292550.41990503052</v>
      </c>
      <c r="BG100" s="23">
        <v>7.4237697005189318</v>
      </c>
      <c r="BH100" s="23">
        <v>7.7677972573613117</v>
      </c>
      <c r="BI100" s="23">
        <v>8.1007290236485208</v>
      </c>
      <c r="BJ100" s="23">
        <v>1.0149415753487148</v>
      </c>
      <c r="BK100" s="23">
        <v>2.8027415150170389</v>
      </c>
      <c r="BL100" s="23">
        <v>8.8507626790011837</v>
      </c>
      <c r="BM100" s="2"/>
      <c r="BN100" s="19">
        <v>13317.650164825945</v>
      </c>
      <c r="BO100" s="19">
        <v>76323.777179132958</v>
      </c>
      <c r="BP100" s="19">
        <v>1223177.3272912463</v>
      </c>
      <c r="BR100" s="23" t="s">
        <v>42</v>
      </c>
      <c r="BS100" s="23" t="s">
        <v>42</v>
      </c>
      <c r="BT100" s="23" t="s">
        <v>42</v>
      </c>
      <c r="BU100" s="23" t="s">
        <v>42</v>
      </c>
      <c r="BV100" s="23" t="s">
        <v>42</v>
      </c>
      <c r="BW100" s="23" t="s">
        <v>42</v>
      </c>
      <c r="BX100" s="2"/>
      <c r="BY100" s="23" t="s">
        <v>42</v>
      </c>
      <c r="BZ100" s="23" t="s">
        <v>42</v>
      </c>
      <c r="CA100" s="23" t="s">
        <v>42</v>
      </c>
      <c r="CC100">
        <v>330</v>
      </c>
      <c r="CD100">
        <v>84</v>
      </c>
    </row>
    <row r="101" spans="1:83" x14ac:dyDescent="0.2">
      <c r="A101">
        <v>330</v>
      </c>
      <c r="B101">
        <v>85</v>
      </c>
      <c r="C101" s="13" t="s">
        <v>32</v>
      </c>
      <c r="D101" s="13" t="s">
        <v>264</v>
      </c>
      <c r="E101" s="64" t="s">
        <v>392</v>
      </c>
      <c r="F101" s="83" t="s">
        <v>42</v>
      </c>
      <c r="G101" s="84">
        <v>20.399999999999999</v>
      </c>
      <c r="H101" s="84">
        <v>339</v>
      </c>
      <c r="I101" s="90">
        <v>140.89999999999998</v>
      </c>
      <c r="J101" s="85">
        <v>329</v>
      </c>
      <c r="K101" s="85" t="s">
        <v>42</v>
      </c>
      <c r="L101" s="85" t="s">
        <v>42</v>
      </c>
      <c r="M101" s="85">
        <v>42</v>
      </c>
      <c r="N101" s="85">
        <v>42</v>
      </c>
      <c r="O101" s="85">
        <v>42</v>
      </c>
      <c r="P101" s="85" t="s">
        <v>11</v>
      </c>
      <c r="Q101" s="85">
        <v>0</v>
      </c>
      <c r="R101" s="85">
        <v>0</v>
      </c>
      <c r="S101" s="85" t="s">
        <v>308</v>
      </c>
      <c r="T101" s="86">
        <v>4578.2506727614636</v>
      </c>
      <c r="U101" s="86">
        <v>5440</v>
      </c>
      <c r="V101" s="86">
        <v>5440</v>
      </c>
      <c r="W101" s="86" t="s">
        <v>42</v>
      </c>
      <c r="X101" s="86" t="s">
        <v>42</v>
      </c>
      <c r="Y101" s="86" t="s">
        <v>42</v>
      </c>
      <c r="Z101" s="86" t="s">
        <v>42</v>
      </c>
      <c r="AB101" s="85" t="s">
        <v>470</v>
      </c>
      <c r="AC101" s="85">
        <v>1.2500000000000001E-2</v>
      </c>
      <c r="AD101" s="85">
        <v>3.7499999999999999E-2</v>
      </c>
      <c r="AE101" s="85">
        <v>6.25E-2</v>
      </c>
      <c r="AF101" s="85">
        <v>0.57000000000000006</v>
      </c>
      <c r="AG101" s="85">
        <v>0.75</v>
      </c>
      <c r="AH101" s="85">
        <v>0.92999999999999994</v>
      </c>
      <c r="AI101" s="85">
        <v>46</v>
      </c>
      <c r="AJ101" s="85">
        <v>73</v>
      </c>
      <c r="AK101" s="85">
        <v>100</v>
      </c>
      <c r="AL101" s="87">
        <v>8.2182056688334271E-3</v>
      </c>
      <c r="AM101" s="87">
        <v>3.4837353522200375E-2</v>
      </c>
      <c r="AN101" s="87">
        <v>7.8024374837171062E-2</v>
      </c>
      <c r="AO101" s="87">
        <v>7.2358786265286626E-3</v>
      </c>
      <c r="AP101" s="87">
        <v>3.672173493771104E-2</v>
      </c>
      <c r="AQ101" s="87">
        <v>7.6210259526814914E-2</v>
      </c>
      <c r="AR101" s="87" t="s">
        <v>42</v>
      </c>
      <c r="AS101" s="87" t="s">
        <v>42</v>
      </c>
      <c r="AT101" s="87" t="s">
        <v>42</v>
      </c>
      <c r="AV101" s="88">
        <v>5.998301657713168</v>
      </c>
      <c r="AW101" s="88">
        <v>6.4312866853925899</v>
      </c>
      <c r="AX101" s="88">
        <v>6.9191204116655429</v>
      </c>
      <c r="AY101" s="88">
        <v>0.20278711419129666</v>
      </c>
      <c r="AZ101" s="88">
        <v>0.6203847216594871</v>
      </c>
      <c r="BA101" s="88">
        <v>2.3415838993306552</v>
      </c>
      <c r="BB101" s="2"/>
      <c r="BC101" s="19">
        <v>2599.0226081848496</v>
      </c>
      <c r="BD101" s="19">
        <v>17808.032440355786</v>
      </c>
      <c r="BE101" s="19">
        <v>284926.41747952782</v>
      </c>
      <c r="BG101" s="23">
        <v>7.4237697005189318</v>
      </c>
      <c r="BH101" s="23">
        <v>7.7677972573613117</v>
      </c>
      <c r="BI101" s="23">
        <v>8.1007290236485208</v>
      </c>
      <c r="BJ101" s="23">
        <v>1.0149415753487148</v>
      </c>
      <c r="BK101" s="23">
        <v>2.8027415150170389</v>
      </c>
      <c r="BL101" s="23">
        <v>8.8507626790011837</v>
      </c>
      <c r="BM101" s="2"/>
      <c r="BN101" s="19">
        <v>13317.650164825945</v>
      </c>
      <c r="BO101" s="19">
        <v>76323.777179132958</v>
      </c>
      <c r="BP101" s="19">
        <v>1223177.3272912463</v>
      </c>
      <c r="BR101" s="23" t="s">
        <v>42</v>
      </c>
      <c r="BS101" s="23" t="s">
        <v>42</v>
      </c>
      <c r="BT101" s="23" t="s">
        <v>42</v>
      </c>
      <c r="BU101" s="23" t="s">
        <v>42</v>
      </c>
      <c r="BV101" s="23" t="s">
        <v>42</v>
      </c>
      <c r="BW101" s="23" t="s">
        <v>42</v>
      </c>
      <c r="BX101" s="2"/>
      <c r="BY101" s="23" t="s">
        <v>42</v>
      </c>
      <c r="BZ101" s="23" t="s">
        <v>42</v>
      </c>
      <c r="CA101" s="23" t="s">
        <v>42</v>
      </c>
      <c r="CC101">
        <v>330</v>
      </c>
      <c r="CD101">
        <v>85</v>
      </c>
    </row>
    <row r="102" spans="1:83" x14ac:dyDescent="0.2">
      <c r="A102">
        <v>330</v>
      </c>
      <c r="B102">
        <v>86</v>
      </c>
      <c r="C102" s="13" t="s">
        <v>32</v>
      </c>
      <c r="D102" s="13" t="s">
        <v>264</v>
      </c>
      <c r="E102" s="64" t="s">
        <v>393</v>
      </c>
      <c r="F102" s="83" t="s">
        <v>42</v>
      </c>
      <c r="G102" s="84">
        <v>15.7</v>
      </c>
      <c r="H102" s="84">
        <v>324</v>
      </c>
      <c r="I102" s="90">
        <v>140.89999999999998</v>
      </c>
      <c r="J102" s="85">
        <v>329</v>
      </c>
      <c r="K102" s="85" t="s">
        <v>42</v>
      </c>
      <c r="L102" s="85" t="s">
        <v>42</v>
      </c>
      <c r="M102" s="85">
        <v>42</v>
      </c>
      <c r="N102" s="85">
        <v>42</v>
      </c>
      <c r="O102" s="85">
        <v>42</v>
      </c>
      <c r="P102" s="85" t="s">
        <v>11</v>
      </c>
      <c r="Q102" s="85">
        <v>0</v>
      </c>
      <c r="R102" s="85">
        <v>0</v>
      </c>
      <c r="S102" s="85" t="s">
        <v>308</v>
      </c>
      <c r="T102" s="86">
        <v>4578.2506727614636</v>
      </c>
      <c r="U102" s="86">
        <v>5440</v>
      </c>
      <c r="V102" s="86">
        <v>5440</v>
      </c>
      <c r="W102" s="86" t="s">
        <v>42</v>
      </c>
      <c r="X102" s="86" t="s">
        <v>42</v>
      </c>
      <c r="Y102" s="86" t="s">
        <v>42</v>
      </c>
      <c r="Z102" s="86" t="s">
        <v>42</v>
      </c>
      <c r="AB102" s="85" t="s">
        <v>470</v>
      </c>
      <c r="AC102" s="85">
        <v>1.2500000000000001E-2</v>
      </c>
      <c r="AD102" s="85">
        <v>3.7499999999999999E-2</v>
      </c>
      <c r="AE102" s="85">
        <v>6.25E-2</v>
      </c>
      <c r="AF102" s="85">
        <v>0.57000000000000006</v>
      </c>
      <c r="AG102" s="85">
        <v>0.75</v>
      </c>
      <c r="AH102" s="85">
        <v>0.92999999999999994</v>
      </c>
      <c r="AI102" s="85">
        <v>46</v>
      </c>
      <c r="AJ102" s="85">
        <v>73</v>
      </c>
      <c r="AK102" s="85">
        <v>100</v>
      </c>
      <c r="AL102" s="87">
        <v>6.6601296541906867E-3</v>
      </c>
      <c r="AM102" s="87">
        <v>3.578402086248491E-2</v>
      </c>
      <c r="AN102" s="87">
        <v>7.7453720354747554E-2</v>
      </c>
      <c r="AO102" s="87">
        <v>7.2358786265286626E-3</v>
      </c>
      <c r="AP102" s="87">
        <v>3.672173493771104E-2</v>
      </c>
      <c r="AQ102" s="87">
        <v>7.6210259526814914E-2</v>
      </c>
      <c r="AR102" s="87" t="s">
        <v>42</v>
      </c>
      <c r="AS102" s="87" t="s">
        <v>42</v>
      </c>
      <c r="AT102" s="87" t="s">
        <v>42</v>
      </c>
      <c r="AV102" s="88">
        <v>5.8087507993520617</v>
      </c>
      <c r="AW102" s="88">
        <v>6.2417358270314836</v>
      </c>
      <c r="AX102" s="88">
        <v>6.7295695533044366</v>
      </c>
      <c r="AY102" s="88">
        <v>0.16302902293851654</v>
      </c>
      <c r="AZ102" s="88">
        <v>0.49875316497043143</v>
      </c>
      <c r="BA102" s="88">
        <v>1.8824970055854882</v>
      </c>
      <c r="BB102" s="2"/>
      <c r="BC102" s="19">
        <v>2104.8572256028965</v>
      </c>
      <c r="BD102" s="19">
        <v>13937.873747813288</v>
      </c>
      <c r="BE102" s="19">
        <v>282651.70549660147</v>
      </c>
      <c r="BG102" s="23">
        <v>7.4237697005189318</v>
      </c>
      <c r="BH102" s="23">
        <v>7.7677972573613117</v>
      </c>
      <c r="BI102" s="23">
        <v>8.1007290236485208</v>
      </c>
      <c r="BJ102" s="23">
        <v>1.0149415753487148</v>
      </c>
      <c r="BK102" s="23">
        <v>2.8027415150170389</v>
      </c>
      <c r="BL102" s="23">
        <v>8.8507626790011837</v>
      </c>
      <c r="BM102" s="2"/>
      <c r="BN102" s="19">
        <v>13317.650164825945</v>
      </c>
      <c r="BO102" s="19">
        <v>76323.777179132958</v>
      </c>
      <c r="BP102" s="19">
        <v>1223177.3272912463</v>
      </c>
      <c r="BR102" s="23" t="s">
        <v>42</v>
      </c>
      <c r="BS102" s="23" t="s">
        <v>42</v>
      </c>
      <c r="BT102" s="23" t="s">
        <v>42</v>
      </c>
      <c r="BU102" s="23" t="s">
        <v>42</v>
      </c>
      <c r="BV102" s="23" t="s">
        <v>42</v>
      </c>
      <c r="BW102" s="23" t="s">
        <v>42</v>
      </c>
      <c r="BX102" s="2"/>
      <c r="BY102" s="23" t="s">
        <v>42</v>
      </c>
      <c r="BZ102" s="23" t="s">
        <v>42</v>
      </c>
      <c r="CA102" s="23" t="s">
        <v>42</v>
      </c>
      <c r="CC102">
        <v>330</v>
      </c>
      <c r="CD102">
        <v>86</v>
      </c>
    </row>
    <row r="103" spans="1:83" x14ac:dyDescent="0.2">
      <c r="A103">
        <v>330</v>
      </c>
      <c r="B103">
        <v>87</v>
      </c>
      <c r="C103" s="13" t="s">
        <v>32</v>
      </c>
      <c r="D103" s="13" t="s">
        <v>264</v>
      </c>
      <c r="E103" s="64" t="s">
        <v>265</v>
      </c>
      <c r="F103" s="83" t="s">
        <v>42</v>
      </c>
      <c r="G103" s="84">
        <v>18.399999999999999</v>
      </c>
      <c r="H103" s="84">
        <v>326</v>
      </c>
      <c r="I103" s="90">
        <v>140.89999999999998</v>
      </c>
      <c r="J103" s="85">
        <v>329</v>
      </c>
      <c r="K103" s="85" t="s">
        <v>42</v>
      </c>
      <c r="L103" s="85" t="s">
        <v>42</v>
      </c>
      <c r="M103" s="85">
        <v>42</v>
      </c>
      <c r="N103" s="85">
        <v>42</v>
      </c>
      <c r="O103" s="85">
        <v>42</v>
      </c>
      <c r="P103" s="85" t="s">
        <v>11</v>
      </c>
      <c r="Q103" s="85">
        <v>0</v>
      </c>
      <c r="R103" s="85">
        <v>0</v>
      </c>
      <c r="S103" s="85" t="s">
        <v>308</v>
      </c>
      <c r="T103" s="86">
        <v>4578.2506727614636</v>
      </c>
      <c r="U103" s="86">
        <v>5440</v>
      </c>
      <c r="V103" s="86">
        <v>5440</v>
      </c>
      <c r="W103" s="86" t="s">
        <v>42</v>
      </c>
      <c r="X103" s="86" t="s">
        <v>42</v>
      </c>
      <c r="Y103" s="86" t="s">
        <v>42</v>
      </c>
      <c r="Z103" s="86" t="s">
        <v>42</v>
      </c>
      <c r="AB103" s="85" t="s">
        <v>470</v>
      </c>
      <c r="AC103" s="85">
        <v>1.2500000000000001E-2</v>
      </c>
      <c r="AD103" s="85">
        <v>3.7499999999999999E-2</v>
      </c>
      <c r="AE103" s="85">
        <v>6.25E-2</v>
      </c>
      <c r="AF103" s="85">
        <v>0.57000000000000006</v>
      </c>
      <c r="AG103" s="85">
        <v>0.75</v>
      </c>
      <c r="AH103" s="85">
        <v>0.92999999999999994</v>
      </c>
      <c r="AI103" s="85">
        <v>46</v>
      </c>
      <c r="AJ103" s="85">
        <v>73</v>
      </c>
      <c r="AK103" s="85">
        <v>100</v>
      </c>
      <c r="AL103" s="87">
        <v>6.8967661506899574E-3</v>
      </c>
      <c r="AM103" s="87">
        <v>3.6192233787246515E-2</v>
      </c>
      <c r="AN103" s="87">
        <v>7.7026642292856606E-2</v>
      </c>
      <c r="AO103" s="87">
        <v>7.2358786265286626E-3</v>
      </c>
      <c r="AP103" s="87">
        <v>3.672173493771104E-2</v>
      </c>
      <c r="AQ103" s="87">
        <v>7.6210259526814914E-2</v>
      </c>
      <c r="AR103" s="87" t="s">
        <v>42</v>
      </c>
      <c r="AS103" s="87" t="s">
        <v>42</v>
      </c>
      <c r="AT103" s="87" t="s">
        <v>42</v>
      </c>
      <c r="AV103" s="88">
        <v>5.9236144170192331</v>
      </c>
      <c r="AW103" s="88">
        <v>6.3565994446986549</v>
      </c>
      <c r="AX103" s="88">
        <v>6.844433170971608</v>
      </c>
      <c r="AY103" s="88">
        <v>0.18607873054944163</v>
      </c>
      <c r="AZ103" s="88">
        <v>0.56926891986719907</v>
      </c>
      <c r="BA103" s="88">
        <v>2.1486521034636796</v>
      </c>
      <c r="BB103" s="2"/>
      <c r="BC103" s="19">
        <v>2415.7710242901035</v>
      </c>
      <c r="BD103" s="19">
        <v>15729.035218262739</v>
      </c>
      <c r="BE103" s="19">
        <v>311544.86849590036</v>
      </c>
      <c r="BG103" s="23">
        <v>7.4237697005189318</v>
      </c>
      <c r="BH103" s="23">
        <v>7.7677972573613117</v>
      </c>
      <c r="BI103" s="23">
        <v>8.1007290236485208</v>
      </c>
      <c r="BJ103" s="23">
        <v>1.0149415753487148</v>
      </c>
      <c r="BK103" s="23">
        <v>2.8027415150170389</v>
      </c>
      <c r="BL103" s="23">
        <v>8.8507626790011837</v>
      </c>
      <c r="BM103" s="2"/>
      <c r="BN103" s="19">
        <v>13317.650164825945</v>
      </c>
      <c r="BO103" s="19">
        <v>76323.777179132958</v>
      </c>
      <c r="BP103" s="19">
        <v>1223177.3272912463</v>
      </c>
      <c r="BR103" s="23" t="s">
        <v>42</v>
      </c>
      <c r="BS103" s="23" t="s">
        <v>42</v>
      </c>
      <c r="BT103" s="23" t="s">
        <v>42</v>
      </c>
      <c r="BU103" s="23" t="s">
        <v>42</v>
      </c>
      <c r="BV103" s="23" t="s">
        <v>42</v>
      </c>
      <c r="BW103" s="23" t="s">
        <v>42</v>
      </c>
      <c r="BX103" s="2"/>
      <c r="BY103" s="23" t="s">
        <v>42</v>
      </c>
      <c r="BZ103" s="23" t="s">
        <v>42</v>
      </c>
      <c r="CA103" s="23" t="s">
        <v>42</v>
      </c>
      <c r="CC103">
        <v>330</v>
      </c>
      <c r="CD103">
        <v>87</v>
      </c>
    </row>
    <row r="104" spans="1:83" x14ac:dyDescent="0.2">
      <c r="A104">
        <v>330</v>
      </c>
      <c r="B104">
        <v>88</v>
      </c>
      <c r="C104" s="13" t="s">
        <v>32</v>
      </c>
      <c r="D104" s="13" t="s">
        <v>264</v>
      </c>
      <c r="E104" s="64" t="s">
        <v>266</v>
      </c>
      <c r="F104" s="83" t="s">
        <v>42</v>
      </c>
      <c r="G104" s="84">
        <v>0.6</v>
      </c>
      <c r="H104" s="84">
        <v>31</v>
      </c>
      <c r="I104" s="90">
        <v>140.89999999999998</v>
      </c>
      <c r="J104" s="85">
        <v>329</v>
      </c>
      <c r="K104" s="85" t="s">
        <v>42</v>
      </c>
      <c r="L104" s="85" t="s">
        <v>42</v>
      </c>
      <c r="M104" s="85">
        <v>42</v>
      </c>
      <c r="N104" s="85">
        <v>42</v>
      </c>
      <c r="O104" s="85">
        <v>42</v>
      </c>
      <c r="P104" s="85" t="s">
        <v>14</v>
      </c>
      <c r="Q104" s="85">
        <v>0</v>
      </c>
      <c r="R104" s="85">
        <v>0</v>
      </c>
      <c r="S104" s="85" t="s">
        <v>308</v>
      </c>
      <c r="T104" s="86">
        <v>4578.2506727614636</v>
      </c>
      <c r="U104" s="86">
        <v>5440</v>
      </c>
      <c r="V104" s="86">
        <v>5440</v>
      </c>
      <c r="W104" s="86" t="s">
        <v>42</v>
      </c>
      <c r="X104" s="86" t="s">
        <v>42</v>
      </c>
      <c r="Y104" s="86" t="s">
        <v>42</v>
      </c>
      <c r="Z104" s="86" t="s">
        <v>42</v>
      </c>
      <c r="AB104" s="85" t="s">
        <v>470</v>
      </c>
      <c r="AC104" s="85">
        <v>1.2500000000000001E-2</v>
      </c>
      <c r="AD104" s="85">
        <v>3.7499999999999999E-2</v>
      </c>
      <c r="AE104" s="85">
        <v>6.25E-2</v>
      </c>
      <c r="AF104" s="85">
        <v>0.57000000000000006</v>
      </c>
      <c r="AG104" s="85">
        <v>0.75</v>
      </c>
      <c r="AH104" s="85">
        <v>0.92999999999999994</v>
      </c>
      <c r="AI104" s="85">
        <v>46</v>
      </c>
      <c r="AJ104" s="85">
        <v>73</v>
      </c>
      <c r="AK104" s="85">
        <v>100</v>
      </c>
      <c r="AL104" s="85" t="s">
        <v>42</v>
      </c>
      <c r="AM104" s="85" t="s">
        <v>42</v>
      </c>
      <c r="AN104" s="85" t="s">
        <v>42</v>
      </c>
      <c r="AO104" s="87">
        <v>7.2358786265286626E-3</v>
      </c>
      <c r="AP104" s="87">
        <v>3.672173493771104E-2</v>
      </c>
      <c r="AQ104" s="87">
        <v>7.6210259526814914E-2</v>
      </c>
      <c r="AR104" s="87" t="s">
        <v>42</v>
      </c>
      <c r="AS104" s="87" t="s">
        <v>42</v>
      </c>
      <c r="AT104" s="87" t="s">
        <v>42</v>
      </c>
      <c r="AV104" s="88" t="s">
        <v>42</v>
      </c>
      <c r="AW104" s="88" t="s">
        <v>42</v>
      </c>
      <c r="AX104" s="88" t="s">
        <v>42</v>
      </c>
      <c r="AY104" s="88" t="s">
        <v>42</v>
      </c>
      <c r="AZ104" s="88" t="s">
        <v>42</v>
      </c>
      <c r="BA104" s="88" t="s">
        <v>42</v>
      </c>
      <c r="BB104" s="2"/>
      <c r="BC104" s="19" t="s">
        <v>42</v>
      </c>
      <c r="BD104" s="19" t="s">
        <v>42</v>
      </c>
      <c r="BE104" s="19" t="s">
        <v>42</v>
      </c>
      <c r="BG104" s="23">
        <v>7.4237697005189318</v>
      </c>
      <c r="BH104" s="23">
        <v>7.7677972573613117</v>
      </c>
      <c r="BI104" s="23">
        <v>8.1007290236485208</v>
      </c>
      <c r="BJ104" s="23">
        <v>1.0149415753487148</v>
      </c>
      <c r="BK104" s="23">
        <v>2.8027415150170389</v>
      </c>
      <c r="BL104" s="23">
        <v>8.8507626790011837</v>
      </c>
      <c r="BM104" s="2"/>
      <c r="BN104" s="19">
        <v>13317.650164825945</v>
      </c>
      <c r="BO104" s="19">
        <v>76323.777179132958</v>
      </c>
      <c r="BP104" s="19">
        <v>1223177.3272912463</v>
      </c>
      <c r="BR104" s="23" t="s">
        <v>42</v>
      </c>
      <c r="BS104" s="23" t="s">
        <v>42</v>
      </c>
      <c r="BT104" s="23" t="s">
        <v>42</v>
      </c>
      <c r="BU104" s="23" t="s">
        <v>42</v>
      </c>
      <c r="BV104" s="23" t="s">
        <v>42</v>
      </c>
      <c r="BW104" s="23" t="s">
        <v>42</v>
      </c>
      <c r="BX104" s="2"/>
      <c r="BY104" s="23" t="s">
        <v>42</v>
      </c>
      <c r="BZ104" s="23" t="s">
        <v>42</v>
      </c>
      <c r="CA104" s="23" t="s">
        <v>42</v>
      </c>
      <c r="CC104">
        <v>330</v>
      </c>
      <c r="CD104">
        <v>88</v>
      </c>
    </row>
    <row r="105" spans="1:83" x14ac:dyDescent="0.2">
      <c r="A105">
        <v>330</v>
      </c>
      <c r="B105">
        <v>89</v>
      </c>
      <c r="C105" s="13" t="s">
        <v>32</v>
      </c>
      <c r="D105" s="13" t="s">
        <v>264</v>
      </c>
      <c r="E105" s="13" t="s">
        <v>292</v>
      </c>
      <c r="F105" s="83" t="s">
        <v>42</v>
      </c>
      <c r="G105" s="84">
        <v>7.1</v>
      </c>
      <c r="H105" s="84">
        <v>310</v>
      </c>
      <c r="I105" s="90">
        <v>140.89999999999998</v>
      </c>
      <c r="J105" s="85">
        <v>329</v>
      </c>
      <c r="K105" s="85" t="s">
        <v>42</v>
      </c>
      <c r="L105" s="85" t="s">
        <v>42</v>
      </c>
      <c r="M105" s="85">
        <v>42</v>
      </c>
      <c r="N105" s="85">
        <v>42</v>
      </c>
      <c r="O105" s="85">
        <v>42</v>
      </c>
      <c r="P105" s="85" t="s">
        <v>11</v>
      </c>
      <c r="Q105" s="85">
        <v>0</v>
      </c>
      <c r="R105" s="85">
        <v>0</v>
      </c>
      <c r="S105" s="85" t="s">
        <v>308</v>
      </c>
      <c r="T105" s="86">
        <v>4578.2506727614636</v>
      </c>
      <c r="U105" s="86">
        <v>5440</v>
      </c>
      <c r="V105" s="86">
        <v>5440</v>
      </c>
      <c r="W105" s="86" t="s">
        <v>42</v>
      </c>
      <c r="X105" s="86" t="s">
        <v>42</v>
      </c>
      <c r="Y105" s="86" t="s">
        <v>42</v>
      </c>
      <c r="Z105" s="86" t="s">
        <v>42</v>
      </c>
      <c r="AB105" s="85" t="s">
        <v>470</v>
      </c>
      <c r="AC105" s="85">
        <v>1.2500000000000001E-2</v>
      </c>
      <c r="AD105" s="85">
        <v>3.7499999999999999E-2</v>
      </c>
      <c r="AE105" s="85">
        <v>6.25E-2</v>
      </c>
      <c r="AF105" s="85">
        <v>0.57000000000000006</v>
      </c>
      <c r="AG105" s="85">
        <v>0.75</v>
      </c>
      <c r="AH105" s="85">
        <v>0.92999999999999994</v>
      </c>
      <c r="AI105" s="85">
        <v>46</v>
      </c>
      <c r="AJ105" s="85">
        <v>73</v>
      </c>
      <c r="AK105" s="85">
        <v>100</v>
      </c>
      <c r="AL105" s="87">
        <v>4.7938165992227168E-3</v>
      </c>
      <c r="AM105" s="87">
        <v>3.1740259657076171E-2</v>
      </c>
      <c r="AN105" s="87">
        <v>7.7786432989217266E-2</v>
      </c>
      <c r="AO105" s="87">
        <v>7.2358786265286626E-3</v>
      </c>
      <c r="AP105" s="87">
        <v>3.672173493771104E-2</v>
      </c>
      <c r="AQ105" s="87">
        <v>7.6210259526814914E-2</v>
      </c>
      <c r="AR105" s="87" t="s">
        <v>42</v>
      </c>
      <c r="AS105" s="87" t="s">
        <v>42</v>
      </c>
      <c r="AT105" s="87" t="s">
        <v>42</v>
      </c>
      <c r="AV105" s="88">
        <v>5.2343486265351302</v>
      </c>
      <c r="AW105" s="88">
        <v>5.667333654214552</v>
      </c>
      <c r="AX105" s="88">
        <v>6.1551673804875051</v>
      </c>
      <c r="AY105" s="88">
        <v>8.4151883205655476E-2</v>
      </c>
      <c r="AZ105" s="88">
        <v>0.25744506916950227</v>
      </c>
      <c r="BA105" s="88">
        <v>0.97170224843198283</v>
      </c>
      <c r="BB105" s="2"/>
      <c r="BC105" s="19">
        <v>1081.8323963681505</v>
      </c>
      <c r="BD105" s="19">
        <v>8110.9944263517546</v>
      </c>
      <c r="BE105" s="19">
        <v>202699.08710932694</v>
      </c>
      <c r="BG105" s="23">
        <v>7.4237697005189318</v>
      </c>
      <c r="BH105" s="23">
        <v>7.7677972573613117</v>
      </c>
      <c r="BI105" s="23">
        <v>8.1007290236485208</v>
      </c>
      <c r="BJ105" s="23">
        <v>1.0149415753487148</v>
      </c>
      <c r="BK105" s="23">
        <v>2.8027415150170389</v>
      </c>
      <c r="BL105" s="23">
        <v>8.8507626790011837</v>
      </c>
      <c r="BM105" s="2"/>
      <c r="BN105" s="19">
        <v>13317.650164825945</v>
      </c>
      <c r="BO105" s="19">
        <v>76323.777179132958</v>
      </c>
      <c r="BP105" s="19">
        <v>1223177.3272912463</v>
      </c>
      <c r="BR105" s="23" t="s">
        <v>42</v>
      </c>
      <c r="BS105" s="23" t="s">
        <v>42</v>
      </c>
      <c r="BT105" s="23" t="s">
        <v>42</v>
      </c>
      <c r="BU105" s="23" t="s">
        <v>42</v>
      </c>
      <c r="BV105" s="23" t="s">
        <v>42</v>
      </c>
      <c r="BW105" s="23" t="s">
        <v>42</v>
      </c>
      <c r="BX105" s="2"/>
      <c r="BY105" s="23" t="s">
        <v>42</v>
      </c>
      <c r="BZ105" s="23" t="s">
        <v>42</v>
      </c>
      <c r="CA105" s="23" t="s">
        <v>42</v>
      </c>
      <c r="CC105">
        <v>330</v>
      </c>
      <c r="CD105">
        <v>89</v>
      </c>
    </row>
    <row r="106" spans="1:83" x14ac:dyDescent="0.2">
      <c r="A106">
        <v>331</v>
      </c>
      <c r="B106" t="s">
        <v>416</v>
      </c>
      <c r="C106" s="13" t="s">
        <v>32</v>
      </c>
      <c r="D106" s="13" t="s">
        <v>15</v>
      </c>
      <c r="E106" s="13" t="s">
        <v>42</v>
      </c>
      <c r="F106" s="83" t="s">
        <v>42</v>
      </c>
      <c r="G106" s="84" t="s">
        <v>42</v>
      </c>
      <c r="H106" s="84" t="s">
        <v>42</v>
      </c>
      <c r="I106" s="85">
        <v>14.4</v>
      </c>
      <c r="J106" s="85">
        <v>208</v>
      </c>
      <c r="K106" s="85" t="s">
        <v>42</v>
      </c>
      <c r="L106" s="85" t="s">
        <v>42</v>
      </c>
      <c r="M106" s="85">
        <v>40</v>
      </c>
      <c r="N106" s="85">
        <v>53</v>
      </c>
      <c r="O106" s="85">
        <v>65</v>
      </c>
      <c r="P106" s="85" t="s">
        <v>9</v>
      </c>
      <c r="Q106" s="85">
        <v>0</v>
      </c>
      <c r="R106" s="85">
        <v>0</v>
      </c>
      <c r="S106" s="85" t="s">
        <v>308</v>
      </c>
      <c r="T106" s="86">
        <v>102.27874714663321</v>
      </c>
      <c r="U106" s="86">
        <v>149.15650625550674</v>
      </c>
      <c r="V106" s="86">
        <v>149.15650625550674</v>
      </c>
      <c r="W106" s="86" t="s">
        <v>42</v>
      </c>
      <c r="X106" s="86" t="s">
        <v>42</v>
      </c>
      <c r="Y106" s="86" t="s">
        <v>42</v>
      </c>
      <c r="Z106" s="86" t="s">
        <v>42</v>
      </c>
      <c r="AB106" s="85" t="s">
        <v>470</v>
      </c>
      <c r="AC106" s="85">
        <v>1.2500000000000001E-2</v>
      </c>
      <c r="AD106" s="85">
        <v>3.7499999999999999E-2</v>
      </c>
      <c r="AE106" s="85">
        <v>6.25E-2</v>
      </c>
      <c r="AF106" s="85">
        <v>0.57000000000000006</v>
      </c>
      <c r="AG106" s="85">
        <v>0.75</v>
      </c>
      <c r="AH106" s="85">
        <v>0.92999999999999994</v>
      </c>
      <c r="AI106" s="85">
        <v>46</v>
      </c>
      <c r="AJ106" s="85">
        <v>73</v>
      </c>
      <c r="AK106" s="85">
        <v>100</v>
      </c>
      <c r="AL106" s="85" t="s">
        <v>42</v>
      </c>
      <c r="AM106" s="85" t="s">
        <v>42</v>
      </c>
      <c r="AN106" s="85" t="s">
        <v>42</v>
      </c>
      <c r="AO106" s="87">
        <v>2.8741753885153346E-3</v>
      </c>
      <c r="AP106" s="87">
        <v>3.3045665953485369E-2</v>
      </c>
      <c r="AQ106" s="87">
        <v>0.13080400213177099</v>
      </c>
      <c r="AR106" s="87" t="s">
        <v>42</v>
      </c>
      <c r="AS106" s="87" t="s">
        <v>42</v>
      </c>
      <c r="AT106" s="87" t="s">
        <v>42</v>
      </c>
      <c r="AV106" s="88" t="s">
        <v>42</v>
      </c>
      <c r="AW106" s="88" t="s">
        <v>42</v>
      </c>
      <c r="AX106" s="88" t="s">
        <v>42</v>
      </c>
      <c r="AY106" s="88" t="s">
        <v>42</v>
      </c>
      <c r="AZ106" s="88" t="s">
        <v>42</v>
      </c>
      <c r="BA106" s="88" t="s">
        <v>42</v>
      </c>
      <c r="BB106" s="2"/>
      <c r="BC106" s="19" t="s">
        <v>42</v>
      </c>
      <c r="BD106" s="19" t="s">
        <v>42</v>
      </c>
      <c r="BE106" s="19" t="s">
        <v>42</v>
      </c>
      <c r="BG106" s="23">
        <v>5.7728555321620858</v>
      </c>
      <c r="BH106" s="23">
        <v>6.2058405598415076</v>
      </c>
      <c r="BI106" s="23">
        <v>6.5387723261287176</v>
      </c>
      <c r="BJ106" s="23">
        <v>0.1516994334465111</v>
      </c>
      <c r="BK106" s="23">
        <v>0.4640926578097862</v>
      </c>
      <c r="BL106" s="23">
        <v>1.4655557615045895</v>
      </c>
      <c r="BM106" s="2"/>
      <c r="BN106" s="19">
        <v>1159.7461161294607</v>
      </c>
      <c r="BO106" s="19">
        <v>14043.979578533437</v>
      </c>
      <c r="BP106" s="19">
        <v>509904.77733567526</v>
      </c>
      <c r="BR106" s="23" t="s">
        <v>42</v>
      </c>
      <c r="BS106" s="23" t="s">
        <v>42</v>
      </c>
      <c r="BT106" s="23" t="s">
        <v>42</v>
      </c>
      <c r="BU106" s="23" t="s">
        <v>42</v>
      </c>
      <c r="BV106" s="23" t="s">
        <v>42</v>
      </c>
      <c r="BW106" s="23" t="s">
        <v>42</v>
      </c>
      <c r="BX106" s="2"/>
      <c r="BY106" s="23" t="s">
        <v>42</v>
      </c>
      <c r="BZ106" s="23" t="s">
        <v>42</v>
      </c>
      <c r="CA106" s="23" t="s">
        <v>42</v>
      </c>
      <c r="CC106">
        <v>331</v>
      </c>
      <c r="CD106" t="s">
        <v>416</v>
      </c>
    </row>
    <row r="107" spans="1:83" x14ac:dyDescent="0.2">
      <c r="A107">
        <v>332</v>
      </c>
      <c r="B107" t="s">
        <v>416</v>
      </c>
      <c r="C107" s="13" t="s">
        <v>32</v>
      </c>
      <c r="D107" s="13" t="s">
        <v>440</v>
      </c>
      <c r="E107" s="13" t="s">
        <v>42</v>
      </c>
      <c r="F107" s="83" t="s">
        <v>42</v>
      </c>
      <c r="G107" s="84" t="s">
        <v>42</v>
      </c>
      <c r="H107" s="84" t="s">
        <v>42</v>
      </c>
      <c r="I107" s="85">
        <v>18.399999999999999</v>
      </c>
      <c r="J107" s="85">
        <v>159</v>
      </c>
      <c r="K107" s="85" t="s">
        <v>42</v>
      </c>
      <c r="L107" s="85" t="s">
        <v>42</v>
      </c>
      <c r="M107" s="85">
        <v>40</v>
      </c>
      <c r="N107" s="85">
        <v>53</v>
      </c>
      <c r="O107" s="85">
        <v>65</v>
      </c>
      <c r="P107" s="85" t="s">
        <v>9</v>
      </c>
      <c r="Q107" s="85">
        <v>0</v>
      </c>
      <c r="R107" s="85">
        <v>0</v>
      </c>
      <c r="S107" s="85" t="s">
        <v>211</v>
      </c>
      <c r="T107" s="86">
        <v>153.89019539062943</v>
      </c>
      <c r="U107" s="86">
        <v>224.4232016113346</v>
      </c>
      <c r="V107" s="86">
        <v>320.60457373047797</v>
      </c>
      <c r="W107" s="86" t="s">
        <v>42</v>
      </c>
      <c r="X107" s="86" t="s">
        <v>42</v>
      </c>
      <c r="Y107" s="86" t="s">
        <v>42</v>
      </c>
      <c r="Z107" s="86" t="s">
        <v>42</v>
      </c>
      <c r="AB107" s="85" t="s">
        <v>470</v>
      </c>
      <c r="AC107" s="85">
        <v>1.2500000000000001E-2</v>
      </c>
      <c r="AD107" s="85">
        <v>3.7499999999999999E-2</v>
      </c>
      <c r="AE107" s="85">
        <v>6.25E-2</v>
      </c>
      <c r="AF107" s="85">
        <v>0.57000000000000006</v>
      </c>
      <c r="AG107" s="85">
        <v>0.75</v>
      </c>
      <c r="AH107" s="85">
        <v>0.92999999999999994</v>
      </c>
      <c r="AI107" s="85">
        <v>46</v>
      </c>
      <c r="AJ107" s="85">
        <v>73</v>
      </c>
      <c r="AK107" s="85">
        <v>100</v>
      </c>
      <c r="AL107" s="85" t="s">
        <v>42</v>
      </c>
      <c r="AM107" s="85" t="s">
        <v>42</v>
      </c>
      <c r="AN107" s="85" t="s">
        <v>42</v>
      </c>
      <c r="AO107" s="87">
        <v>7.9725361529109015E-3</v>
      </c>
      <c r="AP107" s="87">
        <v>4.3018532285474358E-2</v>
      </c>
      <c r="AQ107" s="87">
        <v>0.13720043753558483</v>
      </c>
      <c r="AR107" s="87" t="s">
        <v>42</v>
      </c>
      <c r="AS107" s="87" t="s">
        <v>42</v>
      </c>
      <c r="AT107" s="87" t="s">
        <v>42</v>
      </c>
      <c r="AV107" s="88" t="s">
        <v>42</v>
      </c>
      <c r="AW107" s="88" t="s">
        <v>42</v>
      </c>
      <c r="AX107" s="88" t="s">
        <v>42</v>
      </c>
      <c r="AY107" s="88" t="s">
        <v>42</v>
      </c>
      <c r="AZ107" s="88" t="s">
        <v>42</v>
      </c>
      <c r="BA107" s="88" t="s">
        <v>42</v>
      </c>
      <c r="BB107" s="2"/>
      <c r="BC107" s="19" t="s">
        <v>42</v>
      </c>
      <c r="BD107" s="19" t="s">
        <v>42</v>
      </c>
      <c r="BE107" s="19" t="s">
        <v>42</v>
      </c>
      <c r="BG107" s="23">
        <v>5.9502810836858968</v>
      </c>
      <c r="BH107" s="23">
        <v>6.3832661113653204</v>
      </c>
      <c r="BI107" s="23">
        <v>6.8710998376382735</v>
      </c>
      <c r="BJ107" s="23">
        <v>0.18607873054944127</v>
      </c>
      <c r="BK107" s="23">
        <v>0.56926891986719907</v>
      </c>
      <c r="BL107" s="23">
        <v>2.1486521034636796</v>
      </c>
      <c r="BM107" s="2"/>
      <c r="BN107" s="19">
        <v>1356.2546438758927</v>
      </c>
      <c r="BO107" s="19">
        <v>13233.108839917779</v>
      </c>
      <c r="BP107" s="19">
        <v>269506.72436639527</v>
      </c>
      <c r="BR107" s="23" t="s">
        <v>42</v>
      </c>
      <c r="BS107" s="23" t="s">
        <v>42</v>
      </c>
      <c r="BT107" s="23" t="s">
        <v>42</v>
      </c>
      <c r="BU107" s="23" t="s">
        <v>42</v>
      </c>
      <c r="BV107" s="23" t="s">
        <v>42</v>
      </c>
      <c r="BW107" s="23" t="s">
        <v>42</v>
      </c>
      <c r="BX107" s="2"/>
      <c r="BY107" s="23" t="s">
        <v>42</v>
      </c>
      <c r="BZ107" s="23" t="s">
        <v>42</v>
      </c>
      <c r="CA107" s="23" t="s">
        <v>42</v>
      </c>
      <c r="CC107">
        <v>332</v>
      </c>
      <c r="CD107" t="s">
        <v>416</v>
      </c>
    </row>
    <row r="108" spans="1:83" x14ac:dyDescent="0.2">
      <c r="A108">
        <v>333</v>
      </c>
      <c r="B108">
        <v>90</v>
      </c>
      <c r="C108" s="13" t="s">
        <v>32</v>
      </c>
      <c r="D108" s="13" t="s">
        <v>0</v>
      </c>
      <c r="E108" s="13" t="s">
        <v>59</v>
      </c>
      <c r="F108" s="83" t="s">
        <v>240</v>
      </c>
      <c r="G108" s="84">
        <v>20.8</v>
      </c>
      <c r="H108" s="84">
        <v>354</v>
      </c>
      <c r="I108" s="85">
        <v>80.699999999999989</v>
      </c>
      <c r="J108" s="85">
        <v>5</v>
      </c>
      <c r="K108" s="85">
        <v>114.6</v>
      </c>
      <c r="L108" s="85">
        <v>10</v>
      </c>
      <c r="M108" s="85">
        <v>40</v>
      </c>
      <c r="N108" s="85">
        <v>53</v>
      </c>
      <c r="O108" s="85">
        <v>65</v>
      </c>
      <c r="P108" s="85" t="s">
        <v>13</v>
      </c>
      <c r="Q108" s="85">
        <v>0</v>
      </c>
      <c r="R108" s="85">
        <v>0</v>
      </c>
      <c r="S108" s="85" t="s">
        <v>308</v>
      </c>
      <c r="T108" s="86">
        <v>1808.4387487005465</v>
      </c>
      <c r="U108" s="86">
        <v>1971.1000000000001</v>
      </c>
      <c r="V108" s="86">
        <v>1971.1000000000001</v>
      </c>
      <c r="W108" s="86" t="s">
        <v>308</v>
      </c>
      <c r="X108" s="86">
        <v>2234.5412429262792</v>
      </c>
      <c r="Y108" s="86">
        <v>2420.1000000000004</v>
      </c>
      <c r="Z108" s="86">
        <v>2420.1000000000004</v>
      </c>
      <c r="AB108" s="85" t="s">
        <v>470</v>
      </c>
      <c r="AC108" s="85">
        <v>1.2500000000000001E-2</v>
      </c>
      <c r="AD108" s="85">
        <v>3.7499999999999999E-2</v>
      </c>
      <c r="AE108" s="85">
        <v>6.25E-2</v>
      </c>
      <c r="AF108" s="85">
        <v>0.57000000000000006</v>
      </c>
      <c r="AG108" s="85">
        <v>0.75</v>
      </c>
      <c r="AH108" s="85">
        <v>0.92999999999999994</v>
      </c>
      <c r="AI108" s="85">
        <v>46</v>
      </c>
      <c r="AJ108" s="85">
        <v>73</v>
      </c>
      <c r="AK108" s="85">
        <v>100</v>
      </c>
      <c r="AL108" s="87">
        <v>7.3293092455418637E-3</v>
      </c>
      <c r="AM108" s="87">
        <v>4.492324744016022E-2</v>
      </c>
      <c r="AN108" s="87">
        <v>0.13500855311572707</v>
      </c>
      <c r="AO108" s="87">
        <v>6.1020227005698134E-3</v>
      </c>
      <c r="AP108" s="87">
        <v>4.3330666245436252E-2</v>
      </c>
      <c r="AQ108" s="87">
        <v>0.1370121030456323</v>
      </c>
      <c r="AR108" s="87">
        <v>5.467006464445325E-3</v>
      </c>
      <c r="AS108" s="87">
        <v>4.1639968310439729E-2</v>
      </c>
      <c r="AT108" s="87">
        <v>0.13753546702073896</v>
      </c>
      <c r="AV108" s="88">
        <v>6.0123569369412735</v>
      </c>
      <c r="AW108" s="88">
        <v>6.4453419646206953</v>
      </c>
      <c r="AX108" s="88">
        <v>6.9331756908936484</v>
      </c>
      <c r="AY108" s="88">
        <v>0.20609525574091125</v>
      </c>
      <c r="AZ108" s="88">
        <v>0.63050528815924889</v>
      </c>
      <c r="BA108" s="88">
        <v>2.3797830276144025</v>
      </c>
      <c r="BC108" s="19">
        <v>1526.5348082372964</v>
      </c>
      <c r="BD108" s="19">
        <v>14035.167181515766</v>
      </c>
      <c r="BE108" s="19">
        <v>324694.03976397001</v>
      </c>
      <c r="BG108" s="23">
        <v>7.0203739365401203</v>
      </c>
      <c r="BH108" s="23">
        <v>7.326907015603922</v>
      </c>
      <c r="BI108" s="23">
        <v>7.659838781891132</v>
      </c>
      <c r="BJ108" s="23">
        <v>0.63788613283063511</v>
      </c>
      <c r="BK108" s="23">
        <v>1.6870887350699735</v>
      </c>
      <c r="BL108" s="23">
        <v>5.3276486370630787</v>
      </c>
      <c r="BN108" s="19">
        <v>4655.6918597051617</v>
      </c>
      <c r="BO108" s="19">
        <v>38935.213354760359</v>
      </c>
      <c r="BP108" s="19">
        <v>873095.51250367798</v>
      </c>
      <c r="BR108" s="23">
        <v>7.1122585074657039</v>
      </c>
      <c r="BS108" s="23">
        <v>7.4160316693257586</v>
      </c>
      <c r="BT108" s="23">
        <v>7.7489634356129686</v>
      </c>
      <c r="BU108" s="23">
        <v>0.70906401661515195</v>
      </c>
      <c r="BV108" s="23">
        <v>1.8693914517831751</v>
      </c>
      <c r="BW108" s="23">
        <v>5.9033414266837161</v>
      </c>
      <c r="BY108" s="19">
        <v>5155.4993920821325</v>
      </c>
      <c r="BZ108" s="19">
        <v>44894.161250225836</v>
      </c>
      <c r="CA108" s="19">
        <v>1079812.4101509841</v>
      </c>
      <c r="CC108">
        <v>333</v>
      </c>
      <c r="CD108">
        <v>90</v>
      </c>
      <c r="CE108">
        <v>603</v>
      </c>
    </row>
    <row r="109" spans="1:83" x14ac:dyDescent="0.2">
      <c r="A109">
        <v>333</v>
      </c>
      <c r="B109">
        <v>91</v>
      </c>
      <c r="C109" s="13" t="s">
        <v>32</v>
      </c>
      <c r="D109" s="13" t="s">
        <v>0</v>
      </c>
      <c r="E109" s="13" t="s">
        <v>161</v>
      </c>
      <c r="F109" s="83" t="s">
        <v>240</v>
      </c>
      <c r="G109" s="84">
        <v>1.8</v>
      </c>
      <c r="H109" s="84">
        <v>71</v>
      </c>
      <c r="I109" s="85">
        <v>80.699999999999989</v>
      </c>
      <c r="J109" s="85">
        <v>5</v>
      </c>
      <c r="K109" s="85">
        <v>114.6</v>
      </c>
      <c r="L109" s="85">
        <v>10</v>
      </c>
      <c r="M109" s="85">
        <v>40</v>
      </c>
      <c r="N109" s="85">
        <v>53</v>
      </c>
      <c r="O109" s="85">
        <v>65</v>
      </c>
      <c r="P109" s="85" t="s">
        <v>13</v>
      </c>
      <c r="Q109" s="85">
        <v>0</v>
      </c>
      <c r="R109" s="85">
        <v>0</v>
      </c>
      <c r="S109" s="85" t="s">
        <v>308</v>
      </c>
      <c r="T109" s="86">
        <v>1808.4387487005465</v>
      </c>
      <c r="U109" s="86">
        <v>1971.1000000000001</v>
      </c>
      <c r="V109" s="86">
        <v>1971.1000000000001</v>
      </c>
      <c r="W109" s="86" t="s">
        <v>308</v>
      </c>
      <c r="X109" s="86">
        <v>2234.5412429262792</v>
      </c>
      <c r="Y109" s="86">
        <v>2420.1000000000004</v>
      </c>
      <c r="Z109" s="86">
        <v>2420.1000000000004</v>
      </c>
      <c r="AB109" s="85" t="s">
        <v>470</v>
      </c>
      <c r="AC109" s="85">
        <v>1.2500000000000001E-2</v>
      </c>
      <c r="AD109" s="85">
        <v>3.7499999999999999E-2</v>
      </c>
      <c r="AE109" s="85">
        <v>6.25E-2</v>
      </c>
      <c r="AF109" s="85">
        <v>0.57000000000000006</v>
      </c>
      <c r="AG109" s="85">
        <v>0.75</v>
      </c>
      <c r="AH109" s="85">
        <v>0.92999999999999994</v>
      </c>
      <c r="AI109" s="85">
        <v>46</v>
      </c>
      <c r="AJ109" s="85">
        <v>73</v>
      </c>
      <c r="AK109" s="85">
        <v>100</v>
      </c>
      <c r="AL109" s="85" t="s">
        <v>42</v>
      </c>
      <c r="AM109" s="85" t="s">
        <v>42</v>
      </c>
      <c r="AN109" s="85" t="s">
        <v>42</v>
      </c>
      <c r="AO109" s="87">
        <v>6.1020227005698134E-3</v>
      </c>
      <c r="AP109" s="87">
        <v>4.3330666245436252E-2</v>
      </c>
      <c r="AQ109" s="87">
        <v>0.1370121030456323</v>
      </c>
      <c r="AR109" s="87">
        <v>5.467006464445325E-3</v>
      </c>
      <c r="AS109" s="87">
        <v>4.1639968310439729E-2</v>
      </c>
      <c r="AT109" s="87">
        <v>0.13753546702073896</v>
      </c>
      <c r="AV109" s="88" t="s">
        <v>42</v>
      </c>
      <c r="AW109" s="88" t="s">
        <v>42</v>
      </c>
      <c r="AX109" s="88" t="s">
        <v>42</v>
      </c>
      <c r="AY109" s="88" t="s">
        <v>42</v>
      </c>
      <c r="AZ109" s="88" t="s">
        <v>42</v>
      </c>
      <c r="BA109" s="88" t="s">
        <v>42</v>
      </c>
      <c r="BB109" s="2"/>
      <c r="BC109" s="19" t="s">
        <v>42</v>
      </c>
      <c r="BD109" s="19" t="s">
        <v>42</v>
      </c>
      <c r="BE109" s="19" t="s">
        <v>42</v>
      </c>
      <c r="BG109" s="23">
        <v>7.0203739365401203</v>
      </c>
      <c r="BH109" s="23">
        <v>7.326907015603922</v>
      </c>
      <c r="BI109" s="23">
        <v>7.659838781891132</v>
      </c>
      <c r="BJ109" s="23">
        <v>0.63788613283063511</v>
      </c>
      <c r="BK109" s="23">
        <v>1.6870887350699735</v>
      </c>
      <c r="BL109" s="23">
        <v>5.3276486370630787</v>
      </c>
      <c r="BM109" s="2"/>
      <c r="BN109" s="19">
        <v>4655.6918597051617</v>
      </c>
      <c r="BO109" s="19">
        <v>38935.213354760359</v>
      </c>
      <c r="BP109" s="19">
        <v>873095.51250367798</v>
      </c>
      <c r="BR109" s="23">
        <v>7.1122585074657039</v>
      </c>
      <c r="BS109" s="23">
        <v>7.4160316693257586</v>
      </c>
      <c r="BT109" s="23">
        <v>7.7489634356129686</v>
      </c>
      <c r="BU109" s="23">
        <v>0.70906401661515195</v>
      </c>
      <c r="BV109" s="23">
        <v>1.8693914517831751</v>
      </c>
      <c r="BW109" s="23">
        <v>5.9033414266837161</v>
      </c>
      <c r="BY109" s="19">
        <v>5155.4993920821325</v>
      </c>
      <c r="BZ109" s="19">
        <v>44894.161250225836</v>
      </c>
      <c r="CA109" s="19">
        <v>1079812.4101509841</v>
      </c>
      <c r="CC109">
        <v>333</v>
      </c>
      <c r="CD109">
        <v>91</v>
      </c>
      <c r="CE109">
        <v>603</v>
      </c>
    </row>
    <row r="110" spans="1:83" x14ac:dyDescent="0.2">
      <c r="A110">
        <v>333</v>
      </c>
      <c r="B110">
        <v>92</v>
      </c>
      <c r="C110" s="13" t="s">
        <v>32</v>
      </c>
      <c r="D110" s="13" t="s">
        <v>0</v>
      </c>
      <c r="E110" s="13" t="s">
        <v>255</v>
      </c>
      <c r="F110" s="83" t="s">
        <v>240</v>
      </c>
      <c r="G110" s="84">
        <v>23.2</v>
      </c>
      <c r="H110" s="84">
        <v>3</v>
      </c>
      <c r="I110" s="85">
        <v>80.699999999999989</v>
      </c>
      <c r="J110" s="85">
        <v>5</v>
      </c>
      <c r="K110" s="85">
        <v>114.6</v>
      </c>
      <c r="L110" s="85">
        <v>10</v>
      </c>
      <c r="M110" s="85">
        <v>40</v>
      </c>
      <c r="N110" s="85">
        <v>53</v>
      </c>
      <c r="O110" s="85">
        <v>65</v>
      </c>
      <c r="P110" s="85" t="s">
        <v>13</v>
      </c>
      <c r="Q110" s="85">
        <v>0</v>
      </c>
      <c r="R110" s="85">
        <v>0</v>
      </c>
      <c r="S110" s="85" t="s">
        <v>308</v>
      </c>
      <c r="T110" s="86">
        <v>1808.4387487005465</v>
      </c>
      <c r="U110" s="86">
        <v>1971.1000000000001</v>
      </c>
      <c r="V110" s="86">
        <v>1971.1000000000001</v>
      </c>
      <c r="W110" s="86" t="s">
        <v>308</v>
      </c>
      <c r="X110" s="86">
        <v>2234.5412429262792</v>
      </c>
      <c r="Y110" s="86">
        <v>2420.1000000000004</v>
      </c>
      <c r="Z110" s="86">
        <v>2420.1000000000004</v>
      </c>
      <c r="AB110" s="85" t="s">
        <v>470</v>
      </c>
      <c r="AC110" s="85">
        <v>1.2500000000000001E-2</v>
      </c>
      <c r="AD110" s="85">
        <v>3.7499999999999999E-2</v>
      </c>
      <c r="AE110" s="85">
        <v>6.25E-2</v>
      </c>
      <c r="AF110" s="85">
        <v>0.57000000000000006</v>
      </c>
      <c r="AG110" s="85">
        <v>0.75</v>
      </c>
      <c r="AH110" s="85">
        <v>0.92999999999999994</v>
      </c>
      <c r="AI110" s="85">
        <v>46</v>
      </c>
      <c r="AJ110" s="85">
        <v>73</v>
      </c>
      <c r="AK110" s="85">
        <v>100</v>
      </c>
      <c r="AL110" s="87">
        <v>6.3432851175850005E-3</v>
      </c>
      <c r="AM110" s="87">
        <v>4.3915246284781488E-2</v>
      </c>
      <c r="AN110" s="87">
        <v>0.13651029850562643</v>
      </c>
      <c r="AO110" s="87">
        <v>6.1020227005698134E-3</v>
      </c>
      <c r="AP110" s="87">
        <v>4.3330666245436252E-2</v>
      </c>
      <c r="AQ110" s="87">
        <v>0.1370121030456323</v>
      </c>
      <c r="AR110" s="87">
        <v>5.467006464445325E-3</v>
      </c>
      <c r="AS110" s="87">
        <v>4.1639968310439729E-2</v>
      </c>
      <c r="AT110" s="87">
        <v>0.13753546702073896</v>
      </c>
      <c r="AV110" s="88">
        <v>6.0913980201548368</v>
      </c>
      <c r="AW110" s="88">
        <v>6.5243830478342586</v>
      </c>
      <c r="AX110" s="88">
        <v>7.0122167741072117</v>
      </c>
      <c r="AY110" s="88">
        <v>0.22572961255674059</v>
      </c>
      <c r="AZ110" s="88">
        <v>0.69057249231434337</v>
      </c>
      <c r="BA110" s="88">
        <v>2.6065010514740878</v>
      </c>
      <c r="BC110" s="19">
        <v>1653.5720383575081</v>
      </c>
      <c r="BD110" s="19">
        <v>15725.119422902024</v>
      </c>
      <c r="BE110" s="19">
        <v>410907.1251185424</v>
      </c>
      <c r="BG110" s="23">
        <v>7.0203739365401203</v>
      </c>
      <c r="BH110" s="23">
        <v>7.326907015603922</v>
      </c>
      <c r="BI110" s="23">
        <v>7.659838781891132</v>
      </c>
      <c r="BJ110" s="23">
        <v>0.63788613283063511</v>
      </c>
      <c r="BK110" s="23">
        <v>1.6870887350699735</v>
      </c>
      <c r="BL110" s="23">
        <v>5.3276486370630787</v>
      </c>
      <c r="BN110" s="19">
        <v>4655.6918597051617</v>
      </c>
      <c r="BO110" s="19">
        <v>38935.213354760359</v>
      </c>
      <c r="BP110" s="19">
        <v>873095.51250367798</v>
      </c>
      <c r="BR110" s="23">
        <v>7.1122585074657039</v>
      </c>
      <c r="BS110" s="23">
        <v>7.4160316693257586</v>
      </c>
      <c r="BT110" s="23">
        <v>7.7489634356129686</v>
      </c>
      <c r="BU110" s="23">
        <v>0.70906401661515195</v>
      </c>
      <c r="BV110" s="23">
        <v>1.8693914517831751</v>
      </c>
      <c r="BW110" s="23">
        <v>5.9033414266837161</v>
      </c>
      <c r="BY110" s="19">
        <v>5155.4993920821325</v>
      </c>
      <c r="BZ110" s="19">
        <v>44894.161250225836</v>
      </c>
      <c r="CA110" s="19">
        <v>1079812.4101509841</v>
      </c>
      <c r="CC110">
        <v>333</v>
      </c>
      <c r="CD110">
        <v>92</v>
      </c>
      <c r="CE110">
        <v>603</v>
      </c>
    </row>
    <row r="111" spans="1:83" x14ac:dyDescent="0.2">
      <c r="A111">
        <v>333</v>
      </c>
      <c r="B111">
        <v>93</v>
      </c>
      <c r="C111" s="13" t="s">
        <v>32</v>
      </c>
      <c r="D111" s="13" t="s">
        <v>0</v>
      </c>
      <c r="E111" s="13" t="s">
        <v>538</v>
      </c>
      <c r="F111" s="83" t="s">
        <v>240</v>
      </c>
      <c r="G111" s="84">
        <v>9.9</v>
      </c>
      <c r="H111" s="84">
        <v>355</v>
      </c>
      <c r="I111" s="85">
        <v>80.699999999999989</v>
      </c>
      <c r="J111" s="85">
        <v>5</v>
      </c>
      <c r="K111" s="85">
        <v>114.6</v>
      </c>
      <c r="L111" s="85">
        <v>10</v>
      </c>
      <c r="M111" s="85">
        <v>40</v>
      </c>
      <c r="N111" s="85">
        <v>53</v>
      </c>
      <c r="O111" s="85">
        <v>65</v>
      </c>
      <c r="P111" s="85" t="s">
        <v>13</v>
      </c>
      <c r="Q111" s="85">
        <v>0</v>
      </c>
      <c r="R111" s="85">
        <v>0</v>
      </c>
      <c r="S111" s="85" t="s">
        <v>308</v>
      </c>
      <c r="T111" s="86">
        <v>1808.4387487005465</v>
      </c>
      <c r="U111" s="86">
        <v>1971.1000000000001</v>
      </c>
      <c r="V111" s="86">
        <v>1971.1000000000001</v>
      </c>
      <c r="W111" s="86" t="s">
        <v>308</v>
      </c>
      <c r="X111" s="86">
        <v>2234.5412429262792</v>
      </c>
      <c r="Y111" s="86">
        <v>2420.1000000000004</v>
      </c>
      <c r="Z111" s="86">
        <v>2420.1000000000004</v>
      </c>
      <c r="AB111" s="85" t="s">
        <v>470</v>
      </c>
      <c r="AC111" s="85">
        <v>1.2500000000000001E-2</v>
      </c>
      <c r="AD111" s="85">
        <v>3.7499999999999999E-2</v>
      </c>
      <c r="AE111" s="85">
        <v>6.25E-2</v>
      </c>
      <c r="AF111" s="85">
        <v>0.57000000000000006</v>
      </c>
      <c r="AG111" s="85">
        <v>0.75</v>
      </c>
      <c r="AH111" s="85">
        <v>0.92999999999999994</v>
      </c>
      <c r="AI111" s="85">
        <v>46</v>
      </c>
      <c r="AJ111" s="85">
        <v>73</v>
      </c>
      <c r="AK111" s="85">
        <v>100</v>
      </c>
      <c r="AL111" s="87">
        <v>7.2282555210976375E-3</v>
      </c>
      <c r="AM111" s="87">
        <v>4.5141219177435521E-2</v>
      </c>
      <c r="AN111" s="87">
        <v>0.13452998708213926</v>
      </c>
      <c r="AO111" s="87">
        <v>6.1020227005698134E-3</v>
      </c>
      <c r="AP111" s="87">
        <v>4.3330666245436252E-2</v>
      </c>
      <c r="AQ111" s="87">
        <v>0.1370121030456323</v>
      </c>
      <c r="AR111" s="87">
        <v>5.467006464445325E-3</v>
      </c>
      <c r="AS111" s="87">
        <v>4.1639968310439729E-2</v>
      </c>
      <c r="AT111" s="87">
        <v>0.13753546702073896</v>
      </c>
      <c r="AV111" s="88">
        <v>5.4749767029992542</v>
      </c>
      <c r="AW111" s="88">
        <v>5.907961730678676</v>
      </c>
      <c r="AX111" s="88">
        <v>6.3957954569516291</v>
      </c>
      <c r="AY111" s="88">
        <v>0.11101403230112797</v>
      </c>
      <c r="AZ111" s="88">
        <v>0.33962419063996085</v>
      </c>
      <c r="BA111" s="88">
        <v>1.2818796286576424</v>
      </c>
      <c r="BC111" s="19">
        <v>825.19915974827768</v>
      </c>
      <c r="BD111" s="19">
        <v>7523.5936651380207</v>
      </c>
      <c r="BE111" s="19">
        <v>177342.87684160122</v>
      </c>
      <c r="BG111" s="23">
        <v>7.0203739365401203</v>
      </c>
      <c r="BH111" s="23">
        <v>7.326907015603922</v>
      </c>
      <c r="BI111" s="23">
        <v>7.659838781891132</v>
      </c>
      <c r="BJ111" s="23">
        <v>0.63788613283063511</v>
      </c>
      <c r="BK111" s="23">
        <v>1.6870887350699735</v>
      </c>
      <c r="BL111" s="23">
        <v>5.3276486370630787</v>
      </c>
      <c r="BN111" s="19">
        <v>4655.6918597051617</v>
      </c>
      <c r="BO111" s="19">
        <v>38935.213354760359</v>
      </c>
      <c r="BP111" s="19">
        <v>873095.51250367798</v>
      </c>
      <c r="BR111" s="23">
        <v>7.1122585074657039</v>
      </c>
      <c r="BS111" s="23">
        <v>7.4160316693257586</v>
      </c>
      <c r="BT111" s="23">
        <v>7.7489634356129686</v>
      </c>
      <c r="BU111" s="23">
        <v>0.70906401661515195</v>
      </c>
      <c r="BV111" s="23">
        <v>1.8693914517831751</v>
      </c>
      <c r="BW111" s="23">
        <v>5.9033414266837161</v>
      </c>
      <c r="BY111" s="19">
        <v>5155.4993920821325</v>
      </c>
      <c r="BZ111" s="19">
        <v>44894.161250225836</v>
      </c>
      <c r="CA111" s="19">
        <v>1079812.4101509841</v>
      </c>
      <c r="CC111">
        <v>333</v>
      </c>
      <c r="CD111">
        <v>93</v>
      </c>
      <c r="CE111">
        <v>603</v>
      </c>
    </row>
    <row r="112" spans="1:83" x14ac:dyDescent="0.2">
      <c r="A112">
        <v>333</v>
      </c>
      <c r="B112">
        <v>94</v>
      </c>
      <c r="C112" s="13" t="s">
        <v>32</v>
      </c>
      <c r="D112" s="13" t="s">
        <v>0</v>
      </c>
      <c r="E112" s="13" t="s">
        <v>293</v>
      </c>
      <c r="F112" s="83" t="s">
        <v>240</v>
      </c>
      <c r="G112" s="84">
        <v>16.2</v>
      </c>
      <c r="H112" s="84">
        <v>36</v>
      </c>
      <c r="I112" s="85">
        <v>80.699999999999989</v>
      </c>
      <c r="J112" s="85">
        <v>5</v>
      </c>
      <c r="K112" s="85">
        <v>114.6</v>
      </c>
      <c r="L112" s="85">
        <v>10</v>
      </c>
      <c r="M112" s="85">
        <v>40</v>
      </c>
      <c r="N112" s="85">
        <v>53</v>
      </c>
      <c r="O112" s="85">
        <v>65</v>
      </c>
      <c r="P112" s="85" t="s">
        <v>13</v>
      </c>
      <c r="Q112" s="85">
        <v>0</v>
      </c>
      <c r="R112" s="85">
        <v>0</v>
      </c>
      <c r="S112" s="85" t="s">
        <v>308</v>
      </c>
      <c r="T112" s="86">
        <v>1808.4387487005465</v>
      </c>
      <c r="U112" s="86">
        <v>1971.1000000000001</v>
      </c>
      <c r="V112" s="86">
        <v>1971.1000000000001</v>
      </c>
      <c r="W112" s="86" t="s">
        <v>308</v>
      </c>
      <c r="X112" s="86">
        <v>2234.5412429262792</v>
      </c>
      <c r="Y112" s="86">
        <v>2420.1000000000004</v>
      </c>
      <c r="Z112" s="86">
        <v>2420.1000000000004</v>
      </c>
      <c r="AB112" s="85" t="s">
        <v>470</v>
      </c>
      <c r="AC112" s="85">
        <v>1.2500000000000001E-2</v>
      </c>
      <c r="AD112" s="85">
        <v>3.7499999999999999E-2</v>
      </c>
      <c r="AE112" s="85">
        <v>6.25E-2</v>
      </c>
      <c r="AF112" s="85">
        <v>0.57000000000000006</v>
      </c>
      <c r="AG112" s="85">
        <v>0.75</v>
      </c>
      <c r="AH112" s="85">
        <v>0.92999999999999994</v>
      </c>
      <c r="AI112" s="85">
        <v>46</v>
      </c>
      <c r="AJ112" s="85">
        <v>73</v>
      </c>
      <c r="AK112" s="85">
        <v>100</v>
      </c>
      <c r="AL112" s="87">
        <v>1.6151063779529528E-3</v>
      </c>
      <c r="AM112" s="87">
        <v>2.8124999999999994E-2</v>
      </c>
      <c r="AN112" s="87">
        <v>0.12361605891321563</v>
      </c>
      <c r="AO112" s="87">
        <v>6.1020227005698134E-3</v>
      </c>
      <c r="AP112" s="87">
        <v>4.3330666245436252E-2</v>
      </c>
      <c r="AQ112" s="87">
        <v>0.1370121030456323</v>
      </c>
      <c r="AR112" s="87">
        <v>5.467006464445325E-3</v>
      </c>
      <c r="AS112" s="87">
        <v>4.1639968310439729E-2</v>
      </c>
      <c r="AT112" s="87">
        <v>0.13753546702073896</v>
      </c>
      <c r="AV112" s="88">
        <v>5.8314430695743882</v>
      </c>
      <c r="AW112" s="88">
        <v>6.26442809725381</v>
      </c>
      <c r="AX112" s="88">
        <v>6.7522618235267631</v>
      </c>
      <c r="AY112" s="88">
        <v>0.16734435265317793</v>
      </c>
      <c r="AZ112" s="88">
        <v>0.51195501280270383</v>
      </c>
      <c r="BA112" s="88">
        <v>1.9323261410335195</v>
      </c>
      <c r="BC112" s="19">
        <v>1353.7428237431648</v>
      </c>
      <c r="BD112" s="19">
        <v>18202.844899651696</v>
      </c>
      <c r="BE112" s="19">
        <v>1196407.968794367</v>
      </c>
      <c r="BG112" s="23">
        <v>7.0203739365401203</v>
      </c>
      <c r="BH112" s="23">
        <v>7.326907015603922</v>
      </c>
      <c r="BI112" s="23">
        <v>7.659838781891132</v>
      </c>
      <c r="BJ112" s="23">
        <v>0.63788613283063511</v>
      </c>
      <c r="BK112" s="23">
        <v>1.6870887350699735</v>
      </c>
      <c r="BL112" s="23">
        <v>5.3276486370630787</v>
      </c>
      <c r="BN112" s="19">
        <v>4655.6918597051617</v>
      </c>
      <c r="BO112" s="19">
        <v>38935.213354760359</v>
      </c>
      <c r="BP112" s="19">
        <v>873095.51250367798</v>
      </c>
      <c r="BR112" s="23">
        <v>7.1122585074657039</v>
      </c>
      <c r="BS112" s="23">
        <v>7.4160316693257586</v>
      </c>
      <c r="BT112" s="23">
        <v>7.7489634356129686</v>
      </c>
      <c r="BU112" s="23">
        <v>0.70906401661515195</v>
      </c>
      <c r="BV112" s="23">
        <v>1.8693914517831751</v>
      </c>
      <c r="BW112" s="23">
        <v>5.9033414266837161</v>
      </c>
      <c r="BY112" s="19">
        <v>5155.4993920821325</v>
      </c>
      <c r="BZ112" s="19">
        <v>44894.161250225836</v>
      </c>
      <c r="CA112" s="19">
        <v>1079812.4101509841</v>
      </c>
      <c r="CC112">
        <v>333</v>
      </c>
      <c r="CD112">
        <v>94</v>
      </c>
      <c r="CE112">
        <v>603</v>
      </c>
    </row>
    <row r="113" spans="1:83" x14ac:dyDescent="0.2">
      <c r="A113">
        <v>333</v>
      </c>
      <c r="B113">
        <v>95</v>
      </c>
      <c r="C113" s="13" t="s">
        <v>32</v>
      </c>
      <c r="D113" s="13" t="s">
        <v>0</v>
      </c>
      <c r="E113" s="13" t="s">
        <v>254</v>
      </c>
      <c r="F113" s="83" t="s">
        <v>240</v>
      </c>
      <c r="G113" s="84">
        <v>8.8000000000000007</v>
      </c>
      <c r="H113" s="84">
        <v>339</v>
      </c>
      <c r="I113" s="85">
        <v>80.699999999999989</v>
      </c>
      <c r="J113" s="85">
        <v>5</v>
      </c>
      <c r="K113" s="85">
        <v>114.6</v>
      </c>
      <c r="L113" s="85">
        <v>10</v>
      </c>
      <c r="M113" s="85">
        <v>40</v>
      </c>
      <c r="N113" s="85">
        <v>53</v>
      </c>
      <c r="O113" s="85">
        <v>65</v>
      </c>
      <c r="P113" s="85" t="s">
        <v>13</v>
      </c>
      <c r="Q113" s="85">
        <v>0</v>
      </c>
      <c r="R113" s="85">
        <v>0</v>
      </c>
      <c r="S113" s="85" t="s">
        <v>308</v>
      </c>
      <c r="T113" s="86">
        <v>1808.4387487005465</v>
      </c>
      <c r="U113" s="86">
        <v>1971.1000000000001</v>
      </c>
      <c r="V113" s="86">
        <v>1971.1000000000001</v>
      </c>
      <c r="W113" s="86" t="s">
        <v>308</v>
      </c>
      <c r="X113" s="86">
        <v>2234.5412429262792</v>
      </c>
      <c r="Y113" s="86">
        <v>2420.1000000000004</v>
      </c>
      <c r="Z113" s="86">
        <v>2420.1000000000004</v>
      </c>
      <c r="AB113" s="85" t="s">
        <v>470</v>
      </c>
      <c r="AC113" s="85">
        <v>1.2500000000000001E-2</v>
      </c>
      <c r="AD113" s="85">
        <v>3.7499999999999999E-2</v>
      </c>
      <c r="AE113" s="85">
        <v>6.25E-2</v>
      </c>
      <c r="AF113" s="85">
        <v>0.57000000000000006</v>
      </c>
      <c r="AG113" s="85">
        <v>0.75</v>
      </c>
      <c r="AH113" s="85">
        <v>0.92999999999999994</v>
      </c>
      <c r="AI113" s="85">
        <v>46</v>
      </c>
      <c r="AJ113" s="85">
        <v>73</v>
      </c>
      <c r="AK113" s="85">
        <v>100</v>
      </c>
      <c r="AL113" s="87">
        <v>7.9725361529108998E-3</v>
      </c>
      <c r="AM113" s="87">
        <v>4.3018532285474358E-2</v>
      </c>
      <c r="AN113" s="87">
        <v>0.13720043753558483</v>
      </c>
      <c r="AO113" s="87">
        <v>6.1020227005698134E-3</v>
      </c>
      <c r="AP113" s="87">
        <v>4.3330666245436252E-2</v>
      </c>
      <c r="AQ113" s="87">
        <v>0.1370121030456323</v>
      </c>
      <c r="AR113" s="87">
        <v>5.467006464445325E-3</v>
      </c>
      <c r="AS113" s="87">
        <v>4.1639968310439729E-2</v>
      </c>
      <c r="AT113" s="87">
        <v>0.13753546702073896</v>
      </c>
      <c r="AV113" s="88">
        <v>5.3897224989202854</v>
      </c>
      <c r="AW113" s="88">
        <v>5.8227075265997073</v>
      </c>
      <c r="AX113" s="88">
        <v>6.3105412528726603</v>
      </c>
      <c r="AY113" s="88">
        <v>0.10063539962771492</v>
      </c>
      <c r="AZ113" s="88">
        <v>0.30787293677958244</v>
      </c>
      <c r="BA113" s="88">
        <v>1.1620375013013355</v>
      </c>
      <c r="BC113" s="19">
        <v>733.49182725174421</v>
      </c>
      <c r="BD113" s="19">
        <v>7156.7512981733889</v>
      </c>
      <c r="BE113" s="19">
        <v>145755.06200458648</v>
      </c>
      <c r="BG113" s="23">
        <v>7.0203739365401203</v>
      </c>
      <c r="BH113" s="23">
        <v>7.326907015603922</v>
      </c>
      <c r="BI113" s="23">
        <v>7.659838781891132</v>
      </c>
      <c r="BJ113" s="23">
        <v>0.63788613283063511</v>
      </c>
      <c r="BK113" s="23">
        <v>1.6870887350699735</v>
      </c>
      <c r="BL113" s="23">
        <v>5.3276486370630787</v>
      </c>
      <c r="BN113" s="19">
        <v>4655.6918597051617</v>
      </c>
      <c r="BO113" s="19">
        <v>38935.213354760359</v>
      </c>
      <c r="BP113" s="19">
        <v>873095.51250367798</v>
      </c>
      <c r="BR113" s="23">
        <v>7.1122585074657039</v>
      </c>
      <c r="BS113" s="23">
        <v>7.4160316693257586</v>
      </c>
      <c r="BT113" s="23">
        <v>7.7489634356129686</v>
      </c>
      <c r="BU113" s="23">
        <v>0.70906401661515195</v>
      </c>
      <c r="BV113" s="23">
        <v>1.8693914517831751</v>
      </c>
      <c r="BW113" s="23">
        <v>5.9033414266837161</v>
      </c>
      <c r="BY113" s="19">
        <v>5155.4993920821325</v>
      </c>
      <c r="BZ113" s="19">
        <v>44894.161250225836</v>
      </c>
      <c r="CA113" s="19">
        <v>1079812.4101509841</v>
      </c>
      <c r="CC113">
        <v>333</v>
      </c>
      <c r="CD113">
        <v>95</v>
      </c>
      <c r="CE113">
        <v>603</v>
      </c>
    </row>
    <row r="114" spans="1:83" x14ac:dyDescent="0.2">
      <c r="A114">
        <v>334</v>
      </c>
      <c r="B114">
        <v>96</v>
      </c>
      <c r="C114" s="13" t="s">
        <v>32</v>
      </c>
      <c r="D114" s="13" t="s">
        <v>32</v>
      </c>
      <c r="E114" s="13" t="s">
        <v>195</v>
      </c>
      <c r="F114" s="83" t="s">
        <v>42</v>
      </c>
      <c r="G114" s="84">
        <v>27.6</v>
      </c>
      <c r="H114" s="84">
        <v>211</v>
      </c>
      <c r="I114" s="85">
        <v>123.29999999999998</v>
      </c>
      <c r="J114" s="85">
        <v>177</v>
      </c>
      <c r="K114" s="85" t="s">
        <v>42</v>
      </c>
      <c r="L114" s="85" t="s">
        <v>42</v>
      </c>
      <c r="M114" s="85">
        <v>40</v>
      </c>
      <c r="N114" s="85">
        <v>53</v>
      </c>
      <c r="O114" s="85">
        <v>65</v>
      </c>
      <c r="P114" s="85" t="s">
        <v>9</v>
      </c>
      <c r="Q114" s="85">
        <v>0</v>
      </c>
      <c r="R114" s="85">
        <v>0</v>
      </c>
      <c r="S114" s="85" t="s">
        <v>211</v>
      </c>
      <c r="T114" s="86">
        <v>3665.3859182713709</v>
      </c>
      <c r="U114" s="86">
        <v>5345.3544641457493</v>
      </c>
      <c r="V114" s="86">
        <v>5403.5914327731907</v>
      </c>
      <c r="W114" s="86" t="s">
        <v>42</v>
      </c>
      <c r="X114" s="86" t="s">
        <v>42</v>
      </c>
      <c r="Y114" s="86" t="s">
        <v>42</v>
      </c>
      <c r="Z114" s="86" t="s">
        <v>42</v>
      </c>
      <c r="AB114" s="85" t="s">
        <v>471</v>
      </c>
      <c r="AC114" s="85">
        <v>0.25</v>
      </c>
      <c r="AD114" s="85">
        <v>0.35</v>
      </c>
      <c r="AE114" s="85">
        <v>0.45</v>
      </c>
      <c r="AF114" s="85">
        <v>0.57000000000000006</v>
      </c>
      <c r="AG114" s="85">
        <v>0.75</v>
      </c>
      <c r="AH114" s="85">
        <v>0.92999999999999994</v>
      </c>
      <c r="AI114" s="85">
        <v>46</v>
      </c>
      <c r="AJ114" s="85">
        <v>73</v>
      </c>
      <c r="AK114" s="85">
        <v>100</v>
      </c>
      <c r="AL114" s="87">
        <v>4.8145658203516156E-2</v>
      </c>
      <c r="AM114" s="87">
        <v>0.29186174723462022</v>
      </c>
      <c r="AN114" s="87">
        <v>0.92448302370993574</v>
      </c>
      <c r="AO114" s="87">
        <v>0.14039148269761881</v>
      </c>
      <c r="AP114" s="87">
        <v>0.4232241109791946</v>
      </c>
      <c r="AQ114" s="87">
        <v>0.96487518176110798</v>
      </c>
      <c r="AR114" s="87" t="s">
        <v>42</v>
      </c>
      <c r="AS114" s="87" t="s">
        <v>42</v>
      </c>
      <c r="AT114" s="87" t="s">
        <v>42</v>
      </c>
      <c r="AV114" s="88">
        <v>6.217099848778699</v>
      </c>
      <c r="AW114" s="88">
        <v>6.6500848764581209</v>
      </c>
      <c r="AX114" s="88">
        <v>7.1379186027310739</v>
      </c>
      <c r="AY114" s="88">
        <v>0.26087919787020414</v>
      </c>
      <c r="AZ114" s="88">
        <v>0.79810528988928575</v>
      </c>
      <c r="BA114" s="88">
        <v>3.0123735023267204</v>
      </c>
      <c r="BC114" s="19">
        <v>282.18927895863362</v>
      </c>
      <c r="BD114" s="19">
        <v>2734.5320085667449</v>
      </c>
      <c r="BE114" s="19">
        <v>62567.916084834455</v>
      </c>
      <c r="BG114" s="23">
        <v>7.3271898396628901</v>
      </c>
      <c r="BH114" s="23">
        <v>7.7601748673423119</v>
      </c>
      <c r="BI114" s="23">
        <v>8.0978126284009999</v>
      </c>
      <c r="BJ114" s="23">
        <v>0.90813646089729261</v>
      </c>
      <c r="BK114" s="23">
        <v>2.7782533804940228</v>
      </c>
      <c r="BL114" s="23">
        <v>8.8210949791924467</v>
      </c>
      <c r="BN114" s="19">
        <v>941.19579201917622</v>
      </c>
      <c r="BO114" s="19">
        <v>6564.4969377243242</v>
      </c>
      <c r="BP114" s="19">
        <v>62832.123499911308</v>
      </c>
      <c r="BR114" s="23" t="s">
        <v>42</v>
      </c>
      <c r="BS114" s="23" t="s">
        <v>42</v>
      </c>
      <c r="BT114" s="23" t="s">
        <v>42</v>
      </c>
      <c r="BU114" s="23" t="s">
        <v>42</v>
      </c>
      <c r="BV114" s="23" t="s">
        <v>42</v>
      </c>
      <c r="BW114" s="23" t="s">
        <v>42</v>
      </c>
      <c r="BY114" s="23" t="s">
        <v>42</v>
      </c>
      <c r="BZ114" s="23" t="s">
        <v>42</v>
      </c>
      <c r="CA114" s="23" t="s">
        <v>42</v>
      </c>
      <c r="CC114">
        <v>334</v>
      </c>
      <c r="CD114">
        <v>96</v>
      </c>
    </row>
    <row r="115" spans="1:83" x14ac:dyDescent="0.2">
      <c r="A115">
        <v>334</v>
      </c>
      <c r="B115">
        <v>97</v>
      </c>
      <c r="C115" s="13" t="s">
        <v>32</v>
      </c>
      <c r="D115" s="13" t="s">
        <v>32</v>
      </c>
      <c r="E115" s="13" t="s">
        <v>196</v>
      </c>
      <c r="F115" s="83" t="s">
        <v>42</v>
      </c>
      <c r="G115" s="84">
        <v>28.5</v>
      </c>
      <c r="H115" s="84">
        <v>171</v>
      </c>
      <c r="I115" s="85">
        <v>123.29999999999998</v>
      </c>
      <c r="J115" s="85">
        <v>177</v>
      </c>
      <c r="K115" s="85" t="s">
        <v>42</v>
      </c>
      <c r="L115" s="85" t="s">
        <v>42</v>
      </c>
      <c r="M115" s="85">
        <v>40</v>
      </c>
      <c r="N115" s="85">
        <v>53</v>
      </c>
      <c r="O115" s="85">
        <v>65</v>
      </c>
      <c r="P115" s="85" t="s">
        <v>9</v>
      </c>
      <c r="Q115" s="85">
        <v>0</v>
      </c>
      <c r="R115" s="85">
        <v>0</v>
      </c>
      <c r="S115" s="85" t="s">
        <v>211</v>
      </c>
      <c r="T115" s="86">
        <v>3665.3859182713709</v>
      </c>
      <c r="U115" s="86">
        <v>5345.3544641457493</v>
      </c>
      <c r="V115" s="86">
        <v>5403.5914327731907</v>
      </c>
      <c r="W115" s="86" t="s">
        <v>42</v>
      </c>
      <c r="X115" s="86" t="s">
        <v>42</v>
      </c>
      <c r="Y115" s="86" t="s">
        <v>42</v>
      </c>
      <c r="Z115" s="86" t="s">
        <v>42</v>
      </c>
      <c r="AB115" s="85" t="s">
        <v>471</v>
      </c>
      <c r="AC115" s="85">
        <v>0.25</v>
      </c>
      <c r="AD115" s="85">
        <v>0.35</v>
      </c>
      <c r="AE115" s="85">
        <v>0.45</v>
      </c>
      <c r="AF115" s="85">
        <v>0.57000000000000006</v>
      </c>
      <c r="AG115" s="85">
        <v>0.75</v>
      </c>
      <c r="AH115" s="85">
        <v>0.92999999999999994</v>
      </c>
      <c r="AI115" s="85">
        <v>46</v>
      </c>
      <c r="AJ115" s="85">
        <v>73</v>
      </c>
      <c r="AK115" s="85">
        <v>100</v>
      </c>
      <c r="AL115" s="87">
        <v>0.15237910458029597</v>
      </c>
      <c r="AM115" s="87">
        <v>0.41241680009060422</v>
      </c>
      <c r="AN115" s="87">
        <v>0.98061826543269914</v>
      </c>
      <c r="AO115" s="87">
        <v>0.14039148269761881</v>
      </c>
      <c r="AP115" s="87">
        <v>0.4232241109791946</v>
      </c>
      <c r="AQ115" s="87">
        <v>0.96487518176110798</v>
      </c>
      <c r="AR115" s="87" t="s">
        <v>42</v>
      </c>
      <c r="AS115" s="87" t="s">
        <v>42</v>
      </c>
      <c r="AT115" s="87" t="s">
        <v>42</v>
      </c>
      <c r="AV115" s="88">
        <v>6.2403261453508536</v>
      </c>
      <c r="AW115" s="88">
        <v>6.6733111730302754</v>
      </c>
      <c r="AX115" s="88">
        <v>7.1611448993032285</v>
      </c>
      <c r="AY115" s="88">
        <v>0.26794928268643958</v>
      </c>
      <c r="AZ115" s="88">
        <v>0.81973473423697518</v>
      </c>
      <c r="BA115" s="88">
        <v>3.0940118097636606</v>
      </c>
      <c r="BB115" s="2"/>
      <c r="BC115" s="19">
        <v>273.2452495856852</v>
      </c>
      <c r="BD115" s="19">
        <v>1987.6366192087396</v>
      </c>
      <c r="BE115" s="19">
        <v>20304.698720245302</v>
      </c>
      <c r="BG115" s="23">
        <v>7.3271898396628901</v>
      </c>
      <c r="BH115" s="23">
        <v>7.7601748673423119</v>
      </c>
      <c r="BI115" s="23">
        <v>8.0978126284009999</v>
      </c>
      <c r="BJ115" s="23">
        <v>0.90813646089729261</v>
      </c>
      <c r="BK115" s="23">
        <v>2.7782533804940228</v>
      </c>
      <c r="BL115" s="23">
        <v>8.8210949791924467</v>
      </c>
      <c r="BM115" s="2"/>
      <c r="BN115" s="19">
        <v>941.19579201917622</v>
      </c>
      <c r="BO115" s="19">
        <v>6564.4969377243242</v>
      </c>
      <c r="BP115" s="19">
        <v>62832.123499911308</v>
      </c>
      <c r="BR115" s="23" t="s">
        <v>42</v>
      </c>
      <c r="BS115" s="23" t="s">
        <v>42</v>
      </c>
      <c r="BT115" s="23" t="s">
        <v>42</v>
      </c>
      <c r="BU115" s="23" t="s">
        <v>42</v>
      </c>
      <c r="BV115" s="23" t="s">
        <v>42</v>
      </c>
      <c r="BW115" s="23" t="s">
        <v>42</v>
      </c>
      <c r="BX115" s="2"/>
      <c r="BY115" s="23" t="s">
        <v>42</v>
      </c>
      <c r="BZ115" s="23" t="s">
        <v>42</v>
      </c>
      <c r="CA115" s="23" t="s">
        <v>42</v>
      </c>
      <c r="CC115">
        <v>334</v>
      </c>
      <c r="CD115">
        <v>97</v>
      </c>
    </row>
    <row r="116" spans="1:83" x14ac:dyDescent="0.2">
      <c r="A116">
        <v>334</v>
      </c>
      <c r="B116">
        <v>98</v>
      </c>
      <c r="C116" s="13" t="s">
        <v>32</v>
      </c>
      <c r="D116" s="13" t="s">
        <v>32</v>
      </c>
      <c r="E116" s="13" t="s">
        <v>158</v>
      </c>
      <c r="F116" s="83" t="s">
        <v>42</v>
      </c>
      <c r="G116" s="84">
        <v>1.1000000000000001</v>
      </c>
      <c r="H116" s="84">
        <v>247</v>
      </c>
      <c r="I116" s="85">
        <v>123.29999999999998</v>
      </c>
      <c r="J116" s="85">
        <v>177</v>
      </c>
      <c r="K116" s="85" t="s">
        <v>42</v>
      </c>
      <c r="L116" s="85" t="s">
        <v>42</v>
      </c>
      <c r="M116" s="85">
        <v>40</v>
      </c>
      <c r="N116" s="85">
        <v>53</v>
      </c>
      <c r="O116" s="85">
        <v>65</v>
      </c>
      <c r="P116" s="85" t="s">
        <v>12</v>
      </c>
      <c r="Q116" s="85">
        <v>0</v>
      </c>
      <c r="R116" s="85">
        <v>0</v>
      </c>
      <c r="S116" s="85" t="s">
        <v>211</v>
      </c>
      <c r="T116" s="86">
        <v>3665.3859182713709</v>
      </c>
      <c r="U116" s="86">
        <v>5345.3544641457493</v>
      </c>
      <c r="V116" s="86">
        <v>5403.5914327731907</v>
      </c>
      <c r="W116" s="86" t="s">
        <v>42</v>
      </c>
      <c r="X116" s="86" t="s">
        <v>42</v>
      </c>
      <c r="Y116" s="86" t="s">
        <v>42</v>
      </c>
      <c r="Z116" s="86" t="s">
        <v>42</v>
      </c>
      <c r="AB116" s="85" t="s">
        <v>471</v>
      </c>
      <c r="AC116" s="85">
        <v>0.25</v>
      </c>
      <c r="AD116" s="85">
        <v>0.35</v>
      </c>
      <c r="AE116" s="85">
        <v>0.45</v>
      </c>
      <c r="AF116" s="85">
        <v>0.57000000000000006</v>
      </c>
      <c r="AG116" s="85">
        <v>0.75</v>
      </c>
      <c r="AH116" s="85">
        <v>0.92999999999999994</v>
      </c>
      <c r="AI116" s="85">
        <v>46</v>
      </c>
      <c r="AJ116" s="85">
        <v>73</v>
      </c>
      <c r="AK116" s="85">
        <v>100</v>
      </c>
      <c r="AL116" s="85" t="s">
        <v>42</v>
      </c>
      <c r="AM116" s="85" t="s">
        <v>42</v>
      </c>
      <c r="AN116" s="85" t="s">
        <v>42</v>
      </c>
      <c r="AO116" s="87">
        <v>0.14039148269761881</v>
      </c>
      <c r="AP116" s="87">
        <v>0.4232241109791946</v>
      </c>
      <c r="AQ116" s="87">
        <v>0.96487518176110798</v>
      </c>
      <c r="AR116" s="87" t="s">
        <v>42</v>
      </c>
      <c r="AS116" s="87" t="s">
        <v>42</v>
      </c>
      <c r="AT116" s="87" t="s">
        <v>42</v>
      </c>
      <c r="AV116" s="88" t="s">
        <v>42</v>
      </c>
      <c r="AW116" s="88" t="s">
        <v>42</v>
      </c>
      <c r="AX116" s="88" t="s">
        <v>42</v>
      </c>
      <c r="AY116" s="88" t="s">
        <v>42</v>
      </c>
      <c r="AZ116" s="88" t="s">
        <v>42</v>
      </c>
      <c r="BA116" s="88" t="s">
        <v>42</v>
      </c>
      <c r="BB116" s="2"/>
      <c r="BC116" s="19" t="s">
        <v>42</v>
      </c>
      <c r="BD116" s="19" t="s">
        <v>42</v>
      </c>
      <c r="BE116" s="19" t="s">
        <v>42</v>
      </c>
      <c r="BG116" s="23">
        <v>7.3271898396628901</v>
      </c>
      <c r="BH116" s="23">
        <v>7.7601748673423119</v>
      </c>
      <c r="BI116" s="23">
        <v>8.0978126284009999</v>
      </c>
      <c r="BJ116" s="23">
        <v>0.90813646089729261</v>
      </c>
      <c r="BK116" s="23">
        <v>2.7782533804940228</v>
      </c>
      <c r="BL116" s="23">
        <v>8.8210949791924467</v>
      </c>
      <c r="BN116" s="19">
        <v>941.19579201917622</v>
      </c>
      <c r="BO116" s="19">
        <v>6564.4969377243242</v>
      </c>
      <c r="BP116" s="19">
        <v>62832.123499911308</v>
      </c>
      <c r="BR116" s="23" t="s">
        <v>42</v>
      </c>
      <c r="BS116" s="23" t="s">
        <v>42</v>
      </c>
      <c r="BT116" s="23" t="s">
        <v>42</v>
      </c>
      <c r="BU116" s="23" t="s">
        <v>42</v>
      </c>
      <c r="BV116" s="23" t="s">
        <v>42</v>
      </c>
      <c r="BW116" s="23" t="s">
        <v>42</v>
      </c>
      <c r="BY116" s="23" t="s">
        <v>42</v>
      </c>
      <c r="BZ116" s="23" t="s">
        <v>42</v>
      </c>
      <c r="CA116" s="23" t="s">
        <v>42</v>
      </c>
      <c r="CC116">
        <v>334</v>
      </c>
      <c r="CD116">
        <v>98</v>
      </c>
    </row>
    <row r="117" spans="1:83" x14ac:dyDescent="0.2">
      <c r="A117">
        <v>334</v>
      </c>
      <c r="B117">
        <v>99</v>
      </c>
      <c r="C117" s="13" t="s">
        <v>32</v>
      </c>
      <c r="D117" s="13" t="s">
        <v>32</v>
      </c>
      <c r="E117" s="13" t="s">
        <v>60</v>
      </c>
      <c r="F117" s="83" t="s">
        <v>42</v>
      </c>
      <c r="G117" s="84">
        <v>16.399999999999999</v>
      </c>
      <c r="H117" s="84">
        <v>156</v>
      </c>
      <c r="I117" s="85">
        <v>123.29999999999998</v>
      </c>
      <c r="J117" s="85">
        <v>177</v>
      </c>
      <c r="K117" s="85" t="s">
        <v>42</v>
      </c>
      <c r="L117" s="85" t="s">
        <v>42</v>
      </c>
      <c r="M117" s="85">
        <v>40</v>
      </c>
      <c r="N117" s="85">
        <v>53</v>
      </c>
      <c r="O117" s="85">
        <v>65</v>
      </c>
      <c r="P117" s="85" t="s">
        <v>9</v>
      </c>
      <c r="Q117" s="85">
        <v>0</v>
      </c>
      <c r="R117" s="85">
        <v>0</v>
      </c>
      <c r="S117" s="85" t="s">
        <v>211</v>
      </c>
      <c r="T117" s="86">
        <v>3665.3859182713709</v>
      </c>
      <c r="U117" s="86">
        <v>5345.3544641457493</v>
      </c>
      <c r="V117" s="86">
        <v>5403.5914327731907</v>
      </c>
      <c r="W117" s="86" t="s">
        <v>42</v>
      </c>
      <c r="X117" s="86" t="s">
        <v>42</v>
      </c>
      <c r="Y117" s="86" t="s">
        <v>42</v>
      </c>
      <c r="Z117" s="86" t="s">
        <v>42</v>
      </c>
      <c r="AB117" s="85" t="s">
        <v>471</v>
      </c>
      <c r="AC117" s="85">
        <v>0.25</v>
      </c>
      <c r="AD117" s="85">
        <v>0.35</v>
      </c>
      <c r="AE117" s="85">
        <v>0.45</v>
      </c>
      <c r="AF117" s="85">
        <v>0.57000000000000006</v>
      </c>
      <c r="AG117" s="85">
        <v>0.75</v>
      </c>
      <c r="AH117" s="85">
        <v>0.92999999999999994</v>
      </c>
      <c r="AI117" s="85">
        <v>46</v>
      </c>
      <c r="AJ117" s="85">
        <v>73</v>
      </c>
      <c r="AK117" s="85">
        <v>100</v>
      </c>
      <c r="AL117" s="87">
        <v>0.15421801587397571</v>
      </c>
      <c r="AM117" s="87">
        <v>0.40987563199129384</v>
      </c>
      <c r="AN117" s="87">
        <v>0.98287414924051031</v>
      </c>
      <c r="AO117" s="87">
        <v>0.14039148269761881</v>
      </c>
      <c r="AP117" s="87">
        <v>0.4232241109791946</v>
      </c>
      <c r="AQ117" s="87">
        <v>0.96487518176110798</v>
      </c>
      <c r="AR117" s="87" t="s">
        <v>42</v>
      </c>
      <c r="AS117" s="87" t="s">
        <v>42</v>
      </c>
      <c r="AT117" s="87" t="s">
        <v>42</v>
      </c>
      <c r="AV117" s="88">
        <v>5.8403244587495022</v>
      </c>
      <c r="AW117" s="88">
        <v>6.2733094864289241</v>
      </c>
      <c r="AX117" s="88">
        <v>6.7611432127018771</v>
      </c>
      <c r="AY117" s="88">
        <v>0.16906423957475644</v>
      </c>
      <c r="AZ117" s="88">
        <v>0.51721664677478518</v>
      </c>
      <c r="BA117" s="88">
        <v>1.9521856845765007</v>
      </c>
      <c r="BC117" s="19">
        <v>172.01005815993463</v>
      </c>
      <c r="BD117" s="19">
        <v>1261.8867929815633</v>
      </c>
      <c r="BE117" s="19">
        <v>12658.609783773856</v>
      </c>
      <c r="BG117" s="23">
        <v>7.3271898396628901</v>
      </c>
      <c r="BH117" s="23">
        <v>7.7601748673423119</v>
      </c>
      <c r="BI117" s="23">
        <v>8.0978126284009999</v>
      </c>
      <c r="BJ117" s="23">
        <v>0.90813646089729261</v>
      </c>
      <c r="BK117" s="23">
        <v>2.7782533804940228</v>
      </c>
      <c r="BL117" s="23">
        <v>8.8210949791924467</v>
      </c>
      <c r="BN117" s="19">
        <v>941.19579201917622</v>
      </c>
      <c r="BO117" s="19">
        <v>6564.4969377243242</v>
      </c>
      <c r="BP117" s="19">
        <v>62832.123499911308</v>
      </c>
      <c r="BR117" s="23" t="s">
        <v>42</v>
      </c>
      <c r="BS117" s="23" t="s">
        <v>42</v>
      </c>
      <c r="BT117" s="23" t="s">
        <v>42</v>
      </c>
      <c r="BU117" s="23" t="s">
        <v>42</v>
      </c>
      <c r="BV117" s="23" t="s">
        <v>42</v>
      </c>
      <c r="BW117" s="23" t="s">
        <v>42</v>
      </c>
      <c r="BY117" s="23" t="s">
        <v>42</v>
      </c>
      <c r="BZ117" s="23" t="s">
        <v>42</v>
      </c>
      <c r="CA117" s="23" t="s">
        <v>42</v>
      </c>
      <c r="CC117">
        <v>334</v>
      </c>
      <c r="CD117">
        <v>99</v>
      </c>
    </row>
    <row r="118" spans="1:83" x14ac:dyDescent="0.2">
      <c r="A118">
        <v>334</v>
      </c>
      <c r="B118">
        <v>100</v>
      </c>
      <c r="C118" s="13" t="s">
        <v>32</v>
      </c>
      <c r="D118" s="13" t="s">
        <v>32</v>
      </c>
      <c r="E118" s="13" t="s">
        <v>159</v>
      </c>
      <c r="F118" s="83" t="s">
        <v>42</v>
      </c>
      <c r="G118" s="84">
        <v>2.8</v>
      </c>
      <c r="H118" s="84">
        <v>246</v>
      </c>
      <c r="I118" s="85">
        <v>123.29999999999998</v>
      </c>
      <c r="J118" s="85">
        <v>177</v>
      </c>
      <c r="K118" s="85" t="s">
        <v>42</v>
      </c>
      <c r="L118" s="85" t="s">
        <v>42</v>
      </c>
      <c r="M118" s="85">
        <v>40</v>
      </c>
      <c r="N118" s="85">
        <v>53</v>
      </c>
      <c r="O118" s="85">
        <v>65</v>
      </c>
      <c r="P118" s="85" t="s">
        <v>12</v>
      </c>
      <c r="Q118" s="85">
        <v>0</v>
      </c>
      <c r="R118" s="85">
        <v>0</v>
      </c>
      <c r="S118" s="85" t="s">
        <v>211</v>
      </c>
      <c r="T118" s="86">
        <v>3665.3859182713709</v>
      </c>
      <c r="U118" s="86">
        <v>5345.3544641457493</v>
      </c>
      <c r="V118" s="86">
        <v>5403.5914327731907</v>
      </c>
      <c r="W118" s="86" t="s">
        <v>42</v>
      </c>
      <c r="X118" s="86" t="s">
        <v>42</v>
      </c>
      <c r="Y118" s="86" t="s">
        <v>42</v>
      </c>
      <c r="Z118" s="86" t="s">
        <v>42</v>
      </c>
      <c r="AB118" s="85" t="s">
        <v>471</v>
      </c>
      <c r="AC118" s="85">
        <v>0.25</v>
      </c>
      <c r="AD118" s="85">
        <v>0.35</v>
      </c>
      <c r="AE118" s="85">
        <v>0.45</v>
      </c>
      <c r="AF118" s="85">
        <v>0.57000000000000006</v>
      </c>
      <c r="AG118" s="85">
        <v>0.75</v>
      </c>
      <c r="AH118" s="85">
        <v>0.92999999999999994</v>
      </c>
      <c r="AI118" s="85">
        <v>46</v>
      </c>
      <c r="AJ118" s="85">
        <v>73</v>
      </c>
      <c r="AK118" s="85">
        <v>100</v>
      </c>
      <c r="AL118" s="85" t="s">
        <v>42</v>
      </c>
      <c r="AM118" s="85" t="s">
        <v>42</v>
      </c>
      <c r="AN118" s="85" t="s">
        <v>42</v>
      </c>
      <c r="AO118" s="87">
        <v>0.14039148269761881</v>
      </c>
      <c r="AP118" s="87">
        <v>0.4232241109791946</v>
      </c>
      <c r="AQ118" s="87">
        <v>0.96487518176110798</v>
      </c>
      <c r="AR118" s="87" t="s">
        <v>42</v>
      </c>
      <c r="AS118" s="87" t="s">
        <v>42</v>
      </c>
      <c r="AT118" s="87" t="s">
        <v>42</v>
      </c>
      <c r="AV118" s="88" t="s">
        <v>42</v>
      </c>
      <c r="AW118" s="88" t="s">
        <v>42</v>
      </c>
      <c r="AX118" s="88" t="s">
        <v>42</v>
      </c>
      <c r="AY118" s="88" t="s">
        <v>42</v>
      </c>
      <c r="AZ118" s="88" t="s">
        <v>42</v>
      </c>
      <c r="BA118" s="88" t="s">
        <v>42</v>
      </c>
      <c r="BB118" s="2"/>
      <c r="BC118" s="19" t="s">
        <v>42</v>
      </c>
      <c r="BD118" s="19" t="s">
        <v>42</v>
      </c>
      <c r="BE118" s="19" t="s">
        <v>42</v>
      </c>
      <c r="BG118" s="23">
        <v>7.3271898396628901</v>
      </c>
      <c r="BH118" s="23">
        <v>7.7601748673423119</v>
      </c>
      <c r="BI118" s="23">
        <v>8.0978126284009999</v>
      </c>
      <c r="BJ118" s="23">
        <v>0.90813646089729261</v>
      </c>
      <c r="BK118" s="23">
        <v>2.7782533804940228</v>
      </c>
      <c r="BL118" s="23">
        <v>8.8210949791924467</v>
      </c>
      <c r="BN118" s="19">
        <v>941.19579201917622</v>
      </c>
      <c r="BO118" s="19">
        <v>6564.4969377243242</v>
      </c>
      <c r="BP118" s="19">
        <v>62832.123499911308</v>
      </c>
      <c r="BR118" s="23" t="s">
        <v>42</v>
      </c>
      <c r="BS118" s="23" t="s">
        <v>42</v>
      </c>
      <c r="BT118" s="23" t="s">
        <v>42</v>
      </c>
      <c r="BU118" s="23" t="s">
        <v>42</v>
      </c>
      <c r="BV118" s="23" t="s">
        <v>42</v>
      </c>
      <c r="BW118" s="23" t="s">
        <v>42</v>
      </c>
      <c r="BY118" s="23" t="s">
        <v>42</v>
      </c>
      <c r="BZ118" s="23" t="s">
        <v>42</v>
      </c>
      <c r="CA118" s="23" t="s">
        <v>42</v>
      </c>
      <c r="CC118">
        <v>334</v>
      </c>
      <c r="CD118">
        <v>100</v>
      </c>
    </row>
    <row r="119" spans="1:83" x14ac:dyDescent="0.2">
      <c r="A119">
        <v>334</v>
      </c>
      <c r="B119">
        <v>101</v>
      </c>
      <c r="C119" s="13" t="s">
        <v>32</v>
      </c>
      <c r="D119" s="13" t="s">
        <v>32</v>
      </c>
      <c r="E119" s="13" t="s">
        <v>160</v>
      </c>
      <c r="F119" s="83" t="s">
        <v>42</v>
      </c>
      <c r="G119" s="84">
        <v>3.6</v>
      </c>
      <c r="H119" s="84">
        <v>146</v>
      </c>
      <c r="I119" s="85">
        <v>123.29999999999998</v>
      </c>
      <c r="J119" s="85">
        <v>177</v>
      </c>
      <c r="K119" s="85" t="s">
        <v>42</v>
      </c>
      <c r="L119" s="85" t="s">
        <v>42</v>
      </c>
      <c r="M119" s="85">
        <v>40</v>
      </c>
      <c r="N119" s="85">
        <v>53</v>
      </c>
      <c r="O119" s="85">
        <v>65</v>
      </c>
      <c r="P119" s="85" t="s">
        <v>9</v>
      </c>
      <c r="Q119" s="85">
        <v>0</v>
      </c>
      <c r="R119" s="85">
        <v>0</v>
      </c>
      <c r="S119" s="85" t="s">
        <v>211</v>
      </c>
      <c r="T119" s="86">
        <v>3665.3859182713709</v>
      </c>
      <c r="U119" s="86">
        <v>5345.3544641457493</v>
      </c>
      <c r="V119" s="86">
        <v>5403.5914327731907</v>
      </c>
      <c r="W119" s="86" t="s">
        <v>42</v>
      </c>
      <c r="X119" s="86" t="s">
        <v>42</v>
      </c>
      <c r="Y119" s="86" t="s">
        <v>42</v>
      </c>
      <c r="Z119" s="86" t="s">
        <v>42</v>
      </c>
      <c r="AB119" s="85" t="s">
        <v>471</v>
      </c>
      <c r="AC119" s="85">
        <v>0.25</v>
      </c>
      <c r="AD119" s="85">
        <v>0.35</v>
      </c>
      <c r="AE119" s="85">
        <v>0.45</v>
      </c>
      <c r="AF119" s="85">
        <v>0.57000000000000006</v>
      </c>
      <c r="AG119" s="85">
        <v>0.75</v>
      </c>
      <c r="AH119" s="85">
        <v>0.92999999999999994</v>
      </c>
      <c r="AI119" s="85">
        <v>46</v>
      </c>
      <c r="AJ119" s="85">
        <v>73</v>
      </c>
      <c r="AK119" s="85">
        <v>100</v>
      </c>
      <c r="AL119" s="85" t="s">
        <v>42</v>
      </c>
      <c r="AM119" s="85" t="s">
        <v>42</v>
      </c>
      <c r="AN119" s="85" t="s">
        <v>42</v>
      </c>
      <c r="AO119" s="87">
        <v>0.14039148269761881</v>
      </c>
      <c r="AP119" s="87">
        <v>0.4232241109791946</v>
      </c>
      <c r="AQ119" s="87">
        <v>0.96487518176110798</v>
      </c>
      <c r="AR119" s="87" t="s">
        <v>42</v>
      </c>
      <c r="AS119" s="87" t="s">
        <v>42</v>
      </c>
      <c r="AT119" s="87" t="s">
        <v>42</v>
      </c>
      <c r="AV119" s="88" t="s">
        <v>42</v>
      </c>
      <c r="AW119" s="88" t="s">
        <v>42</v>
      </c>
      <c r="AX119" s="88" t="s">
        <v>42</v>
      </c>
      <c r="AY119" s="88" t="s">
        <v>42</v>
      </c>
      <c r="AZ119" s="88" t="s">
        <v>42</v>
      </c>
      <c r="BA119" s="88" t="s">
        <v>42</v>
      </c>
      <c r="BB119" s="2"/>
      <c r="BC119" s="19" t="s">
        <v>42</v>
      </c>
      <c r="BD119" s="19" t="s">
        <v>42</v>
      </c>
      <c r="BE119" s="19" t="s">
        <v>42</v>
      </c>
      <c r="BG119" s="23">
        <v>7.3271898396628901</v>
      </c>
      <c r="BH119" s="23">
        <v>7.7601748673423119</v>
      </c>
      <c r="BI119" s="23">
        <v>8.0978126284009999</v>
      </c>
      <c r="BJ119" s="23">
        <v>0.90813646089729261</v>
      </c>
      <c r="BK119" s="23">
        <v>2.7782533804940228</v>
      </c>
      <c r="BL119" s="23">
        <v>8.8210949791924467</v>
      </c>
      <c r="BM119" s="2"/>
      <c r="BN119" s="19">
        <v>941.19579201917622</v>
      </c>
      <c r="BO119" s="19">
        <v>6564.4969377243242</v>
      </c>
      <c r="BP119" s="19">
        <v>62832.123499911308</v>
      </c>
      <c r="BR119" s="23" t="s">
        <v>42</v>
      </c>
      <c r="BS119" s="23" t="s">
        <v>42</v>
      </c>
      <c r="BT119" s="23" t="s">
        <v>42</v>
      </c>
      <c r="BU119" s="23" t="s">
        <v>42</v>
      </c>
      <c r="BV119" s="23" t="s">
        <v>42</v>
      </c>
      <c r="BW119" s="23" t="s">
        <v>42</v>
      </c>
      <c r="BX119" s="2"/>
      <c r="BY119" s="23" t="s">
        <v>42</v>
      </c>
      <c r="BZ119" s="23" t="s">
        <v>42</v>
      </c>
      <c r="CA119" s="23" t="s">
        <v>42</v>
      </c>
      <c r="CC119">
        <v>334</v>
      </c>
      <c r="CD119">
        <v>101</v>
      </c>
    </row>
    <row r="120" spans="1:83" x14ac:dyDescent="0.2">
      <c r="A120">
        <v>334</v>
      </c>
      <c r="B120">
        <v>102</v>
      </c>
      <c r="C120" s="13" t="s">
        <v>32</v>
      </c>
      <c r="D120" s="13" t="s">
        <v>32</v>
      </c>
      <c r="E120" s="13" t="s">
        <v>61</v>
      </c>
      <c r="F120" s="83" t="s">
        <v>42</v>
      </c>
      <c r="G120" s="84">
        <v>12.7</v>
      </c>
      <c r="H120" s="84">
        <v>156</v>
      </c>
      <c r="I120" s="85">
        <v>123.29999999999998</v>
      </c>
      <c r="J120" s="85">
        <v>177</v>
      </c>
      <c r="K120" s="85" t="s">
        <v>42</v>
      </c>
      <c r="L120" s="85" t="s">
        <v>42</v>
      </c>
      <c r="M120" s="85">
        <v>40</v>
      </c>
      <c r="N120" s="85">
        <v>53</v>
      </c>
      <c r="O120" s="85">
        <v>65</v>
      </c>
      <c r="P120" s="85" t="s">
        <v>9</v>
      </c>
      <c r="Q120" s="85">
        <v>0</v>
      </c>
      <c r="R120" s="85">
        <v>0</v>
      </c>
      <c r="S120" s="85" t="s">
        <v>211</v>
      </c>
      <c r="T120" s="86">
        <v>3665.3859182713709</v>
      </c>
      <c r="U120" s="86">
        <v>5345.3544641457493</v>
      </c>
      <c r="V120" s="86">
        <v>5403.5914327731907</v>
      </c>
      <c r="W120" s="86" t="s">
        <v>42</v>
      </c>
      <c r="X120" s="86" t="s">
        <v>42</v>
      </c>
      <c r="Y120" s="86" t="s">
        <v>42</v>
      </c>
      <c r="Z120" s="86" t="s">
        <v>42</v>
      </c>
      <c r="AB120" s="85" t="s">
        <v>471</v>
      </c>
      <c r="AC120" s="85">
        <v>0.25</v>
      </c>
      <c r="AD120" s="85">
        <v>0.35</v>
      </c>
      <c r="AE120" s="85">
        <v>0.45</v>
      </c>
      <c r="AF120" s="85">
        <v>0.57000000000000006</v>
      </c>
      <c r="AG120" s="85">
        <v>0.75</v>
      </c>
      <c r="AH120" s="85">
        <v>0.92999999999999994</v>
      </c>
      <c r="AI120" s="85">
        <v>46</v>
      </c>
      <c r="AJ120" s="85">
        <v>73</v>
      </c>
      <c r="AK120" s="85">
        <v>100</v>
      </c>
      <c r="AL120" s="87">
        <v>0.15421801587397571</v>
      </c>
      <c r="AM120" s="87">
        <v>0.40987563199129384</v>
      </c>
      <c r="AN120" s="87">
        <v>0.98287414924051031</v>
      </c>
      <c r="AO120" s="87">
        <v>0.14039148269761881</v>
      </c>
      <c r="AP120" s="87">
        <v>0.4232241109791946</v>
      </c>
      <c r="AQ120" s="87">
        <v>0.96487518176110798</v>
      </c>
      <c r="AR120" s="87" t="s">
        <v>42</v>
      </c>
      <c r="AS120" s="87" t="s">
        <v>42</v>
      </c>
      <c r="AT120" s="87" t="s">
        <v>42</v>
      </c>
      <c r="AV120" s="88">
        <v>5.6552575802632674</v>
      </c>
      <c r="AW120" s="88">
        <v>6.0882426079426892</v>
      </c>
      <c r="AX120" s="88">
        <v>6.5760763342156423</v>
      </c>
      <c r="AY120" s="88">
        <v>0.13662126939914301</v>
      </c>
      <c r="AZ120" s="88">
        <v>0.41796417157451987</v>
      </c>
      <c r="BA120" s="88">
        <v>1.5775665332924738</v>
      </c>
      <c r="BC120" s="19">
        <v>139.00179336765896</v>
      </c>
      <c r="BD120" s="19">
        <v>1019.7341314093975</v>
      </c>
      <c r="BE120" s="19">
        <v>10229.456813798161</v>
      </c>
      <c r="BG120" s="23">
        <v>7.3271898396628901</v>
      </c>
      <c r="BH120" s="23">
        <v>7.7601748673423119</v>
      </c>
      <c r="BI120" s="23">
        <v>8.0978126284009999</v>
      </c>
      <c r="BJ120" s="23">
        <v>0.90813646089729261</v>
      </c>
      <c r="BK120" s="23">
        <v>2.7782533804940228</v>
      </c>
      <c r="BL120" s="23">
        <v>8.8210949791924467</v>
      </c>
      <c r="BN120" s="19">
        <v>941.19579201917622</v>
      </c>
      <c r="BO120" s="19">
        <v>6564.4969377243242</v>
      </c>
      <c r="BP120" s="19">
        <v>62832.123499911308</v>
      </c>
      <c r="BR120" s="23" t="s">
        <v>42</v>
      </c>
      <c r="BS120" s="23" t="s">
        <v>42</v>
      </c>
      <c r="BT120" s="23" t="s">
        <v>42</v>
      </c>
      <c r="BU120" s="23" t="s">
        <v>42</v>
      </c>
      <c r="BV120" s="23" t="s">
        <v>42</v>
      </c>
      <c r="BW120" s="23" t="s">
        <v>42</v>
      </c>
      <c r="BY120" s="23" t="s">
        <v>42</v>
      </c>
      <c r="BZ120" s="23" t="s">
        <v>42</v>
      </c>
      <c r="CA120" s="23" t="s">
        <v>42</v>
      </c>
      <c r="CC120">
        <v>334</v>
      </c>
      <c r="CD120">
        <v>102</v>
      </c>
    </row>
    <row r="121" spans="1:83" x14ac:dyDescent="0.2">
      <c r="A121">
        <v>334</v>
      </c>
      <c r="B121">
        <v>103</v>
      </c>
      <c r="C121" s="13" t="s">
        <v>32</v>
      </c>
      <c r="D121" s="13" t="s">
        <v>32</v>
      </c>
      <c r="E121" s="13" t="s">
        <v>62</v>
      </c>
      <c r="F121" s="83" t="s">
        <v>42</v>
      </c>
      <c r="G121" s="84">
        <v>8.6999999999999993</v>
      </c>
      <c r="H121" s="84">
        <v>146</v>
      </c>
      <c r="I121" s="85">
        <v>123.29999999999998</v>
      </c>
      <c r="J121" s="85">
        <v>177</v>
      </c>
      <c r="K121" s="85" t="s">
        <v>42</v>
      </c>
      <c r="L121" s="85" t="s">
        <v>42</v>
      </c>
      <c r="M121" s="85">
        <v>40</v>
      </c>
      <c r="N121" s="85">
        <v>53</v>
      </c>
      <c r="O121" s="85">
        <v>65</v>
      </c>
      <c r="P121" s="85" t="s">
        <v>9</v>
      </c>
      <c r="Q121" s="85">
        <v>0</v>
      </c>
      <c r="R121" s="85">
        <v>0</v>
      </c>
      <c r="S121" s="85" t="s">
        <v>211</v>
      </c>
      <c r="T121" s="86">
        <v>3665.3859182713709</v>
      </c>
      <c r="U121" s="86">
        <v>5345.3544641457493</v>
      </c>
      <c r="V121" s="86">
        <v>5403.5914327731907</v>
      </c>
      <c r="W121" s="86" t="s">
        <v>42</v>
      </c>
      <c r="X121" s="86" t="s">
        <v>42</v>
      </c>
      <c r="Y121" s="86" t="s">
        <v>42</v>
      </c>
      <c r="Z121" s="86" t="s">
        <v>42</v>
      </c>
      <c r="AB121" s="85" t="s">
        <v>471</v>
      </c>
      <c r="AC121" s="85">
        <v>0.25</v>
      </c>
      <c r="AD121" s="85">
        <v>0.35</v>
      </c>
      <c r="AE121" s="85">
        <v>0.45</v>
      </c>
      <c r="AF121" s="85">
        <v>0.57000000000000006</v>
      </c>
      <c r="AG121" s="85">
        <v>0.75</v>
      </c>
      <c r="AH121" s="85">
        <v>0.92999999999999994</v>
      </c>
      <c r="AI121" s="85">
        <v>46</v>
      </c>
      <c r="AJ121" s="85">
        <v>73</v>
      </c>
      <c r="AK121" s="85">
        <v>100</v>
      </c>
      <c r="AL121" s="87">
        <v>0.13381197718881846</v>
      </c>
      <c r="AM121" s="87">
        <v>0.41712152203431146</v>
      </c>
      <c r="AN121" s="87">
        <v>0.97521115850048579</v>
      </c>
      <c r="AO121" s="87">
        <v>0.14039148269761881</v>
      </c>
      <c r="AP121" s="87">
        <v>0.4232241109791946</v>
      </c>
      <c r="AQ121" s="87">
        <v>0.96487518176110798</v>
      </c>
      <c r="AR121" s="87" t="s">
        <v>42</v>
      </c>
      <c r="AS121" s="87" t="s">
        <v>42</v>
      </c>
      <c r="AT121" s="87" t="s">
        <v>42</v>
      </c>
      <c r="AV121" s="88">
        <v>5.3814501330343676</v>
      </c>
      <c r="AW121" s="88">
        <v>5.8144351607137894</v>
      </c>
      <c r="AX121" s="88">
        <v>6.3022688869867425</v>
      </c>
      <c r="AY121" s="88">
        <v>9.9681506426428895E-2</v>
      </c>
      <c r="AZ121" s="88">
        <v>0.30495470023120658</v>
      </c>
      <c r="BA121" s="88">
        <v>1.1510228913705227</v>
      </c>
      <c r="BC121" s="19">
        <v>102.21530543159719</v>
      </c>
      <c r="BD121" s="19">
        <v>731.09318057705423</v>
      </c>
      <c r="BE121" s="19">
        <v>8601.7927210383077</v>
      </c>
      <c r="BG121" s="23">
        <v>7.3271898396628901</v>
      </c>
      <c r="BH121" s="23">
        <v>7.7601748673423119</v>
      </c>
      <c r="BI121" s="23">
        <v>8.0978126284009999</v>
      </c>
      <c r="BJ121" s="23">
        <v>0.90813646089729261</v>
      </c>
      <c r="BK121" s="23">
        <v>2.7782533804940228</v>
      </c>
      <c r="BL121" s="23">
        <v>8.8210949791924467</v>
      </c>
      <c r="BN121" s="19">
        <v>941.19579201917622</v>
      </c>
      <c r="BO121" s="19">
        <v>6564.4969377243242</v>
      </c>
      <c r="BP121" s="19">
        <v>62832.123499911308</v>
      </c>
      <c r="BR121" s="23" t="s">
        <v>42</v>
      </c>
      <c r="BS121" s="23" t="s">
        <v>42</v>
      </c>
      <c r="BT121" s="23" t="s">
        <v>42</v>
      </c>
      <c r="BU121" s="23" t="s">
        <v>42</v>
      </c>
      <c r="BV121" s="23" t="s">
        <v>42</v>
      </c>
      <c r="BW121" s="23" t="s">
        <v>42</v>
      </c>
      <c r="BY121" s="23" t="s">
        <v>42</v>
      </c>
      <c r="BZ121" s="23" t="s">
        <v>42</v>
      </c>
      <c r="CA121" s="23" t="s">
        <v>42</v>
      </c>
      <c r="CC121">
        <v>334</v>
      </c>
      <c r="CD121">
        <v>103</v>
      </c>
    </row>
    <row r="122" spans="1:83" x14ac:dyDescent="0.2">
      <c r="A122">
        <v>334</v>
      </c>
      <c r="B122">
        <v>104</v>
      </c>
      <c r="C122" s="13" t="s">
        <v>32</v>
      </c>
      <c r="D122" s="13" t="s">
        <v>32</v>
      </c>
      <c r="E122" s="13" t="s">
        <v>63</v>
      </c>
      <c r="F122" s="83" t="s">
        <v>42</v>
      </c>
      <c r="G122" s="84">
        <v>21.9</v>
      </c>
      <c r="H122" s="84">
        <v>176</v>
      </c>
      <c r="I122" s="85">
        <v>123.29999999999998</v>
      </c>
      <c r="J122" s="85">
        <v>177</v>
      </c>
      <c r="K122" s="85" t="s">
        <v>42</v>
      </c>
      <c r="L122" s="85" t="s">
        <v>42</v>
      </c>
      <c r="M122" s="85">
        <v>40</v>
      </c>
      <c r="N122" s="85">
        <v>53</v>
      </c>
      <c r="O122" s="85">
        <v>65</v>
      </c>
      <c r="P122" s="85" t="s">
        <v>9</v>
      </c>
      <c r="Q122" s="85">
        <v>0</v>
      </c>
      <c r="R122" s="85">
        <v>0</v>
      </c>
      <c r="S122" s="85" t="s">
        <v>211</v>
      </c>
      <c r="T122" s="86">
        <v>3665.3859182713709</v>
      </c>
      <c r="U122" s="86">
        <v>5345.3544641457493</v>
      </c>
      <c r="V122" s="86">
        <v>5403.5914327731907</v>
      </c>
      <c r="W122" s="86" t="s">
        <v>42</v>
      </c>
      <c r="X122" s="86" t="s">
        <v>42</v>
      </c>
      <c r="Y122" s="86" t="s">
        <v>42</v>
      </c>
      <c r="Z122" s="86" t="s">
        <v>42</v>
      </c>
      <c r="AB122" s="85" t="s">
        <v>471</v>
      </c>
      <c r="AC122" s="85">
        <v>0.25</v>
      </c>
      <c r="AD122" s="85">
        <v>0.35</v>
      </c>
      <c r="AE122" s="85">
        <v>0.45</v>
      </c>
      <c r="AF122" s="85">
        <v>0.57000000000000006</v>
      </c>
      <c r="AG122" s="85">
        <v>0.75</v>
      </c>
      <c r="AH122" s="85">
        <v>0.92999999999999994</v>
      </c>
      <c r="AI122" s="85">
        <v>46</v>
      </c>
      <c r="AJ122" s="85">
        <v>73</v>
      </c>
      <c r="AK122" s="85">
        <v>100</v>
      </c>
      <c r="AL122" s="87">
        <v>0.14250000000000002</v>
      </c>
      <c r="AM122" s="87">
        <v>0.4232241109791946</v>
      </c>
      <c r="AN122" s="87">
        <v>0.96487518176110809</v>
      </c>
      <c r="AO122" s="87">
        <v>0.14039148269761881</v>
      </c>
      <c r="AP122" s="87">
        <v>0.4232241109791946</v>
      </c>
      <c r="AQ122" s="87">
        <v>0.96487518176110798</v>
      </c>
      <c r="AR122" s="87" t="s">
        <v>42</v>
      </c>
      <c r="AS122" s="87" t="s">
        <v>42</v>
      </c>
      <c r="AT122" s="87" t="s">
        <v>42</v>
      </c>
      <c r="AV122" s="88">
        <v>6.0496582367368674</v>
      </c>
      <c r="AW122" s="88">
        <v>6.4826432644162892</v>
      </c>
      <c r="AX122" s="88">
        <v>6.9704769906892423</v>
      </c>
      <c r="AY122" s="88">
        <v>0.21513875172850533</v>
      </c>
      <c r="AZ122" s="88">
        <v>0.65817197084501211</v>
      </c>
      <c r="BA122" s="88">
        <v>2.4842083244714575</v>
      </c>
      <c r="BC122" s="19">
        <v>222.97055183431092</v>
      </c>
      <c r="BD122" s="19">
        <v>1555.1381733007347</v>
      </c>
      <c r="BE122" s="19">
        <v>17433.040873483911</v>
      </c>
      <c r="BG122" s="23">
        <v>7.3271898396628901</v>
      </c>
      <c r="BH122" s="23">
        <v>7.7601748673423119</v>
      </c>
      <c r="BI122" s="23">
        <v>8.0978126284009999</v>
      </c>
      <c r="BJ122" s="23">
        <v>0.90813646089729261</v>
      </c>
      <c r="BK122" s="23">
        <v>2.7782533804940228</v>
      </c>
      <c r="BL122" s="23">
        <v>8.8210949791924467</v>
      </c>
      <c r="BN122" s="19">
        <v>941.19579201917622</v>
      </c>
      <c r="BO122" s="19">
        <v>6564.4969377243242</v>
      </c>
      <c r="BP122" s="19">
        <v>62832.123499911308</v>
      </c>
      <c r="BR122" s="23" t="s">
        <v>42</v>
      </c>
      <c r="BS122" s="23" t="s">
        <v>42</v>
      </c>
      <c r="BT122" s="23" t="s">
        <v>42</v>
      </c>
      <c r="BU122" s="23" t="s">
        <v>42</v>
      </c>
      <c r="BV122" s="23" t="s">
        <v>42</v>
      </c>
      <c r="BW122" s="23" t="s">
        <v>42</v>
      </c>
      <c r="BY122" s="23" t="s">
        <v>42</v>
      </c>
      <c r="BZ122" s="23" t="s">
        <v>42</v>
      </c>
      <c r="CA122" s="23" t="s">
        <v>42</v>
      </c>
      <c r="CC122">
        <v>334</v>
      </c>
      <c r="CD122">
        <v>104</v>
      </c>
    </row>
    <row r="123" spans="1:83" x14ac:dyDescent="0.2">
      <c r="A123">
        <v>335</v>
      </c>
      <c r="B123" t="s">
        <v>416</v>
      </c>
      <c r="C123" s="50" t="s">
        <v>137</v>
      </c>
      <c r="D123" s="50" t="s">
        <v>104</v>
      </c>
      <c r="E123" s="50" t="s">
        <v>42</v>
      </c>
      <c r="F123" s="50" t="s">
        <v>42</v>
      </c>
      <c r="G123" s="51" t="s">
        <v>42</v>
      </c>
      <c r="H123" s="51" t="s">
        <v>42</v>
      </c>
      <c r="I123" s="52">
        <v>17.399999999999999</v>
      </c>
      <c r="J123" s="52">
        <v>351</v>
      </c>
      <c r="K123" s="52" t="s">
        <v>42</v>
      </c>
      <c r="L123" s="52" t="s">
        <v>42</v>
      </c>
      <c r="M123" s="52">
        <v>40</v>
      </c>
      <c r="N123" s="52">
        <v>53</v>
      </c>
      <c r="O123" s="52">
        <v>65</v>
      </c>
      <c r="P123" s="52" t="s">
        <v>13</v>
      </c>
      <c r="Q123" s="52">
        <v>0</v>
      </c>
      <c r="R123" s="52">
        <v>0</v>
      </c>
      <c r="S123" s="52" t="s">
        <v>308</v>
      </c>
      <c r="T123" s="48">
        <v>140.20494343086025</v>
      </c>
      <c r="U123" s="48">
        <v>184</v>
      </c>
      <c r="V123" s="48">
        <v>184</v>
      </c>
      <c r="W123" s="48" t="s">
        <v>42</v>
      </c>
      <c r="X123" s="48" t="s">
        <v>42</v>
      </c>
      <c r="Y123" s="48" t="s">
        <v>42</v>
      </c>
      <c r="Z123" s="48" t="s">
        <v>42</v>
      </c>
      <c r="AB123" s="52" t="s">
        <v>470</v>
      </c>
      <c r="AC123" s="52">
        <v>6.6666666666666671E-3</v>
      </c>
      <c r="AD123" s="52">
        <v>0.02</v>
      </c>
      <c r="AE123" s="52">
        <v>3.3333333333333333E-2</v>
      </c>
      <c r="AF123" s="52">
        <v>0.69000000000000006</v>
      </c>
      <c r="AG123" s="52">
        <v>0.91</v>
      </c>
      <c r="AH123" s="52">
        <v>1.1300000000000001</v>
      </c>
      <c r="AI123" s="52">
        <v>52</v>
      </c>
      <c r="AJ123" s="52">
        <v>74</v>
      </c>
      <c r="AK123" s="52">
        <v>96</v>
      </c>
      <c r="AL123" s="52" t="s">
        <v>42</v>
      </c>
      <c r="AM123" s="52" t="s">
        <v>42</v>
      </c>
      <c r="AN123" s="52" t="s">
        <v>42</v>
      </c>
      <c r="AO123" s="53">
        <v>5.2519807290297791E-3</v>
      </c>
      <c r="AP123" s="53">
        <v>2.9211384498820502E-2</v>
      </c>
      <c r="AQ123" s="53">
        <v>8.8462587705438217E-2</v>
      </c>
      <c r="AR123" s="53" t="s">
        <v>42</v>
      </c>
      <c r="AS123" s="53" t="s">
        <v>42</v>
      </c>
      <c r="AT123" s="53" t="s">
        <v>42</v>
      </c>
      <c r="AV123" s="54" t="s">
        <v>42</v>
      </c>
      <c r="AW123" s="54" t="s">
        <v>42</v>
      </c>
      <c r="AX123" s="54" t="s">
        <v>42</v>
      </c>
      <c r="AY123" s="54" t="s">
        <v>42</v>
      </c>
      <c r="AZ123" s="54" t="s">
        <v>42</v>
      </c>
      <c r="BA123" s="54" t="s">
        <v>42</v>
      </c>
      <c r="BC123" s="55" t="s">
        <v>42</v>
      </c>
      <c r="BD123" s="55" t="s">
        <v>42</v>
      </c>
      <c r="BE123" s="55" t="s">
        <v>42</v>
      </c>
      <c r="BG123" s="54">
        <v>5.9098334591410024</v>
      </c>
      <c r="BH123" s="54">
        <v>6.2970161806726681</v>
      </c>
      <c r="BI123" s="54">
        <v>6.6299479469598781</v>
      </c>
      <c r="BJ123" s="54">
        <v>0.17761225259520674</v>
      </c>
      <c r="BK123" s="54">
        <v>0.51545707871752056</v>
      </c>
      <c r="BL123" s="54">
        <v>1.6277591959500661</v>
      </c>
      <c r="BN123" s="55">
        <v>2007.7668673520848</v>
      </c>
      <c r="BO123" s="55">
        <v>17645.759951512522</v>
      </c>
      <c r="BP123" s="55">
        <v>309932.43881356914</v>
      </c>
      <c r="BR123" s="54" t="s">
        <v>42</v>
      </c>
      <c r="BS123" s="54" t="s">
        <v>42</v>
      </c>
      <c r="BT123" s="54" t="s">
        <v>42</v>
      </c>
      <c r="BU123" s="54" t="s">
        <v>42</v>
      </c>
      <c r="BV123" s="54" t="s">
        <v>42</v>
      </c>
      <c r="BW123" s="54" t="s">
        <v>42</v>
      </c>
      <c r="BY123" s="54" t="s">
        <v>42</v>
      </c>
      <c r="BZ123" s="54" t="s">
        <v>42</v>
      </c>
      <c r="CA123" s="54" t="s">
        <v>42</v>
      </c>
      <c r="CC123">
        <v>335</v>
      </c>
      <c r="CD123" t="s">
        <v>416</v>
      </c>
    </row>
    <row r="124" spans="1:83" x14ac:dyDescent="0.2">
      <c r="A124">
        <v>336</v>
      </c>
      <c r="B124" t="s">
        <v>416</v>
      </c>
      <c r="C124" s="50" t="s">
        <v>137</v>
      </c>
      <c r="D124" s="50" t="s">
        <v>439</v>
      </c>
      <c r="E124" s="50" t="s">
        <v>42</v>
      </c>
      <c r="F124" s="50" t="s">
        <v>42</v>
      </c>
      <c r="G124" s="51" t="s">
        <v>42</v>
      </c>
      <c r="H124" s="51" t="s">
        <v>42</v>
      </c>
      <c r="I124" s="52">
        <v>7</v>
      </c>
      <c r="J124" s="52">
        <v>163</v>
      </c>
      <c r="K124" s="52" t="s">
        <v>42</v>
      </c>
      <c r="L124" s="52" t="s">
        <v>42</v>
      </c>
      <c r="M124" s="52">
        <v>40</v>
      </c>
      <c r="N124" s="52">
        <v>53</v>
      </c>
      <c r="O124" s="52">
        <v>65</v>
      </c>
      <c r="P124" s="52" t="s">
        <v>9</v>
      </c>
      <c r="Q124" s="52">
        <v>0</v>
      </c>
      <c r="R124" s="52">
        <v>0</v>
      </c>
      <c r="S124" s="52" t="s">
        <v>211</v>
      </c>
      <c r="T124" s="48">
        <v>30.738167964192943</v>
      </c>
      <c r="U124" s="48">
        <v>44.82649494778137</v>
      </c>
      <c r="V124" s="48">
        <v>64.037849925401957</v>
      </c>
      <c r="W124" s="48" t="s">
        <v>42</v>
      </c>
      <c r="X124" s="48" t="s">
        <v>42</v>
      </c>
      <c r="Y124" s="48" t="s">
        <v>42</v>
      </c>
      <c r="Z124" s="48" t="s">
        <v>42</v>
      </c>
      <c r="AB124" s="52" t="s">
        <v>470</v>
      </c>
      <c r="AC124" s="52">
        <v>6.6666666666666671E-3</v>
      </c>
      <c r="AD124" s="52">
        <v>0.02</v>
      </c>
      <c r="AE124" s="52">
        <v>3.3333333333333333E-2</v>
      </c>
      <c r="AF124" s="52">
        <v>0.69000000000000006</v>
      </c>
      <c r="AG124" s="52">
        <v>0.91</v>
      </c>
      <c r="AH124" s="52">
        <v>1.1300000000000001</v>
      </c>
      <c r="AI124" s="52">
        <v>52</v>
      </c>
      <c r="AJ124" s="52">
        <v>74</v>
      </c>
      <c r="AK124" s="52">
        <v>96</v>
      </c>
      <c r="AL124" s="52" t="s">
        <v>42</v>
      </c>
      <c r="AM124" s="52" t="s">
        <v>42</v>
      </c>
      <c r="AN124" s="52" t="s">
        <v>42</v>
      </c>
      <c r="AO124" s="53">
        <v>5.5275152295877605E-3</v>
      </c>
      <c r="AP124" s="53">
        <v>2.8233199751738765E-2</v>
      </c>
      <c r="AQ124" s="53">
        <v>8.9113351836172847E-2</v>
      </c>
      <c r="AR124" s="53" t="s">
        <v>42</v>
      </c>
      <c r="AS124" s="53" t="s">
        <v>42</v>
      </c>
      <c r="AT124" s="53" t="s">
        <v>42</v>
      </c>
      <c r="AV124" s="54" t="s">
        <v>42</v>
      </c>
      <c r="AW124" s="54" t="s">
        <v>42</v>
      </c>
      <c r="AX124" s="54" t="s">
        <v>42</v>
      </c>
      <c r="AY124" s="54" t="s">
        <v>42</v>
      </c>
      <c r="AZ124" s="54" t="s">
        <v>42</v>
      </c>
      <c r="BA124" s="54" t="s">
        <v>42</v>
      </c>
      <c r="BC124" s="55" t="s">
        <v>42</v>
      </c>
      <c r="BD124" s="55" t="s">
        <v>42</v>
      </c>
      <c r="BE124" s="55" t="s">
        <v>42</v>
      </c>
      <c r="BG124" s="54">
        <v>5.2507481120270993</v>
      </c>
      <c r="BH124" s="54">
        <v>5.6837331397065212</v>
      </c>
      <c r="BI124" s="54">
        <v>6.1715668659794742</v>
      </c>
      <c r="BJ124" s="54">
        <v>8.3163019377265404E-2</v>
      </c>
      <c r="BK124" s="54">
        <v>0.25441984730872769</v>
      </c>
      <c r="BL124" s="54">
        <v>0.96028383248172489</v>
      </c>
      <c r="BN124" s="55">
        <v>933.22737461557256</v>
      </c>
      <c r="BO124" s="55">
        <v>9011.3713481256782</v>
      </c>
      <c r="BP124" s="55">
        <v>173727.93969729909</v>
      </c>
      <c r="BR124" s="54" t="s">
        <v>42</v>
      </c>
      <c r="BS124" s="54" t="s">
        <v>42</v>
      </c>
      <c r="BT124" s="54" t="s">
        <v>42</v>
      </c>
      <c r="BU124" s="54" t="s">
        <v>42</v>
      </c>
      <c r="BV124" s="54" t="s">
        <v>42</v>
      </c>
      <c r="BW124" s="54" t="s">
        <v>42</v>
      </c>
      <c r="BY124" s="54" t="s">
        <v>42</v>
      </c>
      <c r="BZ124" s="54" t="s">
        <v>42</v>
      </c>
      <c r="CA124" s="54" t="s">
        <v>42</v>
      </c>
      <c r="CC124">
        <v>336</v>
      </c>
      <c r="CD124" t="s">
        <v>416</v>
      </c>
    </row>
    <row r="125" spans="1:83" x14ac:dyDescent="0.2">
      <c r="A125">
        <v>337</v>
      </c>
      <c r="B125">
        <v>105</v>
      </c>
      <c r="C125" s="50" t="s">
        <v>137</v>
      </c>
      <c r="D125" s="52" t="s">
        <v>267</v>
      </c>
      <c r="E125" s="50" t="s">
        <v>394</v>
      </c>
      <c r="F125" s="52" t="s">
        <v>42</v>
      </c>
      <c r="G125" s="51">
        <v>42.3</v>
      </c>
      <c r="H125" s="51">
        <v>141</v>
      </c>
      <c r="I125" s="52">
        <v>86.5</v>
      </c>
      <c r="J125" s="52">
        <v>159</v>
      </c>
      <c r="K125" s="52" t="s">
        <v>42</v>
      </c>
      <c r="L125" s="52" t="s">
        <v>42</v>
      </c>
      <c r="M125" s="52">
        <v>40</v>
      </c>
      <c r="N125" s="52">
        <v>53</v>
      </c>
      <c r="O125" s="52">
        <v>65</v>
      </c>
      <c r="P125" s="52" t="s">
        <v>10</v>
      </c>
      <c r="Q125" s="52">
        <v>0</v>
      </c>
      <c r="R125" s="52">
        <v>0</v>
      </c>
      <c r="S125" s="52" t="s">
        <v>211</v>
      </c>
      <c r="T125" s="48">
        <v>2030.2121623014564</v>
      </c>
      <c r="U125" s="48">
        <v>2960.7260700229572</v>
      </c>
      <c r="V125" s="48">
        <v>3790.8407050679734</v>
      </c>
      <c r="W125" s="48" t="s">
        <v>42</v>
      </c>
      <c r="X125" s="48" t="s">
        <v>42</v>
      </c>
      <c r="Y125" s="48" t="s">
        <v>42</v>
      </c>
      <c r="Z125" s="48" t="s">
        <v>42</v>
      </c>
      <c r="AB125" s="52" t="s">
        <v>471</v>
      </c>
      <c r="AC125" s="52">
        <v>0.25</v>
      </c>
      <c r="AD125" s="52">
        <v>0.35</v>
      </c>
      <c r="AE125" s="52">
        <v>0.45</v>
      </c>
      <c r="AF125" s="52">
        <v>0.69000000000000006</v>
      </c>
      <c r="AG125" s="52">
        <v>0.91</v>
      </c>
      <c r="AH125" s="52">
        <v>1.1300000000000001</v>
      </c>
      <c r="AI125" s="52">
        <v>52</v>
      </c>
      <c r="AJ125" s="52">
        <v>74</v>
      </c>
      <c r="AK125" s="52">
        <v>96</v>
      </c>
      <c r="AL125" s="53">
        <v>0.15922825477076763</v>
      </c>
      <c r="AM125" s="53">
        <v>0.48716097894839405</v>
      </c>
      <c r="AN125" s="53">
        <v>1.2030302497883336</v>
      </c>
      <c r="AO125" s="53">
        <v>0.20063930598687443</v>
      </c>
      <c r="AP125" s="53">
        <v>0.50610744673496466</v>
      </c>
      <c r="AQ125" s="53">
        <v>1.1986349143863058</v>
      </c>
      <c r="AR125" s="53" t="s">
        <v>42</v>
      </c>
      <c r="AS125" s="53" t="s">
        <v>42</v>
      </c>
      <c r="AT125" s="53" t="s">
        <v>42</v>
      </c>
      <c r="AV125" s="54">
        <v>6.5261519909617407</v>
      </c>
      <c r="AW125" s="54">
        <v>6.9591370186411625</v>
      </c>
      <c r="AX125" s="54">
        <v>7.4469707449141156</v>
      </c>
      <c r="AY125" s="54">
        <v>0.37236214341996143</v>
      </c>
      <c r="AZ125" s="54">
        <v>1.1391640224447599</v>
      </c>
      <c r="BA125" s="54">
        <v>4.2996676747908165</v>
      </c>
      <c r="BC125" s="55">
        <v>309.52018329171398</v>
      </c>
      <c r="BD125" s="55">
        <v>2338.3728822119679</v>
      </c>
      <c r="BE125" s="55">
        <v>27003.170266362697</v>
      </c>
      <c r="BG125" s="54">
        <v>7.0706115577780269</v>
      </c>
      <c r="BH125" s="54">
        <v>7.5035965854574487</v>
      </c>
      <c r="BI125" s="54">
        <v>7.9438656592700809</v>
      </c>
      <c r="BJ125" s="54">
        <v>0.67586813545086433</v>
      </c>
      <c r="BK125" s="54">
        <v>2.0676770649966465</v>
      </c>
      <c r="BL125" s="54">
        <v>7.3883764219873758</v>
      </c>
      <c r="BN125" s="55">
        <v>563.86488274196893</v>
      </c>
      <c r="BO125" s="55">
        <v>4085.4507838914201</v>
      </c>
      <c r="BP125" s="55">
        <v>36824.172540103951</v>
      </c>
      <c r="BR125" s="54" t="s">
        <v>42</v>
      </c>
      <c r="BS125" s="54" t="s">
        <v>42</v>
      </c>
      <c r="BT125" s="54" t="s">
        <v>42</v>
      </c>
      <c r="BU125" s="54" t="s">
        <v>42</v>
      </c>
      <c r="BV125" s="54" t="s">
        <v>42</v>
      </c>
      <c r="BW125" s="54" t="s">
        <v>42</v>
      </c>
      <c r="BY125" s="54" t="s">
        <v>42</v>
      </c>
      <c r="BZ125" s="54" t="s">
        <v>42</v>
      </c>
      <c r="CA125" s="54" t="s">
        <v>42</v>
      </c>
      <c r="CC125">
        <v>337</v>
      </c>
      <c r="CD125">
        <v>105</v>
      </c>
    </row>
    <row r="126" spans="1:83" x14ac:dyDescent="0.2">
      <c r="A126">
        <v>337</v>
      </c>
      <c r="B126">
        <v>106</v>
      </c>
      <c r="C126" s="50" t="s">
        <v>137</v>
      </c>
      <c r="D126" s="52" t="s">
        <v>267</v>
      </c>
      <c r="E126" s="50" t="s">
        <v>395</v>
      </c>
      <c r="F126" s="52" t="s">
        <v>42</v>
      </c>
      <c r="G126" s="51">
        <v>8.1</v>
      </c>
      <c r="H126" s="51">
        <v>107</v>
      </c>
      <c r="I126" s="52">
        <v>86.5</v>
      </c>
      <c r="J126" s="52">
        <v>159</v>
      </c>
      <c r="K126" s="52" t="s">
        <v>42</v>
      </c>
      <c r="L126" s="52" t="s">
        <v>42</v>
      </c>
      <c r="M126" s="52">
        <v>40</v>
      </c>
      <c r="N126" s="52">
        <v>53</v>
      </c>
      <c r="O126" s="52">
        <v>65</v>
      </c>
      <c r="P126" s="52" t="s">
        <v>10</v>
      </c>
      <c r="Q126" s="52">
        <v>0</v>
      </c>
      <c r="R126" s="52">
        <v>0</v>
      </c>
      <c r="S126" s="52" t="s">
        <v>211</v>
      </c>
      <c r="T126" s="48">
        <v>2030.2121623014564</v>
      </c>
      <c r="U126" s="48">
        <v>2960.7260700229572</v>
      </c>
      <c r="V126" s="48">
        <v>3790.8407050679734</v>
      </c>
      <c r="W126" s="48" t="s">
        <v>42</v>
      </c>
      <c r="X126" s="48" t="s">
        <v>42</v>
      </c>
      <c r="Y126" s="48" t="s">
        <v>42</v>
      </c>
      <c r="Z126" s="48" t="s">
        <v>42</v>
      </c>
      <c r="AB126" s="52" t="s">
        <v>471</v>
      </c>
      <c r="AC126" s="52">
        <v>0.25</v>
      </c>
      <c r="AD126" s="52">
        <v>0.35</v>
      </c>
      <c r="AE126" s="52">
        <v>0.45</v>
      </c>
      <c r="AF126" s="52">
        <v>0.69000000000000006</v>
      </c>
      <c r="AG126" s="52">
        <v>0.91</v>
      </c>
      <c r="AH126" s="52">
        <v>1.1300000000000001</v>
      </c>
      <c r="AI126" s="52">
        <v>52</v>
      </c>
      <c r="AJ126" s="52">
        <v>74</v>
      </c>
      <c r="AK126" s="52">
        <v>96</v>
      </c>
      <c r="AL126" s="52" t="s">
        <v>42</v>
      </c>
      <c r="AM126" s="52" t="s">
        <v>42</v>
      </c>
      <c r="AN126" s="52" t="s">
        <v>42</v>
      </c>
      <c r="AO126" s="53">
        <v>0.20063930598687443</v>
      </c>
      <c r="AP126" s="53">
        <v>0.50610744673496466</v>
      </c>
      <c r="AQ126" s="53">
        <v>1.1986349143863058</v>
      </c>
      <c r="AR126" s="53" t="s">
        <v>42</v>
      </c>
      <c r="AS126" s="53" t="s">
        <v>42</v>
      </c>
      <c r="AT126" s="53" t="s">
        <v>42</v>
      </c>
      <c r="AV126" s="54" t="s">
        <v>42</v>
      </c>
      <c r="AW126" s="54" t="s">
        <v>42</v>
      </c>
      <c r="AX126" s="54" t="s">
        <v>42</v>
      </c>
      <c r="AY126" s="54" t="s">
        <v>42</v>
      </c>
      <c r="AZ126" s="54" t="s">
        <v>42</v>
      </c>
      <c r="BA126" s="54" t="s">
        <v>42</v>
      </c>
      <c r="BB126" s="2"/>
      <c r="BC126" s="55" t="s">
        <v>42</v>
      </c>
      <c r="BD126" s="55" t="s">
        <v>42</v>
      </c>
      <c r="BE126" s="55" t="s">
        <v>42</v>
      </c>
      <c r="BG126" s="54">
        <v>7.0706115577780269</v>
      </c>
      <c r="BH126" s="54">
        <v>7.5035965854574487</v>
      </c>
      <c r="BI126" s="54">
        <v>7.9438656592700809</v>
      </c>
      <c r="BJ126" s="54">
        <v>0.67586813545086433</v>
      </c>
      <c r="BK126" s="54">
        <v>2.0676770649966465</v>
      </c>
      <c r="BL126" s="54">
        <v>7.3883764219873758</v>
      </c>
      <c r="BM126" s="2"/>
      <c r="BN126" s="55">
        <v>563.86488274196893</v>
      </c>
      <c r="BO126" s="55">
        <v>4085.4507838914201</v>
      </c>
      <c r="BP126" s="55">
        <v>36824.172540103951</v>
      </c>
      <c r="BR126" s="54" t="s">
        <v>42</v>
      </c>
      <c r="BS126" s="54" t="s">
        <v>42</v>
      </c>
      <c r="BT126" s="54" t="s">
        <v>42</v>
      </c>
      <c r="BU126" s="54" t="s">
        <v>42</v>
      </c>
      <c r="BV126" s="54" t="s">
        <v>42</v>
      </c>
      <c r="BW126" s="54" t="s">
        <v>42</v>
      </c>
      <c r="BX126" s="2"/>
      <c r="BY126" s="54" t="s">
        <v>42</v>
      </c>
      <c r="BZ126" s="54" t="s">
        <v>42</v>
      </c>
      <c r="CA126" s="54" t="s">
        <v>42</v>
      </c>
      <c r="CC126">
        <v>337</v>
      </c>
      <c r="CD126">
        <v>106</v>
      </c>
    </row>
    <row r="127" spans="1:83" x14ac:dyDescent="0.2">
      <c r="A127">
        <v>337</v>
      </c>
      <c r="B127">
        <v>107</v>
      </c>
      <c r="C127" s="50" t="s">
        <v>137</v>
      </c>
      <c r="D127" s="52" t="s">
        <v>267</v>
      </c>
      <c r="E127" s="50" t="s">
        <v>396</v>
      </c>
      <c r="F127" s="52" t="s">
        <v>42</v>
      </c>
      <c r="G127" s="51">
        <v>12.4</v>
      </c>
      <c r="H127" s="51">
        <v>185</v>
      </c>
      <c r="I127" s="52">
        <v>86.5</v>
      </c>
      <c r="J127" s="52">
        <v>159</v>
      </c>
      <c r="K127" s="52" t="s">
        <v>42</v>
      </c>
      <c r="L127" s="52" t="s">
        <v>42</v>
      </c>
      <c r="M127" s="52">
        <v>40</v>
      </c>
      <c r="N127" s="52">
        <v>53</v>
      </c>
      <c r="O127" s="52">
        <v>65</v>
      </c>
      <c r="P127" s="52" t="s">
        <v>9</v>
      </c>
      <c r="Q127" s="52">
        <v>0</v>
      </c>
      <c r="R127" s="52">
        <v>0</v>
      </c>
      <c r="S127" s="52" t="s">
        <v>211</v>
      </c>
      <c r="T127" s="48">
        <v>2030.2121623014564</v>
      </c>
      <c r="U127" s="48">
        <v>2960.7260700229572</v>
      </c>
      <c r="V127" s="48">
        <v>3790.8407050679734</v>
      </c>
      <c r="W127" s="48" t="s">
        <v>42</v>
      </c>
      <c r="X127" s="48" t="s">
        <v>42</v>
      </c>
      <c r="Y127" s="48" t="s">
        <v>42</v>
      </c>
      <c r="Z127" s="48" t="s">
        <v>42</v>
      </c>
      <c r="AB127" s="52" t="s">
        <v>471</v>
      </c>
      <c r="AC127" s="52">
        <v>0.25</v>
      </c>
      <c r="AD127" s="52">
        <v>0.35</v>
      </c>
      <c r="AE127" s="52">
        <v>0.45</v>
      </c>
      <c r="AF127" s="52">
        <v>0.69000000000000006</v>
      </c>
      <c r="AG127" s="52">
        <v>0.91</v>
      </c>
      <c r="AH127" s="52">
        <v>1.1300000000000001</v>
      </c>
      <c r="AI127" s="52">
        <v>52</v>
      </c>
      <c r="AJ127" s="52">
        <v>74</v>
      </c>
      <c r="AK127" s="52">
        <v>96</v>
      </c>
      <c r="AL127" s="53">
        <v>0.16468824317248215</v>
      </c>
      <c r="AM127" s="53">
        <v>0.49408099565542846</v>
      </c>
      <c r="AN127" s="53">
        <v>1.2030302497883336</v>
      </c>
      <c r="AO127" s="53">
        <v>0.20063930598687443</v>
      </c>
      <c r="AP127" s="53">
        <v>0.50610744673496466</v>
      </c>
      <c r="AQ127" s="53">
        <v>1.1986349143863058</v>
      </c>
      <c r="AR127" s="53" t="s">
        <v>42</v>
      </c>
      <c r="AS127" s="53" t="s">
        <v>42</v>
      </c>
      <c r="AT127" s="53" t="s">
        <v>42</v>
      </c>
      <c r="AV127" s="54">
        <v>5.6379541872737278</v>
      </c>
      <c r="AW127" s="54">
        <v>6.0709392149531496</v>
      </c>
      <c r="AX127" s="54">
        <v>6.5587729412261027</v>
      </c>
      <c r="AY127" s="54">
        <v>0.13392653098238649</v>
      </c>
      <c r="AZ127" s="54">
        <v>0.40972018354159495</v>
      </c>
      <c r="BA127" s="54">
        <v>1.5464503742862741</v>
      </c>
      <c r="BC127" s="55">
        <v>111.32432539077891</v>
      </c>
      <c r="BD127" s="55">
        <v>829.25712007618563</v>
      </c>
      <c r="BE127" s="55">
        <v>9390.1686270745977</v>
      </c>
      <c r="BG127" s="54">
        <v>7.0706115577780269</v>
      </c>
      <c r="BH127" s="54">
        <v>7.5035965854574487</v>
      </c>
      <c r="BI127" s="54">
        <v>7.9438656592700809</v>
      </c>
      <c r="BJ127" s="54">
        <v>0.67586813545086433</v>
      </c>
      <c r="BK127" s="54">
        <v>2.0676770649966465</v>
      </c>
      <c r="BL127" s="54">
        <v>7.3883764219873758</v>
      </c>
      <c r="BN127" s="55">
        <v>563.86488274196893</v>
      </c>
      <c r="BO127" s="55">
        <v>4085.4507838914201</v>
      </c>
      <c r="BP127" s="55">
        <v>36824.172540103951</v>
      </c>
      <c r="BR127" s="54" t="s">
        <v>42</v>
      </c>
      <c r="BS127" s="54" t="s">
        <v>42</v>
      </c>
      <c r="BT127" s="54" t="s">
        <v>42</v>
      </c>
      <c r="BU127" s="54" t="s">
        <v>42</v>
      </c>
      <c r="BV127" s="54" t="s">
        <v>42</v>
      </c>
      <c r="BW127" s="54" t="s">
        <v>42</v>
      </c>
      <c r="BY127" s="54" t="s">
        <v>42</v>
      </c>
      <c r="BZ127" s="54" t="s">
        <v>42</v>
      </c>
      <c r="CA127" s="54" t="s">
        <v>42</v>
      </c>
      <c r="CC127">
        <v>337</v>
      </c>
      <c r="CD127">
        <v>107</v>
      </c>
    </row>
    <row r="128" spans="1:83" x14ac:dyDescent="0.2">
      <c r="A128">
        <v>337</v>
      </c>
      <c r="B128">
        <v>108</v>
      </c>
      <c r="C128" s="50" t="s">
        <v>137</v>
      </c>
      <c r="D128" s="52" t="s">
        <v>267</v>
      </c>
      <c r="E128" s="50" t="s">
        <v>397</v>
      </c>
      <c r="F128" s="52" t="s">
        <v>42</v>
      </c>
      <c r="G128" s="51">
        <v>6.8</v>
      </c>
      <c r="H128" s="51">
        <v>231</v>
      </c>
      <c r="I128" s="52">
        <v>86.5</v>
      </c>
      <c r="J128" s="52">
        <v>159</v>
      </c>
      <c r="K128" s="52" t="s">
        <v>42</v>
      </c>
      <c r="L128" s="52" t="s">
        <v>42</v>
      </c>
      <c r="M128" s="52">
        <v>40</v>
      </c>
      <c r="N128" s="52">
        <v>53</v>
      </c>
      <c r="O128" s="52">
        <v>65</v>
      </c>
      <c r="P128" s="52" t="s">
        <v>12</v>
      </c>
      <c r="Q128" s="52">
        <v>0</v>
      </c>
      <c r="R128" s="52">
        <v>0</v>
      </c>
      <c r="S128" s="52" t="s">
        <v>211</v>
      </c>
      <c r="T128" s="48">
        <v>2030.2121623014564</v>
      </c>
      <c r="U128" s="48">
        <v>2960.7260700229572</v>
      </c>
      <c r="V128" s="48">
        <v>3790.8407050679734</v>
      </c>
      <c r="W128" s="48" t="s">
        <v>42</v>
      </c>
      <c r="X128" s="48" t="s">
        <v>42</v>
      </c>
      <c r="Y128" s="48" t="s">
        <v>42</v>
      </c>
      <c r="Z128" s="48" t="s">
        <v>42</v>
      </c>
      <c r="AB128" s="52" t="s">
        <v>471</v>
      </c>
      <c r="AC128" s="52">
        <v>0.25</v>
      </c>
      <c r="AD128" s="52">
        <v>0.35</v>
      </c>
      <c r="AE128" s="52">
        <v>0.45</v>
      </c>
      <c r="AF128" s="52">
        <v>0.69000000000000006</v>
      </c>
      <c r="AG128" s="52">
        <v>0.91</v>
      </c>
      <c r="AH128" s="52">
        <v>1.1300000000000001</v>
      </c>
      <c r="AI128" s="52">
        <v>52</v>
      </c>
      <c r="AJ128" s="52">
        <v>74</v>
      </c>
      <c r="AK128" s="52">
        <v>96</v>
      </c>
      <c r="AL128" s="52" t="s">
        <v>42</v>
      </c>
      <c r="AM128" s="52" t="s">
        <v>42</v>
      </c>
      <c r="AN128" s="52" t="s">
        <v>42</v>
      </c>
      <c r="AO128" s="53">
        <v>0.20063930598687443</v>
      </c>
      <c r="AP128" s="53">
        <v>0.50610744673496466</v>
      </c>
      <c r="AQ128" s="53">
        <v>1.1986349143863058</v>
      </c>
      <c r="AR128" s="53" t="s">
        <v>42</v>
      </c>
      <c r="AS128" s="53" t="s">
        <v>42</v>
      </c>
      <c r="AT128" s="53" t="s">
        <v>42</v>
      </c>
      <c r="AV128" s="54" t="s">
        <v>42</v>
      </c>
      <c r="AW128" s="54" t="s">
        <v>42</v>
      </c>
      <c r="AX128" s="54" t="s">
        <v>42</v>
      </c>
      <c r="AY128" s="54" t="s">
        <v>42</v>
      </c>
      <c r="AZ128" s="54" t="s">
        <v>42</v>
      </c>
      <c r="BA128" s="54" t="s">
        <v>42</v>
      </c>
      <c r="BB128" s="2"/>
      <c r="BC128" s="55" t="s">
        <v>42</v>
      </c>
      <c r="BD128" s="55" t="s">
        <v>42</v>
      </c>
      <c r="BE128" s="55" t="s">
        <v>42</v>
      </c>
      <c r="BG128" s="54">
        <v>7.0706115577780269</v>
      </c>
      <c r="BH128" s="54">
        <v>7.5035965854574487</v>
      </c>
      <c r="BI128" s="54">
        <v>7.9438656592700809</v>
      </c>
      <c r="BJ128" s="54">
        <v>0.67586813545086433</v>
      </c>
      <c r="BK128" s="54">
        <v>2.0676770649966465</v>
      </c>
      <c r="BL128" s="54">
        <v>7.3883764219873758</v>
      </c>
      <c r="BM128" s="2"/>
      <c r="BN128" s="55">
        <v>563.86488274196893</v>
      </c>
      <c r="BO128" s="55">
        <v>4085.4507838914201</v>
      </c>
      <c r="BP128" s="55">
        <v>36824.172540103951</v>
      </c>
      <c r="BR128" s="54" t="s">
        <v>42</v>
      </c>
      <c r="BS128" s="54" t="s">
        <v>42</v>
      </c>
      <c r="BT128" s="54" t="s">
        <v>42</v>
      </c>
      <c r="BU128" s="54" t="s">
        <v>42</v>
      </c>
      <c r="BV128" s="54" t="s">
        <v>42</v>
      </c>
      <c r="BW128" s="54" t="s">
        <v>42</v>
      </c>
      <c r="BX128" s="2"/>
      <c r="BY128" s="54" t="s">
        <v>42</v>
      </c>
      <c r="BZ128" s="54" t="s">
        <v>42</v>
      </c>
      <c r="CA128" s="54" t="s">
        <v>42</v>
      </c>
      <c r="CC128">
        <v>337</v>
      </c>
      <c r="CD128">
        <v>108</v>
      </c>
    </row>
    <row r="129" spans="1:83" x14ac:dyDescent="0.2">
      <c r="A129">
        <v>337</v>
      </c>
      <c r="B129">
        <v>109</v>
      </c>
      <c r="C129" s="50" t="s">
        <v>137</v>
      </c>
      <c r="D129" s="52" t="s">
        <v>267</v>
      </c>
      <c r="E129" s="50" t="s">
        <v>405</v>
      </c>
      <c r="F129" s="52" t="s">
        <v>42</v>
      </c>
      <c r="G129" s="51">
        <v>16.899999999999999</v>
      </c>
      <c r="H129" s="51">
        <v>188</v>
      </c>
      <c r="I129" s="52">
        <v>86.5</v>
      </c>
      <c r="J129" s="52">
        <v>159</v>
      </c>
      <c r="K129" s="52" t="s">
        <v>42</v>
      </c>
      <c r="L129" s="52" t="s">
        <v>42</v>
      </c>
      <c r="M129" s="52">
        <v>40</v>
      </c>
      <c r="N129" s="52">
        <v>53</v>
      </c>
      <c r="O129" s="52">
        <v>65</v>
      </c>
      <c r="P129" s="52" t="s">
        <v>9</v>
      </c>
      <c r="Q129" s="52">
        <v>0</v>
      </c>
      <c r="R129" s="52">
        <v>0</v>
      </c>
      <c r="S129" s="52" t="s">
        <v>211</v>
      </c>
      <c r="T129" s="48">
        <v>2030.2121623014564</v>
      </c>
      <c r="U129" s="48">
        <v>2960.7260700229572</v>
      </c>
      <c r="V129" s="48">
        <v>3790.8407050679734</v>
      </c>
      <c r="W129" s="48" t="s">
        <v>42</v>
      </c>
      <c r="X129" s="48" t="s">
        <v>42</v>
      </c>
      <c r="Y129" s="48" t="s">
        <v>42</v>
      </c>
      <c r="Z129" s="48" t="s">
        <v>42</v>
      </c>
      <c r="AB129" s="52" t="s">
        <v>471</v>
      </c>
      <c r="AC129" s="52">
        <v>0.25</v>
      </c>
      <c r="AD129" s="52">
        <v>0.35</v>
      </c>
      <c r="AE129" s="52">
        <v>0.45</v>
      </c>
      <c r="AF129" s="52">
        <v>0.69000000000000006</v>
      </c>
      <c r="AG129" s="52">
        <v>0.91</v>
      </c>
      <c r="AH129" s="52">
        <v>1.1300000000000001</v>
      </c>
      <c r="AI129" s="52">
        <v>52</v>
      </c>
      <c r="AJ129" s="52">
        <v>74</v>
      </c>
      <c r="AK129" s="52">
        <v>96</v>
      </c>
      <c r="AL129" s="53">
        <v>0.15642508731776791</v>
      </c>
      <c r="AM129" s="53">
        <v>0.48347784130615901</v>
      </c>
      <c r="AN129" s="53">
        <v>1.2024805398755205</v>
      </c>
      <c r="AO129" s="53">
        <v>0.20063930598687443</v>
      </c>
      <c r="AP129" s="53">
        <v>0.50610744673496466</v>
      </c>
      <c r="AQ129" s="53">
        <v>1.1986349143863058</v>
      </c>
      <c r="AR129" s="53" t="s">
        <v>42</v>
      </c>
      <c r="AS129" s="53" t="s">
        <v>42</v>
      </c>
      <c r="AT129" s="53" t="s">
        <v>42</v>
      </c>
      <c r="AV129" s="54">
        <v>5.8620625530261279</v>
      </c>
      <c r="AW129" s="54">
        <v>6.2950475807055497</v>
      </c>
      <c r="AX129" s="54">
        <v>6.7828813069785028</v>
      </c>
      <c r="AY129" s="54">
        <v>0.17334878522102384</v>
      </c>
      <c r="AZ129" s="54">
        <v>0.53032431719456097</v>
      </c>
      <c r="BA129" s="54">
        <v>2.001659356221055</v>
      </c>
      <c r="BC129" s="55">
        <v>144.15932688521406</v>
      </c>
      <c r="BD129" s="55">
        <v>1096.8947734230012</v>
      </c>
      <c r="BE129" s="55">
        <v>12796.280894220039</v>
      </c>
      <c r="BG129" s="54">
        <v>7.0706115577780269</v>
      </c>
      <c r="BH129" s="54">
        <v>7.5035965854574487</v>
      </c>
      <c r="BI129" s="54">
        <v>7.9438656592700809</v>
      </c>
      <c r="BJ129" s="54">
        <v>0.67586813545086433</v>
      </c>
      <c r="BK129" s="54">
        <v>2.0676770649966465</v>
      </c>
      <c r="BL129" s="54">
        <v>7.3883764219873758</v>
      </c>
      <c r="BN129" s="55">
        <v>563.86488274196893</v>
      </c>
      <c r="BO129" s="55">
        <v>4085.4507838914201</v>
      </c>
      <c r="BP129" s="55">
        <v>36824.172540103951</v>
      </c>
      <c r="BR129" s="54" t="s">
        <v>42</v>
      </c>
      <c r="BS129" s="54" t="s">
        <v>42</v>
      </c>
      <c r="BT129" s="54" t="s">
        <v>42</v>
      </c>
      <c r="BU129" s="54" t="s">
        <v>42</v>
      </c>
      <c r="BV129" s="54" t="s">
        <v>42</v>
      </c>
      <c r="BW129" s="54" t="s">
        <v>42</v>
      </c>
      <c r="BY129" s="54" t="s">
        <v>42</v>
      </c>
      <c r="BZ129" s="54" t="s">
        <v>42</v>
      </c>
      <c r="CA129" s="54" t="s">
        <v>42</v>
      </c>
      <c r="CC129">
        <v>337</v>
      </c>
      <c r="CD129">
        <v>109</v>
      </c>
    </row>
    <row r="130" spans="1:83" x14ac:dyDescent="0.2">
      <c r="A130">
        <v>338</v>
      </c>
      <c r="B130">
        <v>110</v>
      </c>
      <c r="C130" s="50" t="s">
        <v>137</v>
      </c>
      <c r="D130" s="52" t="s">
        <v>268</v>
      </c>
      <c r="E130" s="50" t="s">
        <v>398</v>
      </c>
      <c r="F130" s="52" t="s">
        <v>42</v>
      </c>
      <c r="G130" s="51">
        <v>42.3</v>
      </c>
      <c r="H130" s="51">
        <v>141</v>
      </c>
      <c r="I130" s="52">
        <v>100.89999999999999</v>
      </c>
      <c r="J130" s="52">
        <v>163</v>
      </c>
      <c r="K130" s="52" t="s">
        <v>42</v>
      </c>
      <c r="L130" s="52" t="s">
        <v>42</v>
      </c>
      <c r="M130" s="52">
        <v>40</v>
      </c>
      <c r="N130" s="52">
        <v>53</v>
      </c>
      <c r="O130" s="52">
        <v>65</v>
      </c>
      <c r="P130" s="52" t="s">
        <v>10</v>
      </c>
      <c r="Q130" s="52">
        <v>0</v>
      </c>
      <c r="R130" s="52">
        <v>0</v>
      </c>
      <c r="S130" s="52" t="s">
        <v>211</v>
      </c>
      <c r="T130" s="48">
        <v>2624.2176759401827</v>
      </c>
      <c r="U130" s="48">
        <v>3826.9841107460993</v>
      </c>
      <c r="V130" s="48">
        <v>4421.9170767787109</v>
      </c>
      <c r="W130" s="48" t="s">
        <v>42</v>
      </c>
      <c r="X130" s="48" t="s">
        <v>42</v>
      </c>
      <c r="Y130" s="48" t="s">
        <v>42</v>
      </c>
      <c r="Z130" s="48" t="s">
        <v>42</v>
      </c>
      <c r="AB130" s="52" t="s">
        <v>471</v>
      </c>
      <c r="AC130" s="52">
        <v>0.25</v>
      </c>
      <c r="AD130" s="52">
        <v>0.35</v>
      </c>
      <c r="AE130" s="52">
        <v>0.45</v>
      </c>
      <c r="AF130" s="52">
        <v>0.69000000000000006</v>
      </c>
      <c r="AG130" s="52">
        <v>0.91</v>
      </c>
      <c r="AH130" s="52">
        <v>1.1300000000000001</v>
      </c>
      <c r="AI130" s="52">
        <v>52</v>
      </c>
      <c r="AJ130" s="52">
        <v>74</v>
      </c>
      <c r="AK130" s="52">
        <v>96</v>
      </c>
      <c r="AL130" s="53">
        <v>0.15922825477076763</v>
      </c>
      <c r="AM130" s="53">
        <v>0.48716097894839405</v>
      </c>
      <c r="AN130" s="53">
        <v>1.2030302497883336</v>
      </c>
      <c r="AO130" s="53">
        <v>0.20728182110954105</v>
      </c>
      <c r="AP130" s="53">
        <v>0.49408099565542846</v>
      </c>
      <c r="AQ130" s="53">
        <v>1.2030302497883336</v>
      </c>
      <c r="AR130" s="53" t="s">
        <v>42</v>
      </c>
      <c r="AS130" s="53" t="s">
        <v>42</v>
      </c>
      <c r="AT130" s="53" t="s">
        <v>42</v>
      </c>
      <c r="AV130" s="54">
        <v>6.5261519909617407</v>
      </c>
      <c r="AW130" s="54">
        <v>6.9591370186411625</v>
      </c>
      <c r="AX130" s="54">
        <v>7.4469707449141156</v>
      </c>
      <c r="AY130" s="54">
        <v>0.37236214341996143</v>
      </c>
      <c r="AZ130" s="54">
        <v>1.1391640224447599</v>
      </c>
      <c r="BA130" s="54">
        <v>4.2996676747908165</v>
      </c>
      <c r="BC130" s="55">
        <v>309.52018329171398</v>
      </c>
      <c r="BD130" s="55">
        <v>2338.3728822119679</v>
      </c>
      <c r="BE130" s="55">
        <v>27003.170266362697</v>
      </c>
      <c r="BG130" s="54">
        <v>7.1820699890648543</v>
      </c>
      <c r="BH130" s="54">
        <v>7.6150550167442761</v>
      </c>
      <c r="BI130" s="54">
        <v>8.0107407180421788</v>
      </c>
      <c r="BJ130" s="54">
        <v>0.76840677839705529</v>
      </c>
      <c r="BK130" s="54">
        <v>2.3507796697941221</v>
      </c>
      <c r="BL130" s="54">
        <v>7.9796996124925403</v>
      </c>
      <c r="BN130" s="55">
        <v>638.72606572632083</v>
      </c>
      <c r="BO130" s="55">
        <v>4757.8832022787483</v>
      </c>
      <c r="BP130" s="55">
        <v>38496.861759408959</v>
      </c>
      <c r="BR130" s="54" t="s">
        <v>42</v>
      </c>
      <c r="BS130" s="54" t="s">
        <v>42</v>
      </c>
      <c r="BT130" s="54" t="s">
        <v>42</v>
      </c>
      <c r="BU130" s="54" t="s">
        <v>42</v>
      </c>
      <c r="BV130" s="54" t="s">
        <v>42</v>
      </c>
      <c r="BW130" s="54" t="s">
        <v>42</v>
      </c>
      <c r="BY130" s="54" t="s">
        <v>42</v>
      </c>
      <c r="BZ130" s="54" t="s">
        <v>42</v>
      </c>
      <c r="CA130" s="54" t="s">
        <v>42</v>
      </c>
      <c r="CC130">
        <v>338</v>
      </c>
      <c r="CD130">
        <v>110</v>
      </c>
    </row>
    <row r="131" spans="1:83" x14ac:dyDescent="0.2">
      <c r="A131">
        <v>338</v>
      </c>
      <c r="B131">
        <v>111</v>
      </c>
      <c r="C131" s="50" t="s">
        <v>137</v>
      </c>
      <c r="D131" s="52" t="s">
        <v>268</v>
      </c>
      <c r="E131" s="50" t="s">
        <v>399</v>
      </c>
      <c r="F131" s="52" t="s">
        <v>42</v>
      </c>
      <c r="G131" s="51">
        <v>8.1</v>
      </c>
      <c r="H131" s="51">
        <v>107</v>
      </c>
      <c r="I131" s="52">
        <v>100.89999999999999</v>
      </c>
      <c r="J131" s="52">
        <v>163</v>
      </c>
      <c r="K131" s="52" t="s">
        <v>42</v>
      </c>
      <c r="L131" s="52" t="s">
        <v>42</v>
      </c>
      <c r="M131" s="52">
        <v>40</v>
      </c>
      <c r="N131" s="52">
        <v>53</v>
      </c>
      <c r="O131" s="52">
        <v>65</v>
      </c>
      <c r="P131" s="52" t="s">
        <v>10</v>
      </c>
      <c r="Q131" s="52">
        <v>0</v>
      </c>
      <c r="R131" s="52">
        <v>0</v>
      </c>
      <c r="S131" s="52" t="s">
        <v>211</v>
      </c>
      <c r="T131" s="48">
        <v>2624.2176759401827</v>
      </c>
      <c r="U131" s="48">
        <v>3826.9841107460993</v>
      </c>
      <c r="V131" s="48">
        <v>4421.9170767787109</v>
      </c>
      <c r="W131" s="48" t="s">
        <v>42</v>
      </c>
      <c r="X131" s="48" t="s">
        <v>42</v>
      </c>
      <c r="Y131" s="48" t="s">
        <v>42</v>
      </c>
      <c r="Z131" s="48" t="s">
        <v>42</v>
      </c>
      <c r="AB131" s="52" t="s">
        <v>471</v>
      </c>
      <c r="AC131" s="52">
        <v>0.25</v>
      </c>
      <c r="AD131" s="52">
        <v>0.35</v>
      </c>
      <c r="AE131" s="52">
        <v>0.45</v>
      </c>
      <c r="AF131" s="52">
        <v>0.69000000000000006</v>
      </c>
      <c r="AG131" s="52">
        <v>0.91</v>
      </c>
      <c r="AH131" s="52">
        <v>1.1300000000000001</v>
      </c>
      <c r="AI131" s="52">
        <v>52</v>
      </c>
      <c r="AJ131" s="52">
        <v>74</v>
      </c>
      <c r="AK131" s="52">
        <v>96</v>
      </c>
      <c r="AL131" s="52" t="s">
        <v>42</v>
      </c>
      <c r="AM131" s="52" t="s">
        <v>42</v>
      </c>
      <c r="AN131" s="52" t="s">
        <v>42</v>
      </c>
      <c r="AO131" s="53">
        <v>0.20728182110954105</v>
      </c>
      <c r="AP131" s="53">
        <v>0.49408099565542846</v>
      </c>
      <c r="AQ131" s="53">
        <v>1.2030302497883336</v>
      </c>
      <c r="AR131" s="53" t="s">
        <v>42</v>
      </c>
      <c r="AS131" s="53" t="s">
        <v>42</v>
      </c>
      <c r="AT131" s="53" t="s">
        <v>42</v>
      </c>
      <c r="AV131" s="54" t="s">
        <v>42</v>
      </c>
      <c r="AW131" s="54" t="s">
        <v>42</v>
      </c>
      <c r="AX131" s="54" t="s">
        <v>42</v>
      </c>
      <c r="AY131" s="54" t="s">
        <v>42</v>
      </c>
      <c r="AZ131" s="54" t="s">
        <v>42</v>
      </c>
      <c r="BA131" s="54" t="s">
        <v>42</v>
      </c>
      <c r="BB131" s="2"/>
      <c r="BC131" s="55" t="s">
        <v>42</v>
      </c>
      <c r="BD131" s="55" t="s">
        <v>42</v>
      </c>
      <c r="BE131" s="55" t="s">
        <v>42</v>
      </c>
      <c r="BG131" s="54">
        <v>7.1820699890648543</v>
      </c>
      <c r="BH131" s="54">
        <v>7.6150550167442761</v>
      </c>
      <c r="BI131" s="54">
        <v>8.0107407180421788</v>
      </c>
      <c r="BJ131" s="54">
        <v>0.76840677839705529</v>
      </c>
      <c r="BK131" s="54">
        <v>2.3507796697941221</v>
      </c>
      <c r="BL131" s="54">
        <v>7.9796996124925403</v>
      </c>
      <c r="BM131" s="2"/>
      <c r="BN131" s="55">
        <v>638.72606572632083</v>
      </c>
      <c r="BO131" s="55">
        <v>4757.8832022787483</v>
      </c>
      <c r="BP131" s="55">
        <v>38496.861759408959</v>
      </c>
      <c r="BR131" s="54" t="s">
        <v>42</v>
      </c>
      <c r="BS131" s="54" t="s">
        <v>42</v>
      </c>
      <c r="BT131" s="54" t="s">
        <v>42</v>
      </c>
      <c r="BU131" s="54" t="s">
        <v>42</v>
      </c>
      <c r="BV131" s="54" t="s">
        <v>42</v>
      </c>
      <c r="BW131" s="54" t="s">
        <v>42</v>
      </c>
      <c r="BX131" s="2"/>
      <c r="BY131" s="54" t="s">
        <v>42</v>
      </c>
      <c r="BZ131" s="54" t="s">
        <v>42</v>
      </c>
      <c r="CA131" s="54" t="s">
        <v>42</v>
      </c>
      <c r="CC131">
        <v>338</v>
      </c>
      <c r="CD131">
        <v>111</v>
      </c>
    </row>
    <row r="132" spans="1:83" x14ac:dyDescent="0.2">
      <c r="A132">
        <v>338</v>
      </c>
      <c r="B132">
        <v>112</v>
      </c>
      <c r="C132" s="50" t="s">
        <v>137</v>
      </c>
      <c r="D132" s="52" t="s">
        <v>268</v>
      </c>
      <c r="E132" s="50" t="s">
        <v>400</v>
      </c>
      <c r="F132" s="52" t="s">
        <v>42</v>
      </c>
      <c r="G132" s="51">
        <v>12.4</v>
      </c>
      <c r="H132" s="51">
        <v>185</v>
      </c>
      <c r="I132" s="52">
        <v>100.89999999999999</v>
      </c>
      <c r="J132" s="52">
        <v>163</v>
      </c>
      <c r="K132" s="52" t="s">
        <v>42</v>
      </c>
      <c r="L132" s="52" t="s">
        <v>42</v>
      </c>
      <c r="M132" s="52">
        <v>40</v>
      </c>
      <c r="N132" s="52">
        <v>53</v>
      </c>
      <c r="O132" s="52">
        <v>65</v>
      </c>
      <c r="P132" s="52" t="s">
        <v>9</v>
      </c>
      <c r="Q132" s="52">
        <v>0</v>
      </c>
      <c r="R132" s="52">
        <v>0</v>
      </c>
      <c r="S132" s="52" t="s">
        <v>211</v>
      </c>
      <c r="T132" s="48">
        <v>2624.2176759401827</v>
      </c>
      <c r="U132" s="48">
        <v>3826.9841107460993</v>
      </c>
      <c r="V132" s="48">
        <v>4421.9170767787109</v>
      </c>
      <c r="W132" s="48" t="s">
        <v>42</v>
      </c>
      <c r="X132" s="48" t="s">
        <v>42</v>
      </c>
      <c r="Y132" s="48" t="s">
        <v>42</v>
      </c>
      <c r="Z132" s="48" t="s">
        <v>42</v>
      </c>
      <c r="AB132" s="52" t="s">
        <v>471</v>
      </c>
      <c r="AC132" s="52">
        <v>0.25</v>
      </c>
      <c r="AD132" s="52">
        <v>0.35</v>
      </c>
      <c r="AE132" s="52">
        <v>0.45</v>
      </c>
      <c r="AF132" s="52">
        <v>0.69000000000000006</v>
      </c>
      <c r="AG132" s="52">
        <v>0.91</v>
      </c>
      <c r="AH132" s="52">
        <v>1.1300000000000001</v>
      </c>
      <c r="AI132" s="52">
        <v>52</v>
      </c>
      <c r="AJ132" s="52">
        <v>74</v>
      </c>
      <c r="AK132" s="52">
        <v>96</v>
      </c>
      <c r="AL132" s="53">
        <v>0.16468824317248215</v>
      </c>
      <c r="AM132" s="53">
        <v>0.49408099565542846</v>
      </c>
      <c r="AN132" s="53">
        <v>1.2030302497883336</v>
      </c>
      <c r="AO132" s="53">
        <v>0.20728182110954105</v>
      </c>
      <c r="AP132" s="53">
        <v>0.49408099565542846</v>
      </c>
      <c r="AQ132" s="53">
        <v>1.2030302497883336</v>
      </c>
      <c r="AR132" s="53" t="s">
        <v>42</v>
      </c>
      <c r="AS132" s="53" t="s">
        <v>42</v>
      </c>
      <c r="AT132" s="53" t="s">
        <v>42</v>
      </c>
      <c r="AV132" s="54">
        <v>5.6379541872737278</v>
      </c>
      <c r="AW132" s="54">
        <v>6.0709392149531496</v>
      </c>
      <c r="AX132" s="54">
        <v>6.5587729412261027</v>
      </c>
      <c r="AY132" s="54">
        <v>0.13392653098238649</v>
      </c>
      <c r="AZ132" s="54">
        <v>0.40972018354159495</v>
      </c>
      <c r="BA132" s="54">
        <v>1.5464503742862741</v>
      </c>
      <c r="BC132" s="55">
        <v>111.32432539077891</v>
      </c>
      <c r="BD132" s="55">
        <v>829.25712007618563</v>
      </c>
      <c r="BE132" s="55">
        <v>9390.1686270745977</v>
      </c>
      <c r="BG132" s="54">
        <v>7.1820699890648543</v>
      </c>
      <c r="BH132" s="54">
        <v>7.6150550167442761</v>
      </c>
      <c r="BI132" s="54">
        <v>8.0107407180421788</v>
      </c>
      <c r="BJ132" s="54">
        <v>0.76840677839705529</v>
      </c>
      <c r="BK132" s="54">
        <v>2.3507796697941221</v>
      </c>
      <c r="BL132" s="54">
        <v>7.9796996124925403</v>
      </c>
      <c r="BN132" s="55">
        <v>638.72606572632083</v>
      </c>
      <c r="BO132" s="55">
        <v>4757.8832022787483</v>
      </c>
      <c r="BP132" s="55">
        <v>38496.861759408959</v>
      </c>
      <c r="BR132" s="54" t="s">
        <v>42</v>
      </c>
      <c r="BS132" s="54" t="s">
        <v>42</v>
      </c>
      <c r="BT132" s="54" t="s">
        <v>42</v>
      </c>
      <c r="BU132" s="54" t="s">
        <v>42</v>
      </c>
      <c r="BV132" s="54" t="s">
        <v>42</v>
      </c>
      <c r="BW132" s="54" t="s">
        <v>42</v>
      </c>
      <c r="BY132" s="54" t="s">
        <v>42</v>
      </c>
      <c r="BZ132" s="54" t="s">
        <v>42</v>
      </c>
      <c r="CA132" s="54" t="s">
        <v>42</v>
      </c>
      <c r="CC132">
        <v>338</v>
      </c>
      <c r="CD132">
        <v>112</v>
      </c>
    </row>
    <row r="133" spans="1:83" x14ac:dyDescent="0.2">
      <c r="A133">
        <v>338</v>
      </c>
      <c r="B133">
        <v>113</v>
      </c>
      <c r="C133" s="50" t="s">
        <v>137</v>
      </c>
      <c r="D133" s="52" t="s">
        <v>268</v>
      </c>
      <c r="E133" s="50" t="s">
        <v>404</v>
      </c>
      <c r="F133" s="52" t="s">
        <v>42</v>
      </c>
      <c r="G133" s="51">
        <v>6.8</v>
      </c>
      <c r="H133" s="51">
        <v>231</v>
      </c>
      <c r="I133" s="52">
        <v>100.89999999999999</v>
      </c>
      <c r="J133" s="52">
        <v>163</v>
      </c>
      <c r="K133" s="52" t="s">
        <v>42</v>
      </c>
      <c r="L133" s="52" t="s">
        <v>42</v>
      </c>
      <c r="M133" s="52">
        <v>40</v>
      </c>
      <c r="N133" s="52">
        <v>53</v>
      </c>
      <c r="O133" s="52">
        <v>65</v>
      </c>
      <c r="P133" s="52" t="s">
        <v>9</v>
      </c>
      <c r="Q133" s="52">
        <v>0</v>
      </c>
      <c r="R133" s="52">
        <v>0</v>
      </c>
      <c r="S133" s="52" t="s">
        <v>211</v>
      </c>
      <c r="T133" s="48">
        <v>2624.2176759401827</v>
      </c>
      <c r="U133" s="48">
        <v>3826.9841107460993</v>
      </c>
      <c r="V133" s="48">
        <v>4421.9170767787109</v>
      </c>
      <c r="W133" s="48" t="s">
        <v>42</v>
      </c>
      <c r="X133" s="48" t="s">
        <v>42</v>
      </c>
      <c r="Y133" s="48" t="s">
        <v>42</v>
      </c>
      <c r="Z133" s="48" t="s">
        <v>42</v>
      </c>
      <c r="AB133" s="52" t="s">
        <v>471</v>
      </c>
      <c r="AC133" s="52">
        <v>0.25</v>
      </c>
      <c r="AD133" s="52">
        <v>0.35</v>
      </c>
      <c r="AE133" s="52">
        <v>0.45</v>
      </c>
      <c r="AF133" s="52">
        <v>0.69000000000000006</v>
      </c>
      <c r="AG133" s="52">
        <v>0.91</v>
      </c>
      <c r="AH133" s="52">
        <v>1.1300000000000001</v>
      </c>
      <c r="AI133" s="52">
        <v>52</v>
      </c>
      <c r="AJ133" s="52">
        <v>74</v>
      </c>
      <c r="AK133" s="52">
        <v>96</v>
      </c>
      <c r="AL133" s="52" t="s">
        <v>42</v>
      </c>
      <c r="AM133" s="52" t="s">
        <v>42</v>
      </c>
      <c r="AN133" s="52" t="s">
        <v>42</v>
      </c>
      <c r="AO133" s="53">
        <v>0.20728182110954105</v>
      </c>
      <c r="AP133" s="53">
        <v>0.49408099565542846</v>
      </c>
      <c r="AQ133" s="53">
        <v>1.2030302497883336</v>
      </c>
      <c r="AR133" s="53" t="s">
        <v>42</v>
      </c>
      <c r="AS133" s="53" t="s">
        <v>42</v>
      </c>
      <c r="AT133" s="53" t="s">
        <v>42</v>
      </c>
      <c r="AV133" s="54" t="s">
        <v>42</v>
      </c>
      <c r="AW133" s="54" t="s">
        <v>42</v>
      </c>
      <c r="AX133" s="54" t="s">
        <v>42</v>
      </c>
      <c r="AY133" s="54" t="s">
        <v>42</v>
      </c>
      <c r="AZ133" s="54" t="s">
        <v>42</v>
      </c>
      <c r="BA133" s="54" t="s">
        <v>42</v>
      </c>
      <c r="BB133" s="2"/>
      <c r="BC133" s="55" t="s">
        <v>42</v>
      </c>
      <c r="BD133" s="55" t="s">
        <v>42</v>
      </c>
      <c r="BE133" s="55" t="s">
        <v>42</v>
      </c>
      <c r="BG133" s="54">
        <v>7.1820699890648543</v>
      </c>
      <c r="BH133" s="54">
        <v>7.6150550167442761</v>
      </c>
      <c r="BI133" s="54">
        <v>8.0107407180421788</v>
      </c>
      <c r="BJ133" s="54">
        <v>0.76840677839705529</v>
      </c>
      <c r="BK133" s="54">
        <v>2.3507796697941221</v>
      </c>
      <c r="BL133" s="54">
        <v>7.9796996124925403</v>
      </c>
      <c r="BM133" s="2"/>
      <c r="BN133" s="55">
        <v>638.72606572632083</v>
      </c>
      <c r="BO133" s="55">
        <v>4757.8832022787483</v>
      </c>
      <c r="BP133" s="55">
        <v>38496.861759408959</v>
      </c>
      <c r="BR133" s="54" t="s">
        <v>42</v>
      </c>
      <c r="BS133" s="54" t="s">
        <v>42</v>
      </c>
      <c r="BT133" s="54" t="s">
        <v>42</v>
      </c>
      <c r="BU133" s="54" t="s">
        <v>42</v>
      </c>
      <c r="BV133" s="54" t="s">
        <v>42</v>
      </c>
      <c r="BW133" s="54" t="s">
        <v>42</v>
      </c>
      <c r="BX133" s="2"/>
      <c r="BY133" s="54" t="s">
        <v>42</v>
      </c>
      <c r="BZ133" s="54" t="s">
        <v>42</v>
      </c>
      <c r="CA133" s="54" t="s">
        <v>42</v>
      </c>
      <c r="CC133">
        <v>338</v>
      </c>
      <c r="CD133">
        <v>113</v>
      </c>
    </row>
    <row r="134" spans="1:83" x14ac:dyDescent="0.2">
      <c r="A134">
        <v>338</v>
      </c>
      <c r="B134">
        <v>114</v>
      </c>
      <c r="C134" s="50" t="s">
        <v>137</v>
      </c>
      <c r="D134" s="52" t="s">
        <v>268</v>
      </c>
      <c r="E134" s="52" t="s">
        <v>403</v>
      </c>
      <c r="F134" s="52" t="s">
        <v>42</v>
      </c>
      <c r="G134" s="51">
        <v>14</v>
      </c>
      <c r="H134" s="51">
        <v>205</v>
      </c>
      <c r="I134" s="52">
        <v>100.89999999999999</v>
      </c>
      <c r="J134" s="52">
        <v>163</v>
      </c>
      <c r="K134" s="52" t="s">
        <v>42</v>
      </c>
      <c r="L134" s="52" t="s">
        <v>42</v>
      </c>
      <c r="M134" s="52">
        <v>40</v>
      </c>
      <c r="N134" s="52">
        <v>53</v>
      </c>
      <c r="O134" s="52">
        <v>65</v>
      </c>
      <c r="P134" s="52" t="s">
        <v>9</v>
      </c>
      <c r="Q134" s="52">
        <v>0</v>
      </c>
      <c r="R134" s="52">
        <v>0</v>
      </c>
      <c r="S134" s="52" t="s">
        <v>211</v>
      </c>
      <c r="T134" s="48">
        <v>2624.2176759401827</v>
      </c>
      <c r="U134" s="48">
        <v>3826.9841107460993</v>
      </c>
      <c r="V134" s="48">
        <v>4421.9170767787109</v>
      </c>
      <c r="W134" s="48" t="s">
        <v>42</v>
      </c>
      <c r="X134" s="48" t="s">
        <v>42</v>
      </c>
      <c r="Y134" s="48" t="s">
        <v>42</v>
      </c>
      <c r="Z134" s="48" t="s">
        <v>42</v>
      </c>
      <c r="AB134" s="52" t="s">
        <v>471</v>
      </c>
      <c r="AC134" s="52">
        <v>0.25</v>
      </c>
      <c r="AD134" s="52">
        <v>0.35</v>
      </c>
      <c r="AE134" s="52">
        <v>0.45</v>
      </c>
      <c r="AF134" s="52">
        <v>0.69000000000000006</v>
      </c>
      <c r="AG134" s="52">
        <v>0.91</v>
      </c>
      <c r="AH134" s="52">
        <v>1.1300000000000001</v>
      </c>
      <c r="AI134" s="52">
        <v>52</v>
      </c>
      <c r="AJ134" s="52">
        <v>74</v>
      </c>
      <c r="AK134" s="52">
        <v>96</v>
      </c>
      <c r="AL134" s="53">
        <v>0.10223083256921249</v>
      </c>
      <c r="AM134" s="53">
        <v>0.39941675108403252</v>
      </c>
      <c r="AN134" s="53">
        <v>1.1376607194207067</v>
      </c>
      <c r="AO134" s="53">
        <v>0.20728182110954105</v>
      </c>
      <c r="AP134" s="53">
        <v>0.49408099565542846</v>
      </c>
      <c r="AQ134" s="53">
        <v>1.2030302497883336</v>
      </c>
      <c r="AR134" s="53" t="s">
        <v>42</v>
      </c>
      <c r="AS134" s="53" t="s">
        <v>42</v>
      </c>
      <c r="AT134" s="53" t="s">
        <v>42</v>
      </c>
      <c r="AV134" s="54">
        <v>5.7257981048004014</v>
      </c>
      <c r="AW134" s="54">
        <v>6.1587831324798232</v>
      </c>
      <c r="AX134" s="54">
        <v>6.6466168587527763</v>
      </c>
      <c r="AY134" s="54">
        <v>0.14817965471977201</v>
      </c>
      <c r="AZ134" s="54">
        <v>0.45332463167361342</v>
      </c>
      <c r="BA134" s="54">
        <v>1.7110312708177253</v>
      </c>
      <c r="BC134" s="55">
        <v>130.24942514955129</v>
      </c>
      <c r="BD134" s="55">
        <v>1134.9664991347329</v>
      </c>
      <c r="BE134" s="55">
        <v>16736.939608305744</v>
      </c>
      <c r="BG134" s="54">
        <v>7.1820699890648543</v>
      </c>
      <c r="BH134" s="54">
        <v>7.6150550167442761</v>
      </c>
      <c r="BI134" s="54">
        <v>8.0107407180421788</v>
      </c>
      <c r="BJ134" s="54">
        <v>0.76840677839705529</v>
      </c>
      <c r="BK134" s="54">
        <v>2.3507796697941221</v>
      </c>
      <c r="BL134" s="54">
        <v>7.9796996124925403</v>
      </c>
      <c r="BN134" s="55">
        <v>638.72606572632083</v>
      </c>
      <c r="BO134" s="55">
        <v>4757.8832022787483</v>
      </c>
      <c r="BP134" s="55">
        <v>38496.861759408959</v>
      </c>
      <c r="BR134" s="54" t="s">
        <v>42</v>
      </c>
      <c r="BS134" s="54" t="s">
        <v>42</v>
      </c>
      <c r="BT134" s="54" t="s">
        <v>42</v>
      </c>
      <c r="BU134" s="54" t="s">
        <v>42</v>
      </c>
      <c r="BV134" s="54" t="s">
        <v>42</v>
      </c>
      <c r="BW134" s="54" t="s">
        <v>42</v>
      </c>
      <c r="BY134" s="54" t="s">
        <v>42</v>
      </c>
      <c r="BZ134" s="54" t="s">
        <v>42</v>
      </c>
      <c r="CA134" s="54" t="s">
        <v>42</v>
      </c>
      <c r="CC134">
        <v>338</v>
      </c>
      <c r="CD134">
        <v>114</v>
      </c>
    </row>
    <row r="135" spans="1:83" x14ac:dyDescent="0.2">
      <c r="A135">
        <v>338</v>
      </c>
      <c r="B135">
        <v>115</v>
      </c>
      <c r="C135" s="50" t="s">
        <v>137</v>
      </c>
      <c r="D135" s="52" t="s">
        <v>268</v>
      </c>
      <c r="E135" s="50" t="s">
        <v>402</v>
      </c>
      <c r="F135" s="52" t="s">
        <v>42</v>
      </c>
      <c r="G135" s="51">
        <v>2.8</v>
      </c>
      <c r="H135" s="51">
        <v>95</v>
      </c>
      <c r="I135" s="52">
        <v>100.89999999999999</v>
      </c>
      <c r="J135" s="52">
        <v>163</v>
      </c>
      <c r="K135" s="52" t="s">
        <v>42</v>
      </c>
      <c r="L135" s="52" t="s">
        <v>42</v>
      </c>
      <c r="M135" s="52">
        <v>40</v>
      </c>
      <c r="N135" s="52">
        <v>53</v>
      </c>
      <c r="O135" s="52">
        <v>65</v>
      </c>
      <c r="P135" s="52" t="s">
        <v>10</v>
      </c>
      <c r="Q135" s="52">
        <v>0</v>
      </c>
      <c r="R135" s="52">
        <v>0</v>
      </c>
      <c r="S135" s="52" t="s">
        <v>211</v>
      </c>
      <c r="T135" s="48">
        <v>2624.2176759401827</v>
      </c>
      <c r="U135" s="48">
        <v>3826.9841107460993</v>
      </c>
      <c r="V135" s="48">
        <v>4421.9170767787109</v>
      </c>
      <c r="W135" s="48" t="s">
        <v>42</v>
      </c>
      <c r="X135" s="48" t="s">
        <v>42</v>
      </c>
      <c r="Y135" s="48" t="s">
        <v>42</v>
      </c>
      <c r="Z135" s="48" t="s">
        <v>42</v>
      </c>
      <c r="AB135" s="52" t="s">
        <v>471</v>
      </c>
      <c r="AC135" s="52">
        <v>0.25</v>
      </c>
      <c r="AD135" s="52">
        <v>0.35</v>
      </c>
      <c r="AE135" s="52">
        <v>0.45</v>
      </c>
      <c r="AF135" s="52">
        <v>0.69000000000000006</v>
      </c>
      <c r="AG135" s="52">
        <v>0.91</v>
      </c>
      <c r="AH135" s="52">
        <v>1.1300000000000001</v>
      </c>
      <c r="AI135" s="52">
        <v>52</v>
      </c>
      <c r="AJ135" s="52">
        <v>74</v>
      </c>
      <c r="AK135" s="52">
        <v>96</v>
      </c>
      <c r="AL135" s="52" t="s">
        <v>42</v>
      </c>
      <c r="AM135" s="52" t="s">
        <v>42</v>
      </c>
      <c r="AN135" s="52" t="s">
        <v>42</v>
      </c>
      <c r="AO135" s="53">
        <v>0.20728182110954105</v>
      </c>
      <c r="AP135" s="53">
        <v>0.49408099565542846</v>
      </c>
      <c r="AQ135" s="53">
        <v>1.2030302497883336</v>
      </c>
      <c r="AR135" s="53" t="s">
        <v>42</v>
      </c>
      <c r="AS135" s="53" t="s">
        <v>42</v>
      </c>
      <c r="AT135" s="53" t="s">
        <v>42</v>
      </c>
      <c r="AV135" s="54" t="s">
        <v>42</v>
      </c>
      <c r="AW135" s="54" t="s">
        <v>42</v>
      </c>
      <c r="AX135" s="54" t="s">
        <v>42</v>
      </c>
      <c r="AY135" s="54" t="s">
        <v>42</v>
      </c>
      <c r="AZ135" s="54" t="s">
        <v>42</v>
      </c>
      <c r="BA135" s="54" t="s">
        <v>42</v>
      </c>
      <c r="BC135" s="55" t="s">
        <v>42</v>
      </c>
      <c r="BD135" s="55" t="s">
        <v>42</v>
      </c>
      <c r="BE135" s="55" t="s">
        <v>42</v>
      </c>
      <c r="BG135" s="54">
        <v>7.1820699890648543</v>
      </c>
      <c r="BH135" s="54">
        <v>7.6150550167442761</v>
      </c>
      <c r="BI135" s="54">
        <v>8.0107407180421788</v>
      </c>
      <c r="BJ135" s="54">
        <v>0.76840677839705529</v>
      </c>
      <c r="BK135" s="54">
        <v>2.3507796697941221</v>
      </c>
      <c r="BL135" s="54">
        <v>7.9796996124925403</v>
      </c>
      <c r="BN135" s="55">
        <v>638.72606572632083</v>
      </c>
      <c r="BO135" s="55">
        <v>4757.8832022787483</v>
      </c>
      <c r="BP135" s="55">
        <v>38496.861759408959</v>
      </c>
      <c r="BR135" s="54" t="s">
        <v>42</v>
      </c>
      <c r="BS135" s="54" t="s">
        <v>42</v>
      </c>
      <c r="BT135" s="54" t="s">
        <v>42</v>
      </c>
      <c r="BU135" s="54" t="s">
        <v>42</v>
      </c>
      <c r="BV135" s="54" t="s">
        <v>42</v>
      </c>
      <c r="BW135" s="54" t="s">
        <v>42</v>
      </c>
      <c r="BY135" s="54" t="s">
        <v>42</v>
      </c>
      <c r="BZ135" s="54" t="s">
        <v>42</v>
      </c>
      <c r="CA135" s="54" t="s">
        <v>42</v>
      </c>
      <c r="CC135">
        <v>338</v>
      </c>
      <c r="CD135">
        <v>115</v>
      </c>
    </row>
    <row r="136" spans="1:83" x14ac:dyDescent="0.2">
      <c r="A136">
        <v>338</v>
      </c>
      <c r="B136">
        <v>116</v>
      </c>
      <c r="C136" s="50" t="s">
        <v>137</v>
      </c>
      <c r="D136" s="52" t="s">
        <v>268</v>
      </c>
      <c r="E136" s="50" t="s">
        <v>401</v>
      </c>
      <c r="F136" s="52" t="s">
        <v>42</v>
      </c>
      <c r="G136" s="51">
        <v>14.5</v>
      </c>
      <c r="H136" s="51">
        <v>185</v>
      </c>
      <c r="I136" s="52">
        <v>100.89999999999999</v>
      </c>
      <c r="J136" s="52">
        <v>163</v>
      </c>
      <c r="K136" s="52" t="s">
        <v>42</v>
      </c>
      <c r="L136" s="52" t="s">
        <v>42</v>
      </c>
      <c r="M136" s="52">
        <v>40</v>
      </c>
      <c r="N136" s="52">
        <v>53</v>
      </c>
      <c r="O136" s="52">
        <v>65</v>
      </c>
      <c r="P136" s="52" t="s">
        <v>9</v>
      </c>
      <c r="Q136" s="52">
        <v>0</v>
      </c>
      <c r="R136" s="52">
        <v>0</v>
      </c>
      <c r="S136" s="52" t="s">
        <v>211</v>
      </c>
      <c r="T136" s="48">
        <v>2624.2176759401827</v>
      </c>
      <c r="U136" s="48">
        <v>3826.9841107460993</v>
      </c>
      <c r="V136" s="48">
        <v>4421.9170767787109</v>
      </c>
      <c r="W136" s="48" t="s">
        <v>42</v>
      </c>
      <c r="X136" s="48" t="s">
        <v>42</v>
      </c>
      <c r="Y136" s="48" t="s">
        <v>42</v>
      </c>
      <c r="Z136" s="48" t="s">
        <v>42</v>
      </c>
      <c r="AB136" s="52" t="s">
        <v>471</v>
      </c>
      <c r="AC136" s="52">
        <v>0.25</v>
      </c>
      <c r="AD136" s="52">
        <v>0.35</v>
      </c>
      <c r="AE136" s="52">
        <v>0.45</v>
      </c>
      <c r="AF136" s="52">
        <v>0.69000000000000006</v>
      </c>
      <c r="AG136" s="52">
        <v>0.91</v>
      </c>
      <c r="AH136" s="52">
        <v>1.1300000000000001</v>
      </c>
      <c r="AI136" s="52">
        <v>52</v>
      </c>
      <c r="AJ136" s="52">
        <v>74</v>
      </c>
      <c r="AK136" s="52">
        <v>96</v>
      </c>
      <c r="AL136" s="53">
        <v>0.16468824317248215</v>
      </c>
      <c r="AM136" s="53">
        <v>0.49408099565542846</v>
      </c>
      <c r="AN136" s="53">
        <v>1.2030302497883336</v>
      </c>
      <c r="AO136" s="53">
        <v>0.20728182110954105</v>
      </c>
      <c r="AP136" s="53">
        <v>0.49408099565542846</v>
      </c>
      <c r="AQ136" s="53">
        <v>1.2030302497883336</v>
      </c>
      <c r="AR136" s="53" t="s">
        <v>42</v>
      </c>
      <c r="AS136" s="53" t="s">
        <v>42</v>
      </c>
      <c r="AT136" s="53" t="s">
        <v>42</v>
      </c>
      <c r="AV136" s="54">
        <v>5.7511980490616308</v>
      </c>
      <c r="AW136" s="54">
        <v>6.1841830767410526</v>
      </c>
      <c r="AX136" s="54">
        <v>6.6720168030140057</v>
      </c>
      <c r="AY136" s="54">
        <v>0.15257681701490941</v>
      </c>
      <c r="AZ136" s="54">
        <v>0.46677682915390784</v>
      </c>
      <c r="BA136" s="54">
        <v>1.7618053275130849</v>
      </c>
      <c r="BC136" s="55">
        <v>126.82708272859676</v>
      </c>
      <c r="BD136" s="55">
        <v>944.73746867090085</v>
      </c>
      <c r="BE136" s="55">
        <v>10697.820886144869</v>
      </c>
      <c r="BG136" s="54">
        <v>7.1820699890648543</v>
      </c>
      <c r="BH136" s="54">
        <v>7.6150550167442761</v>
      </c>
      <c r="BI136" s="54">
        <v>8.0107407180421788</v>
      </c>
      <c r="BJ136" s="54">
        <v>0.76840677839705529</v>
      </c>
      <c r="BK136" s="54">
        <v>2.3507796697941221</v>
      </c>
      <c r="BL136" s="54">
        <v>7.9796996124925403</v>
      </c>
      <c r="BN136" s="55">
        <v>638.72606572632083</v>
      </c>
      <c r="BO136" s="55">
        <v>4757.8832022787483</v>
      </c>
      <c r="BP136" s="55">
        <v>38496.861759408959</v>
      </c>
      <c r="BR136" s="54" t="s">
        <v>42</v>
      </c>
      <c r="BS136" s="54" t="s">
        <v>42</v>
      </c>
      <c r="BT136" s="54" t="s">
        <v>42</v>
      </c>
      <c r="BU136" s="54" t="s">
        <v>42</v>
      </c>
      <c r="BV136" s="54" t="s">
        <v>42</v>
      </c>
      <c r="BW136" s="54" t="s">
        <v>42</v>
      </c>
      <c r="BY136" s="54" t="s">
        <v>42</v>
      </c>
      <c r="BZ136" s="54" t="s">
        <v>42</v>
      </c>
      <c r="CA136" s="54" t="s">
        <v>42</v>
      </c>
      <c r="CC136">
        <v>338</v>
      </c>
      <c r="CD136">
        <v>116</v>
      </c>
    </row>
    <row r="137" spans="1:83" x14ac:dyDescent="0.2">
      <c r="A137">
        <v>339</v>
      </c>
      <c r="B137" t="s">
        <v>416</v>
      </c>
      <c r="C137" s="50" t="s">
        <v>137</v>
      </c>
      <c r="D137" s="50" t="s">
        <v>98</v>
      </c>
      <c r="E137" s="50" t="s">
        <v>42</v>
      </c>
      <c r="F137" s="50" t="s">
        <v>42</v>
      </c>
      <c r="G137" s="51" t="s">
        <v>42</v>
      </c>
      <c r="H137" s="51" t="s">
        <v>42</v>
      </c>
      <c r="I137" s="52">
        <v>18.100000000000001</v>
      </c>
      <c r="J137" s="52">
        <v>338</v>
      </c>
      <c r="K137" s="51" t="s">
        <v>42</v>
      </c>
      <c r="L137" s="52" t="s">
        <v>42</v>
      </c>
      <c r="M137" s="52">
        <v>40</v>
      </c>
      <c r="N137" s="52">
        <v>53</v>
      </c>
      <c r="O137" s="52">
        <v>65</v>
      </c>
      <c r="P137" s="52" t="s">
        <v>13</v>
      </c>
      <c r="Q137" s="52">
        <v>0</v>
      </c>
      <c r="R137" s="52">
        <v>0</v>
      </c>
      <c r="S137" s="52" t="s">
        <v>211</v>
      </c>
      <c r="T137" s="48">
        <v>149.73116516805135</v>
      </c>
      <c r="U137" s="48">
        <v>218.3579492034082</v>
      </c>
      <c r="V137" s="48">
        <v>311.93992743344029</v>
      </c>
      <c r="W137" s="48" t="s">
        <v>42</v>
      </c>
      <c r="X137" s="48" t="s">
        <v>42</v>
      </c>
      <c r="Y137" s="48" t="s">
        <v>42</v>
      </c>
      <c r="Z137" s="48" t="s">
        <v>42</v>
      </c>
      <c r="AB137" s="52" t="s">
        <v>470</v>
      </c>
      <c r="AC137" s="52">
        <v>6.6666666666666671E-3</v>
      </c>
      <c r="AD137" s="52">
        <v>0.02</v>
      </c>
      <c r="AE137" s="52">
        <v>3.3333333333333333E-2</v>
      </c>
      <c r="AF137" s="52">
        <v>0.69000000000000006</v>
      </c>
      <c r="AG137" s="52">
        <v>0.91</v>
      </c>
      <c r="AH137" s="52">
        <v>1.1300000000000001</v>
      </c>
      <c r="AI137" s="52">
        <v>52</v>
      </c>
      <c r="AJ137" s="52">
        <v>74</v>
      </c>
      <c r="AK137" s="52">
        <v>96</v>
      </c>
      <c r="AL137" s="52" t="s">
        <v>42</v>
      </c>
      <c r="AM137" s="52" t="s">
        <v>42</v>
      </c>
      <c r="AN137" s="52" t="s">
        <v>42</v>
      </c>
      <c r="AO137" s="53">
        <v>5.3019886295555896E-3</v>
      </c>
      <c r="AP137" s="53">
        <v>2.907033256572146E-2</v>
      </c>
      <c r="AQ137" s="53">
        <v>8.8638679670975384E-2</v>
      </c>
      <c r="AR137" s="53" t="s">
        <v>42</v>
      </c>
      <c r="AS137" s="53" t="s">
        <v>42</v>
      </c>
      <c r="AT137" s="53" t="s">
        <v>42</v>
      </c>
      <c r="AV137" s="54" t="s">
        <v>42</v>
      </c>
      <c r="AW137" s="54" t="s">
        <v>42</v>
      </c>
      <c r="AX137" s="54" t="s">
        <v>42</v>
      </c>
      <c r="AY137" s="54" t="s">
        <v>42</v>
      </c>
      <c r="AZ137" s="54" t="s">
        <v>42</v>
      </c>
      <c r="BA137" s="54" t="s">
        <v>42</v>
      </c>
      <c r="BC137" s="55" t="s">
        <v>42</v>
      </c>
      <c r="BD137" s="55" t="s">
        <v>42</v>
      </c>
      <c r="BE137" s="55" t="s">
        <v>42</v>
      </c>
      <c r="BG137" s="54">
        <v>5.9383823367853097</v>
      </c>
      <c r="BH137" s="54">
        <v>6.3713673644647315</v>
      </c>
      <c r="BI137" s="54">
        <v>6.8592010907376872</v>
      </c>
      <c r="BJ137" s="54">
        <v>0.18354702983925267</v>
      </c>
      <c r="BK137" s="54">
        <v>0.56152371156498881</v>
      </c>
      <c r="BL137" s="54">
        <v>2.1194185417329807</v>
      </c>
      <c r="BN137" s="55">
        <v>2070.7328958483449</v>
      </c>
      <c r="BO137" s="55">
        <v>19316.040168976757</v>
      </c>
      <c r="BP137" s="55">
        <v>399740.30308522738</v>
      </c>
      <c r="BR137" s="54" t="s">
        <v>42</v>
      </c>
      <c r="BS137" s="54" t="s">
        <v>42</v>
      </c>
      <c r="BT137" s="54" t="s">
        <v>42</v>
      </c>
      <c r="BU137" s="54" t="s">
        <v>42</v>
      </c>
      <c r="BV137" s="54" t="s">
        <v>42</v>
      </c>
      <c r="BW137" s="54" t="s">
        <v>42</v>
      </c>
      <c r="BY137" s="54" t="s">
        <v>42</v>
      </c>
      <c r="BZ137" s="54" t="s">
        <v>42</v>
      </c>
      <c r="CA137" s="54" t="s">
        <v>42</v>
      </c>
      <c r="CC137">
        <v>339</v>
      </c>
      <c r="CD137" t="s">
        <v>416</v>
      </c>
    </row>
    <row r="138" spans="1:83" x14ac:dyDescent="0.2">
      <c r="A138">
        <v>340</v>
      </c>
      <c r="B138">
        <v>117</v>
      </c>
      <c r="C138" s="50" t="s">
        <v>137</v>
      </c>
      <c r="D138" s="50" t="s">
        <v>99</v>
      </c>
      <c r="E138" s="50" t="s">
        <v>215</v>
      </c>
      <c r="F138" s="50" t="s">
        <v>178</v>
      </c>
      <c r="G138" s="51">
        <v>11.9</v>
      </c>
      <c r="H138" s="51">
        <v>174</v>
      </c>
      <c r="I138" s="52">
        <v>30.7</v>
      </c>
      <c r="J138" s="52">
        <v>170</v>
      </c>
      <c r="K138" s="52">
        <v>50.5</v>
      </c>
      <c r="L138" s="52">
        <v>166</v>
      </c>
      <c r="M138" s="52">
        <v>40</v>
      </c>
      <c r="N138" s="52">
        <v>53</v>
      </c>
      <c r="O138" s="52">
        <v>65</v>
      </c>
      <c r="P138" s="52" t="s">
        <v>9</v>
      </c>
      <c r="Q138" s="52">
        <v>0</v>
      </c>
      <c r="R138" s="52">
        <v>0</v>
      </c>
      <c r="S138" s="52" t="s">
        <v>211</v>
      </c>
      <c r="T138" s="48">
        <v>361.19789044394361</v>
      </c>
      <c r="U138" s="48">
        <v>526.74692356408457</v>
      </c>
      <c r="V138" s="48">
        <v>752.49560509154924</v>
      </c>
      <c r="W138" s="48" t="s">
        <v>211</v>
      </c>
      <c r="X138" s="48">
        <v>827.94256325484253</v>
      </c>
      <c r="Y138" s="48">
        <v>1207.4162380799787</v>
      </c>
      <c r="Z138" s="48">
        <v>1724.8803401142554</v>
      </c>
      <c r="AB138" s="52" t="s">
        <v>470</v>
      </c>
      <c r="AC138" s="52">
        <v>6.6666666666666671E-3</v>
      </c>
      <c r="AD138" s="52">
        <v>0.02</v>
      </c>
      <c r="AE138" s="52">
        <v>3.3333333333333333E-2</v>
      </c>
      <c r="AF138" s="52">
        <v>0.69000000000000006</v>
      </c>
      <c r="AG138" s="52">
        <v>0.91</v>
      </c>
      <c r="AH138" s="52">
        <v>1.1300000000000001</v>
      </c>
      <c r="AI138" s="52">
        <v>52</v>
      </c>
      <c r="AJ138" s="52">
        <v>74</v>
      </c>
      <c r="AK138" s="52">
        <v>96</v>
      </c>
      <c r="AL138" s="53">
        <v>5.0924215655640155E-3</v>
      </c>
      <c r="AM138" s="53">
        <v>2.9580993575259295E-2</v>
      </c>
      <c r="AN138" s="53">
        <v>8.7772888021150866E-2</v>
      </c>
      <c r="AO138" s="53">
        <v>5.3019886295555888E-3</v>
      </c>
      <c r="AP138" s="53">
        <v>2.907033256572146E-2</v>
      </c>
      <c r="AQ138" s="53">
        <v>8.8638679670975384E-2</v>
      </c>
      <c r="AR138" s="53">
        <v>5.4857249378980023E-3</v>
      </c>
      <c r="AS138" s="53">
        <v>2.8418043818063041E-2</v>
      </c>
      <c r="AT138" s="53">
        <v>8.9072632583371864E-2</v>
      </c>
      <c r="AV138" s="54">
        <v>5.6081629809908904</v>
      </c>
      <c r="AW138" s="54">
        <v>6.0411480086703122</v>
      </c>
      <c r="AX138" s="54">
        <v>6.5289817349432653</v>
      </c>
      <c r="AY138" s="54">
        <v>0.129410947383474</v>
      </c>
      <c r="AZ138" s="54">
        <v>0.39590570087432359</v>
      </c>
      <c r="BA138" s="54">
        <v>1.4943089061586661</v>
      </c>
      <c r="BC138" s="55">
        <v>1474.3840643854569</v>
      </c>
      <c r="BD138" s="55">
        <v>13383.786446086378</v>
      </c>
      <c r="BE138" s="55">
        <v>293437.785328592</v>
      </c>
      <c r="BG138" s="54">
        <v>6.3208153377986491</v>
      </c>
      <c r="BH138" s="54">
        <v>6.7538003654780709</v>
      </c>
      <c r="BI138" s="54">
        <v>7.241634091751024</v>
      </c>
      <c r="BJ138" s="54">
        <v>0.28507810394677352</v>
      </c>
      <c r="BK138" s="54">
        <v>0.87213677690287661</v>
      </c>
      <c r="BL138" s="54">
        <v>3.2917984010747574</v>
      </c>
      <c r="BN138" s="55">
        <v>3216.1817505063982</v>
      </c>
      <c r="BO138" s="55">
        <v>30000.921899712437</v>
      </c>
      <c r="BP138" s="55">
        <v>620861.08271240769</v>
      </c>
      <c r="BR138" s="54">
        <v>6.6810703422011057</v>
      </c>
      <c r="BS138" s="54">
        <v>7.1140553698805276</v>
      </c>
      <c r="BT138" s="54">
        <v>7.6018890961534806</v>
      </c>
      <c r="BU138" s="54">
        <v>0.4316098663519401</v>
      </c>
      <c r="BV138" s="54">
        <v>1.3204200270321134</v>
      </c>
      <c r="BW138" s="54">
        <v>4.9838014504638206</v>
      </c>
      <c r="BY138" s="55">
        <v>4845.5945876299747</v>
      </c>
      <c r="BZ138" s="55">
        <v>46464.142130459724</v>
      </c>
      <c r="CA138" s="55">
        <v>908503.70860437141</v>
      </c>
      <c r="CC138">
        <v>340</v>
      </c>
      <c r="CD138">
        <v>117</v>
      </c>
      <c r="CE138">
        <v>605</v>
      </c>
    </row>
    <row r="139" spans="1:83" x14ac:dyDescent="0.2">
      <c r="A139">
        <v>340</v>
      </c>
      <c r="B139">
        <v>118</v>
      </c>
      <c r="C139" s="50" t="s">
        <v>137</v>
      </c>
      <c r="D139" s="50" t="s">
        <v>99</v>
      </c>
      <c r="E139" s="50" t="s">
        <v>216</v>
      </c>
      <c r="F139" s="50" t="s">
        <v>178</v>
      </c>
      <c r="G139" s="51">
        <v>8.6</v>
      </c>
      <c r="H139" s="51">
        <v>172</v>
      </c>
      <c r="I139" s="52">
        <v>30.7</v>
      </c>
      <c r="J139" s="52">
        <v>170</v>
      </c>
      <c r="K139" s="52">
        <v>50.5</v>
      </c>
      <c r="L139" s="52">
        <v>166</v>
      </c>
      <c r="M139" s="52">
        <v>40</v>
      </c>
      <c r="N139" s="52">
        <v>53</v>
      </c>
      <c r="O139" s="52">
        <v>65</v>
      </c>
      <c r="P139" s="52" t="s">
        <v>9</v>
      </c>
      <c r="Q139" s="52">
        <v>0</v>
      </c>
      <c r="R139" s="52">
        <v>0</v>
      </c>
      <c r="S139" s="52" t="s">
        <v>211</v>
      </c>
      <c r="T139" s="48">
        <v>361.19789044394361</v>
      </c>
      <c r="U139" s="48">
        <v>526.74692356408457</v>
      </c>
      <c r="V139" s="48">
        <v>752.49560509154924</v>
      </c>
      <c r="W139" s="48" t="s">
        <v>211</v>
      </c>
      <c r="X139" s="48">
        <v>827.94256325484253</v>
      </c>
      <c r="Y139" s="48">
        <v>1207.4162380799787</v>
      </c>
      <c r="Z139" s="48">
        <v>1724.8803401142554</v>
      </c>
      <c r="AB139" s="52" t="s">
        <v>470</v>
      </c>
      <c r="AC139" s="52">
        <v>6.6666666666666671E-3</v>
      </c>
      <c r="AD139" s="52">
        <v>0.02</v>
      </c>
      <c r="AE139" s="52">
        <v>3.3333333333333333E-2</v>
      </c>
      <c r="AF139" s="52">
        <v>0.69000000000000006</v>
      </c>
      <c r="AG139" s="52">
        <v>0.91</v>
      </c>
      <c r="AH139" s="52">
        <v>1.1300000000000001</v>
      </c>
      <c r="AI139" s="52">
        <v>52</v>
      </c>
      <c r="AJ139" s="52">
        <v>74</v>
      </c>
      <c r="AK139" s="52">
        <v>96</v>
      </c>
      <c r="AL139" s="53">
        <v>5.200373024296827E-3</v>
      </c>
      <c r="AM139" s="53">
        <v>2.9343538361224161E-2</v>
      </c>
      <c r="AN139" s="53">
        <v>8.8259549178729607E-2</v>
      </c>
      <c r="AO139" s="53">
        <v>5.3019886295555888E-3</v>
      </c>
      <c r="AP139" s="53">
        <v>2.907033256572146E-2</v>
      </c>
      <c r="AQ139" s="53">
        <v>8.8638679670975384E-2</v>
      </c>
      <c r="AR139" s="53">
        <v>5.4857249378980023E-3</v>
      </c>
      <c r="AS139" s="53">
        <v>2.8418043818063041E-2</v>
      </c>
      <c r="AT139" s="53">
        <v>8.9072632583371864E-2</v>
      </c>
      <c r="AV139" s="54">
        <v>5.3730821307426169</v>
      </c>
      <c r="AW139" s="54">
        <v>5.8060671584220387</v>
      </c>
      <c r="AX139" s="54">
        <v>6.2939008846949918</v>
      </c>
      <c r="AY139" s="54">
        <v>9.8725784048369958E-2</v>
      </c>
      <c r="AZ139" s="54">
        <v>0.30203086769943877</v>
      </c>
      <c r="BA139" s="54">
        <v>1.1399871599256652</v>
      </c>
      <c r="BC139" s="55">
        <v>1118.5847306838805</v>
      </c>
      <c r="BD139" s="55">
        <v>10292.925958055406</v>
      </c>
      <c r="BE139" s="55">
        <v>219212.57467483493</v>
      </c>
      <c r="BG139" s="54">
        <v>6.3208153377986491</v>
      </c>
      <c r="BH139" s="54">
        <v>6.7538003654780709</v>
      </c>
      <c r="BI139" s="54">
        <v>7.241634091751024</v>
      </c>
      <c r="BJ139" s="54">
        <v>0.28507810394677352</v>
      </c>
      <c r="BK139" s="54">
        <v>0.87213677690287661</v>
      </c>
      <c r="BL139" s="54">
        <v>3.2917984010747574</v>
      </c>
      <c r="BN139" s="55">
        <v>3216.1817505063982</v>
      </c>
      <c r="BO139" s="55">
        <v>30000.921899712437</v>
      </c>
      <c r="BP139" s="55">
        <v>620861.08271240769</v>
      </c>
      <c r="BR139" s="54">
        <v>6.6810703422011057</v>
      </c>
      <c r="BS139" s="54">
        <v>7.1140553698805276</v>
      </c>
      <c r="BT139" s="54">
        <v>7.6018890961534806</v>
      </c>
      <c r="BU139" s="54">
        <v>0.4316098663519401</v>
      </c>
      <c r="BV139" s="54">
        <v>1.3204200270321134</v>
      </c>
      <c r="BW139" s="54">
        <v>4.9838014504638206</v>
      </c>
      <c r="BY139" s="55">
        <v>4845.5945876299747</v>
      </c>
      <c r="BZ139" s="55">
        <v>46464.142130459724</v>
      </c>
      <c r="CA139" s="55">
        <v>908503.70860437141</v>
      </c>
      <c r="CC139">
        <v>340</v>
      </c>
      <c r="CD139">
        <v>118</v>
      </c>
      <c r="CE139">
        <v>605</v>
      </c>
    </row>
    <row r="140" spans="1:83" x14ac:dyDescent="0.2">
      <c r="A140">
        <v>340</v>
      </c>
      <c r="B140">
        <v>119</v>
      </c>
      <c r="C140" s="50" t="s">
        <v>137</v>
      </c>
      <c r="D140" s="50" t="s">
        <v>99</v>
      </c>
      <c r="E140" s="50" t="s">
        <v>217</v>
      </c>
      <c r="F140" s="50" t="s">
        <v>178</v>
      </c>
      <c r="G140" s="51">
        <v>10.199999999999999</v>
      </c>
      <c r="H140" s="51">
        <v>163</v>
      </c>
      <c r="I140" s="52">
        <v>30.7</v>
      </c>
      <c r="J140" s="52">
        <v>170</v>
      </c>
      <c r="K140" s="52">
        <v>50.5</v>
      </c>
      <c r="L140" s="52">
        <v>166</v>
      </c>
      <c r="M140" s="52">
        <v>40</v>
      </c>
      <c r="N140" s="52">
        <v>53</v>
      </c>
      <c r="O140" s="52">
        <v>65</v>
      </c>
      <c r="P140" s="52" t="s">
        <v>10</v>
      </c>
      <c r="Q140" s="52">
        <v>0</v>
      </c>
      <c r="R140" s="52">
        <v>0</v>
      </c>
      <c r="S140" s="52" t="s">
        <v>211</v>
      </c>
      <c r="T140" s="48">
        <v>361.19789044394361</v>
      </c>
      <c r="U140" s="48">
        <v>526.74692356408457</v>
      </c>
      <c r="V140" s="48">
        <v>752.49560509154924</v>
      </c>
      <c r="W140" s="48" t="s">
        <v>211</v>
      </c>
      <c r="X140" s="48">
        <v>827.94256325484253</v>
      </c>
      <c r="Y140" s="48">
        <v>1207.4162380799787</v>
      </c>
      <c r="Z140" s="48">
        <v>1724.8803401142554</v>
      </c>
      <c r="AB140" s="52" t="s">
        <v>470</v>
      </c>
      <c r="AC140" s="52">
        <v>6.6666666666666671E-3</v>
      </c>
      <c r="AD140" s="52">
        <v>0.02</v>
      </c>
      <c r="AE140" s="52">
        <v>3.3333333333333333E-2</v>
      </c>
      <c r="AF140" s="52">
        <v>0.69000000000000006</v>
      </c>
      <c r="AG140" s="52">
        <v>0.91</v>
      </c>
      <c r="AH140" s="52">
        <v>1.1300000000000001</v>
      </c>
      <c r="AI140" s="52">
        <v>52</v>
      </c>
      <c r="AJ140" s="52">
        <v>74</v>
      </c>
      <c r="AK140" s="52">
        <v>96</v>
      </c>
      <c r="AL140" s="53">
        <v>5.5275152295877605E-3</v>
      </c>
      <c r="AM140" s="53">
        <v>2.8233199751738765E-2</v>
      </c>
      <c r="AN140" s="53">
        <v>8.9113351836172847E-2</v>
      </c>
      <c r="AO140" s="53">
        <v>5.3019886295555888E-3</v>
      </c>
      <c r="AP140" s="53">
        <v>2.907033256572146E-2</v>
      </c>
      <c r="AQ140" s="53">
        <v>8.8638679670975384E-2</v>
      </c>
      <c r="AR140" s="53">
        <v>5.4857249378980023E-3</v>
      </c>
      <c r="AS140" s="53">
        <v>2.8418043818063041E-2</v>
      </c>
      <c r="AT140" s="53">
        <v>8.9072632583371864E-2</v>
      </c>
      <c r="AV140" s="54">
        <v>5.4965849982732022</v>
      </c>
      <c r="AW140" s="54">
        <v>5.9295700259526241</v>
      </c>
      <c r="AX140" s="54">
        <v>6.4174037522255771</v>
      </c>
      <c r="AY140" s="54">
        <v>0.11381041978295517</v>
      </c>
      <c r="AZ140" s="54">
        <v>0.34817915270687444</v>
      </c>
      <c r="BA140" s="54">
        <v>1.3141695299654697</v>
      </c>
      <c r="BC140" s="55">
        <v>1277.1421727260997</v>
      </c>
      <c r="BD140" s="55">
        <v>12332.259742731836</v>
      </c>
      <c r="BE140" s="55">
        <v>237750.50368580889</v>
      </c>
      <c r="BG140" s="54">
        <v>6.3208153377986491</v>
      </c>
      <c r="BH140" s="54">
        <v>6.7538003654780709</v>
      </c>
      <c r="BI140" s="54">
        <v>7.241634091751024</v>
      </c>
      <c r="BJ140" s="54">
        <v>0.28507810394677352</v>
      </c>
      <c r="BK140" s="54">
        <v>0.87213677690287661</v>
      </c>
      <c r="BL140" s="54">
        <v>3.2917984010747574</v>
      </c>
      <c r="BN140" s="55">
        <v>3216.1817505063982</v>
      </c>
      <c r="BO140" s="55">
        <v>30000.921899712437</v>
      </c>
      <c r="BP140" s="55">
        <v>620861.08271240769</v>
      </c>
      <c r="BR140" s="54">
        <v>6.6810703422011057</v>
      </c>
      <c r="BS140" s="54">
        <v>7.1140553698805276</v>
      </c>
      <c r="BT140" s="54">
        <v>7.6018890961534806</v>
      </c>
      <c r="BU140" s="54">
        <v>0.4316098663519401</v>
      </c>
      <c r="BV140" s="54">
        <v>1.3204200270321134</v>
      </c>
      <c r="BW140" s="54">
        <v>4.9838014504638206</v>
      </c>
      <c r="BY140" s="55">
        <v>4845.5945876299747</v>
      </c>
      <c r="BZ140" s="55">
        <v>46464.142130459724</v>
      </c>
      <c r="CA140" s="55">
        <v>908503.70860437141</v>
      </c>
      <c r="CC140">
        <v>340</v>
      </c>
      <c r="CD140">
        <v>119</v>
      </c>
      <c r="CE140">
        <v>605</v>
      </c>
    </row>
    <row r="141" spans="1:83" x14ac:dyDescent="0.2">
      <c r="A141">
        <v>341</v>
      </c>
      <c r="B141" t="s">
        <v>416</v>
      </c>
      <c r="C141" s="50" t="s">
        <v>137</v>
      </c>
      <c r="D141" s="50" t="s">
        <v>162</v>
      </c>
      <c r="E141" s="50" t="s">
        <v>42</v>
      </c>
      <c r="F141" s="50" t="s">
        <v>178</v>
      </c>
      <c r="G141" s="51" t="s">
        <v>42</v>
      </c>
      <c r="H141" s="51" t="s">
        <v>42</v>
      </c>
      <c r="I141" s="52">
        <v>9.3000000000000007</v>
      </c>
      <c r="J141" s="52">
        <v>180</v>
      </c>
      <c r="K141" s="52">
        <v>50.5</v>
      </c>
      <c r="L141" s="52">
        <v>166</v>
      </c>
      <c r="M141" s="52">
        <v>40</v>
      </c>
      <c r="N141" s="52">
        <v>53</v>
      </c>
      <c r="O141" s="52">
        <v>65</v>
      </c>
      <c r="P141" s="52" t="s">
        <v>10</v>
      </c>
      <c r="Q141" s="52">
        <v>0</v>
      </c>
      <c r="R141" s="52">
        <v>0</v>
      </c>
      <c r="S141" s="52" t="s">
        <v>211</v>
      </c>
      <c r="T141" s="48">
        <v>49.35367463152474</v>
      </c>
      <c r="U141" s="48">
        <v>71.974108837640244</v>
      </c>
      <c r="V141" s="48">
        <v>102.8201554823432</v>
      </c>
      <c r="W141" s="48" t="s">
        <v>211</v>
      </c>
      <c r="X141" s="48">
        <v>827.94256325484253</v>
      </c>
      <c r="Y141" s="48">
        <v>1207.4162380799787</v>
      </c>
      <c r="Z141" s="48">
        <v>1724.8803401142554</v>
      </c>
      <c r="AB141" s="52" t="s">
        <v>470</v>
      </c>
      <c r="AC141" s="52">
        <v>6.6666666666666671E-3</v>
      </c>
      <c r="AD141" s="52">
        <v>0.02</v>
      </c>
      <c r="AE141" s="52">
        <v>3.3333333333333333E-2</v>
      </c>
      <c r="AF141" s="52">
        <v>0.69000000000000006</v>
      </c>
      <c r="AG141" s="52">
        <v>0.91</v>
      </c>
      <c r="AH141" s="52">
        <v>1.1300000000000001</v>
      </c>
      <c r="AI141" s="52">
        <v>52</v>
      </c>
      <c r="AJ141" s="52">
        <v>74</v>
      </c>
      <c r="AK141" s="52">
        <v>96</v>
      </c>
      <c r="AL141" s="52" t="s">
        <v>42</v>
      </c>
      <c r="AM141" s="52" t="s">
        <v>42</v>
      </c>
      <c r="AN141" s="52" t="s">
        <v>42</v>
      </c>
      <c r="AO141" s="53">
        <v>4.7319049164200114E-3</v>
      </c>
      <c r="AP141" s="53">
        <v>2.907033256572146E-2</v>
      </c>
      <c r="AQ141" s="53">
        <v>8.8638679670975384E-2</v>
      </c>
      <c r="AR141" s="53">
        <v>5.4857249378980023E-3</v>
      </c>
      <c r="AS141" s="53">
        <v>2.8418043818063041E-2</v>
      </c>
      <c r="AT141" s="53">
        <v>8.9072632583371864E-2</v>
      </c>
      <c r="AV141" s="54" t="s">
        <v>42</v>
      </c>
      <c r="AW141" s="54" t="s">
        <v>42</v>
      </c>
      <c r="AX141" s="54" t="s">
        <v>42</v>
      </c>
      <c r="AY141" s="54" t="s">
        <v>42</v>
      </c>
      <c r="AZ141" s="54" t="s">
        <v>42</v>
      </c>
      <c r="BA141" s="54" t="s">
        <v>42</v>
      </c>
      <c r="BC141" s="55" t="s">
        <v>42</v>
      </c>
      <c r="BD141" s="55" t="s">
        <v>42</v>
      </c>
      <c r="BE141" s="55" t="s">
        <v>42</v>
      </c>
      <c r="BG141" s="54">
        <v>5.4563896262598943</v>
      </c>
      <c r="BH141" s="54">
        <v>5.8893746539393179</v>
      </c>
      <c r="BI141" s="54">
        <v>6.377208380212271</v>
      </c>
      <c r="BJ141" s="54">
        <v>0.10537825578407085</v>
      </c>
      <c r="BK141" s="54">
        <v>0.32238271225602738</v>
      </c>
      <c r="BL141" s="54">
        <v>1.2168032868733321</v>
      </c>
      <c r="BN141" s="55">
        <v>1188.8518215211732</v>
      </c>
      <c r="BO141" s="55">
        <v>11089.749713980493</v>
      </c>
      <c r="BP141" s="55">
        <v>257148.71882800249</v>
      </c>
      <c r="BR141" s="54">
        <v>6.6810703422011057</v>
      </c>
      <c r="BS141" s="54">
        <v>7.1140553698805276</v>
      </c>
      <c r="BT141" s="54">
        <v>7.6018890961534806</v>
      </c>
      <c r="BU141" s="54">
        <v>0.4316098663519401</v>
      </c>
      <c r="BV141" s="54">
        <v>1.3204200270321134</v>
      </c>
      <c r="BW141" s="54">
        <v>4.9838014504638206</v>
      </c>
      <c r="BY141" s="55">
        <v>4845.5945876299747</v>
      </c>
      <c r="BZ141" s="55">
        <v>46464.142130459724</v>
      </c>
      <c r="CA141" s="55">
        <v>908503.70860437141</v>
      </c>
      <c r="CC141">
        <v>341</v>
      </c>
      <c r="CD141" t="s">
        <v>416</v>
      </c>
      <c r="CE141">
        <v>605</v>
      </c>
    </row>
    <row r="142" spans="1:83" x14ac:dyDescent="0.2">
      <c r="A142">
        <v>342</v>
      </c>
      <c r="B142" t="s">
        <v>416</v>
      </c>
      <c r="C142" s="50" t="s">
        <v>137</v>
      </c>
      <c r="D142" s="52" t="s">
        <v>163</v>
      </c>
      <c r="E142" s="50" t="s">
        <v>42</v>
      </c>
      <c r="F142" s="50" t="s">
        <v>178</v>
      </c>
      <c r="G142" s="51" t="s">
        <v>42</v>
      </c>
      <c r="H142" s="51" t="s">
        <v>42</v>
      </c>
      <c r="I142" s="52">
        <v>10.5</v>
      </c>
      <c r="J142" s="52">
        <v>148</v>
      </c>
      <c r="K142" s="52">
        <v>50.5</v>
      </c>
      <c r="L142" s="52">
        <v>166</v>
      </c>
      <c r="M142" s="52">
        <v>40</v>
      </c>
      <c r="N142" s="52">
        <v>53</v>
      </c>
      <c r="O142" s="52">
        <v>65</v>
      </c>
      <c r="P142" s="52" t="s">
        <v>10</v>
      </c>
      <c r="Q142" s="52">
        <v>0</v>
      </c>
      <c r="R142" s="52">
        <v>0</v>
      </c>
      <c r="S142" s="52" t="s">
        <v>211</v>
      </c>
      <c r="T142" s="48">
        <v>60.417591874429668</v>
      </c>
      <c r="U142" s="48">
        <v>88.108988150209953</v>
      </c>
      <c r="V142" s="48">
        <v>125.86998307172848</v>
      </c>
      <c r="W142" s="48" t="s">
        <v>211</v>
      </c>
      <c r="X142" s="48">
        <v>827.94256325484253</v>
      </c>
      <c r="Y142" s="48">
        <v>1207.4162380799787</v>
      </c>
      <c r="Z142" s="48">
        <v>1724.8803401142554</v>
      </c>
      <c r="AB142" s="52" t="s">
        <v>470</v>
      </c>
      <c r="AC142" s="52">
        <v>6.6666666666666671E-3</v>
      </c>
      <c r="AD142" s="52">
        <v>0.02</v>
      </c>
      <c r="AE142" s="52">
        <v>3.3333333333333333E-2</v>
      </c>
      <c r="AF142" s="52">
        <v>0.69000000000000006</v>
      </c>
      <c r="AG142" s="52">
        <v>0.91</v>
      </c>
      <c r="AH142" s="52">
        <v>1.1300000000000001</v>
      </c>
      <c r="AI142" s="52">
        <v>52</v>
      </c>
      <c r="AJ142" s="52">
        <v>74</v>
      </c>
      <c r="AK142" s="52">
        <v>96</v>
      </c>
      <c r="AL142" s="52" t="s">
        <v>42</v>
      </c>
      <c r="AM142" s="52" t="s">
        <v>42</v>
      </c>
      <c r="AN142" s="52" t="s">
        <v>42</v>
      </c>
      <c r="AO142" s="53">
        <v>4.7319049164200114E-3</v>
      </c>
      <c r="AP142" s="53">
        <v>2.907033256572146E-2</v>
      </c>
      <c r="AQ142" s="53">
        <v>8.8638679670975384E-2</v>
      </c>
      <c r="AR142" s="53">
        <v>5.4857249378980023E-3</v>
      </c>
      <c r="AS142" s="53">
        <v>2.8418043818063041E-2</v>
      </c>
      <c r="AT142" s="53">
        <v>8.9072632583371864E-2</v>
      </c>
      <c r="AV142" s="54" t="s">
        <v>42</v>
      </c>
      <c r="AW142" s="54" t="s">
        <v>42</v>
      </c>
      <c r="AX142" s="54" t="s">
        <v>42</v>
      </c>
      <c r="AY142" s="54" t="s">
        <v>42</v>
      </c>
      <c r="AZ142" s="54" t="s">
        <v>42</v>
      </c>
      <c r="BA142" s="54" t="s">
        <v>42</v>
      </c>
      <c r="BC142" s="55" t="s">
        <v>42</v>
      </c>
      <c r="BD142" s="55" t="s">
        <v>42</v>
      </c>
      <c r="BE142" s="55" t="s">
        <v>42</v>
      </c>
      <c r="BG142" s="54">
        <v>5.5442335437865653</v>
      </c>
      <c r="BH142" s="54">
        <v>5.9772185714659898</v>
      </c>
      <c r="BI142" s="54">
        <v>6.4650522977389429</v>
      </c>
      <c r="BJ142" s="54">
        <v>0.11659313089434843</v>
      </c>
      <c r="BK142" s="54">
        <v>0.356692274781643</v>
      </c>
      <c r="BL142" s="54">
        <v>1.3463015101502682</v>
      </c>
      <c r="BN142" s="55">
        <v>1315.375311626248</v>
      </c>
      <c r="BO142" s="55">
        <v>12269.97572096027</v>
      </c>
      <c r="BP142" s="55">
        <v>284515.75716970058</v>
      </c>
      <c r="BR142" s="54">
        <v>6.6810703422011057</v>
      </c>
      <c r="BS142" s="54">
        <v>7.1140553698805276</v>
      </c>
      <c r="BT142" s="54">
        <v>7.6018890961534806</v>
      </c>
      <c r="BU142" s="54">
        <v>0.4316098663519401</v>
      </c>
      <c r="BV142" s="54">
        <v>1.3204200270321134</v>
      </c>
      <c r="BW142" s="54">
        <v>4.9838014504638206</v>
      </c>
      <c r="BY142" s="55">
        <v>4845.5945876299747</v>
      </c>
      <c r="BZ142" s="55">
        <v>46464.142130459724</v>
      </c>
      <c r="CA142" s="55">
        <v>908503.70860437141</v>
      </c>
      <c r="CC142">
        <v>342</v>
      </c>
      <c r="CD142" t="s">
        <v>416</v>
      </c>
      <c r="CE142">
        <v>605</v>
      </c>
    </row>
    <row r="143" spans="1:83" x14ac:dyDescent="0.2">
      <c r="A143">
        <v>343</v>
      </c>
      <c r="B143" t="s">
        <v>416</v>
      </c>
      <c r="C143" s="50" t="s">
        <v>137</v>
      </c>
      <c r="D143" s="50" t="s">
        <v>105</v>
      </c>
      <c r="E143" s="50" t="s">
        <v>42</v>
      </c>
      <c r="F143" s="50" t="s">
        <v>42</v>
      </c>
      <c r="G143" s="51" t="s">
        <v>42</v>
      </c>
      <c r="H143" s="51" t="s">
        <v>42</v>
      </c>
      <c r="I143" s="52">
        <v>24.7</v>
      </c>
      <c r="J143" s="52">
        <v>169</v>
      </c>
      <c r="K143" s="51" t="s">
        <v>42</v>
      </c>
      <c r="L143" s="52" t="s">
        <v>42</v>
      </c>
      <c r="M143" s="52">
        <v>40</v>
      </c>
      <c r="N143" s="52">
        <v>53</v>
      </c>
      <c r="O143" s="52">
        <v>65</v>
      </c>
      <c r="P143" s="52" t="s">
        <v>9</v>
      </c>
      <c r="Q143" s="52">
        <v>0</v>
      </c>
      <c r="R143" s="52">
        <v>0</v>
      </c>
      <c r="S143" s="52" t="s">
        <v>211</v>
      </c>
      <c r="T143" s="48">
        <v>251.38701134250513</v>
      </c>
      <c r="U143" s="48">
        <v>366.60605820782001</v>
      </c>
      <c r="V143" s="48">
        <v>523.72294029688567</v>
      </c>
      <c r="W143" s="48" t="s">
        <v>42</v>
      </c>
      <c r="X143" s="48" t="s">
        <v>42</v>
      </c>
      <c r="Y143" s="48" t="s">
        <v>42</v>
      </c>
      <c r="Z143" s="48" t="s">
        <v>42</v>
      </c>
      <c r="AB143" s="52" t="s">
        <v>470</v>
      </c>
      <c r="AC143" s="52">
        <v>6.6666666666666671E-3</v>
      </c>
      <c r="AD143" s="52">
        <v>0.02</v>
      </c>
      <c r="AE143" s="52">
        <v>3.3333333333333333E-2</v>
      </c>
      <c r="AF143" s="52">
        <v>0.69000000000000006</v>
      </c>
      <c r="AG143" s="52">
        <v>0.91</v>
      </c>
      <c r="AH143" s="52">
        <v>1.1300000000000001</v>
      </c>
      <c r="AI143" s="52">
        <v>52</v>
      </c>
      <c r="AJ143" s="52">
        <v>74</v>
      </c>
      <c r="AK143" s="52">
        <v>96</v>
      </c>
      <c r="AL143" s="52" t="s">
        <v>42</v>
      </c>
      <c r="AM143" s="52" t="s">
        <v>42</v>
      </c>
      <c r="AN143" s="52" t="s">
        <v>42</v>
      </c>
      <c r="AO143" s="53">
        <v>5.3503814929833186E-3</v>
      </c>
      <c r="AP143" s="53">
        <v>2.8920425527712269E-2</v>
      </c>
      <c r="AQ143" s="53">
        <v>8.8787771436022636E-2</v>
      </c>
      <c r="AR143" s="53" t="s">
        <v>42</v>
      </c>
      <c r="AS143" s="53" t="s">
        <v>42</v>
      </c>
      <c r="AT143" s="53" t="s">
        <v>42</v>
      </c>
      <c r="AV143" s="54" t="s">
        <v>42</v>
      </c>
      <c r="AW143" s="54" t="s">
        <v>42</v>
      </c>
      <c r="AX143" s="54" t="s">
        <v>42</v>
      </c>
      <c r="AY143" s="54" t="s">
        <v>42</v>
      </c>
      <c r="AZ143" s="54" t="s">
        <v>42</v>
      </c>
      <c r="BA143" s="54" t="s">
        <v>42</v>
      </c>
      <c r="BC143" s="55" t="s">
        <v>42</v>
      </c>
      <c r="BD143" s="55" t="s">
        <v>42</v>
      </c>
      <c r="BE143" s="55" t="s">
        <v>42</v>
      </c>
      <c r="BG143" s="54">
        <v>6.1634129674361136</v>
      </c>
      <c r="BH143" s="54">
        <v>6.5963979951155354</v>
      </c>
      <c r="BI143" s="54">
        <v>7.0842317213884884</v>
      </c>
      <c r="BJ143" s="54">
        <v>0.23782783174402389</v>
      </c>
      <c r="BK143" s="54">
        <v>0.72758446111231112</v>
      </c>
      <c r="BL143" s="54">
        <v>2.7461992535639443</v>
      </c>
      <c r="BN143" s="55">
        <v>2678.610217347265</v>
      </c>
      <c r="BO143" s="55">
        <v>25158.151992442909</v>
      </c>
      <c r="BP143" s="55">
        <v>513271.67177992972</v>
      </c>
      <c r="BR143" s="54" t="s">
        <v>42</v>
      </c>
      <c r="BS143" s="54" t="s">
        <v>42</v>
      </c>
      <c r="BT143" s="54" t="s">
        <v>42</v>
      </c>
      <c r="BU143" s="54" t="s">
        <v>42</v>
      </c>
      <c r="BV143" s="54" t="s">
        <v>42</v>
      </c>
      <c r="BW143" s="54" t="s">
        <v>42</v>
      </c>
      <c r="BY143" s="54" t="s">
        <v>42</v>
      </c>
      <c r="BZ143" s="54" t="s">
        <v>42</v>
      </c>
      <c r="CA143" s="54" t="s">
        <v>42</v>
      </c>
      <c r="CC143">
        <v>343</v>
      </c>
      <c r="CD143" t="s">
        <v>416</v>
      </c>
    </row>
    <row r="144" spans="1:83" x14ac:dyDescent="0.2">
      <c r="A144">
        <v>344</v>
      </c>
      <c r="B144" t="s">
        <v>416</v>
      </c>
      <c r="C144" s="50" t="s">
        <v>137</v>
      </c>
      <c r="D144" s="50" t="s">
        <v>269</v>
      </c>
      <c r="E144" s="50" t="s">
        <v>42</v>
      </c>
      <c r="F144" s="50" t="s">
        <v>42</v>
      </c>
      <c r="G144" s="51" t="s">
        <v>42</v>
      </c>
      <c r="H144" s="51" t="s">
        <v>42</v>
      </c>
      <c r="I144" s="52">
        <v>21.4</v>
      </c>
      <c r="J144" s="52">
        <v>359</v>
      </c>
      <c r="K144" s="52" t="s">
        <v>42</v>
      </c>
      <c r="L144" s="52" t="s">
        <v>42</v>
      </c>
      <c r="M144" s="52">
        <v>40</v>
      </c>
      <c r="N144" s="52">
        <v>53</v>
      </c>
      <c r="O144" s="52">
        <v>65</v>
      </c>
      <c r="P144" s="52" t="s">
        <v>13</v>
      </c>
      <c r="Q144" s="52">
        <v>0</v>
      </c>
      <c r="R144" s="52">
        <v>0</v>
      </c>
      <c r="S144" s="52" t="s">
        <v>211</v>
      </c>
      <c r="T144" s="48">
        <v>197.94180898953081</v>
      </c>
      <c r="U144" s="48">
        <v>288.66513810973242</v>
      </c>
      <c r="V144" s="48">
        <v>412.37876872818913</v>
      </c>
      <c r="W144" s="48" t="s">
        <v>42</v>
      </c>
      <c r="X144" s="48" t="s">
        <v>42</v>
      </c>
      <c r="Y144" s="48" t="s">
        <v>42</v>
      </c>
      <c r="Z144" s="48" t="s">
        <v>42</v>
      </c>
      <c r="AB144" s="52" t="s">
        <v>470</v>
      </c>
      <c r="AC144" s="52">
        <v>6.6666666666666671E-3</v>
      </c>
      <c r="AD144" s="52">
        <v>0.02</v>
      </c>
      <c r="AE144" s="52">
        <v>3.3333333333333333E-2</v>
      </c>
      <c r="AF144" s="52">
        <v>0.69000000000000006</v>
      </c>
      <c r="AG144" s="52">
        <v>0.91</v>
      </c>
      <c r="AH144" s="52">
        <v>1.1300000000000001</v>
      </c>
      <c r="AI144" s="52">
        <v>52</v>
      </c>
      <c r="AJ144" s="52">
        <v>74</v>
      </c>
      <c r="AK144" s="52">
        <v>96</v>
      </c>
      <c r="AL144" s="52" t="s">
        <v>42</v>
      </c>
      <c r="AM144" s="52" t="s">
        <v>42</v>
      </c>
      <c r="AN144" s="52" t="s">
        <v>42</v>
      </c>
      <c r="AO144" s="53">
        <v>4.795705235142559E-3</v>
      </c>
      <c r="AP144" s="53">
        <v>2.9211384498820509E-2</v>
      </c>
      <c r="AQ144" s="53">
        <v>8.8462587705438217E-2</v>
      </c>
      <c r="AR144" s="53" t="s">
        <v>42</v>
      </c>
      <c r="AS144" s="53" t="s">
        <v>42</v>
      </c>
      <c r="AT144" s="53" t="s">
        <v>42</v>
      </c>
      <c r="AV144" s="54" t="s">
        <v>42</v>
      </c>
      <c r="AW144" s="54" t="s">
        <v>42</v>
      </c>
      <c r="AX144" s="54" t="s">
        <v>42</v>
      </c>
      <c r="AY144" s="54" t="s">
        <v>42</v>
      </c>
      <c r="AZ144" s="54" t="s">
        <v>42</v>
      </c>
      <c r="BA144" s="54" t="s">
        <v>42</v>
      </c>
      <c r="BC144" s="55" t="s">
        <v>42</v>
      </c>
      <c r="BD144" s="55" t="s">
        <v>42</v>
      </c>
      <c r="BE144" s="55" t="s">
        <v>42</v>
      </c>
      <c r="BG144" s="54">
        <v>6.059607667585321</v>
      </c>
      <c r="BH144" s="54">
        <v>6.4925926952647428</v>
      </c>
      <c r="BI144" s="54">
        <v>6.9804264215376959</v>
      </c>
      <c r="BJ144" s="54">
        <v>0.21103769100007799</v>
      </c>
      <c r="BK144" s="54">
        <v>0.64562563411814189</v>
      </c>
      <c r="BL144" s="54">
        <v>2.436853354161042</v>
      </c>
      <c r="BN144" s="55">
        <v>2385.6151676547042</v>
      </c>
      <c r="BO144" s="55">
        <v>22101.84985049958</v>
      </c>
      <c r="BP144" s="55">
        <v>508132.42988830252</v>
      </c>
      <c r="BR144" s="54" t="s">
        <v>42</v>
      </c>
      <c r="BS144" s="54" t="s">
        <v>42</v>
      </c>
      <c r="BT144" s="54" t="s">
        <v>42</v>
      </c>
      <c r="BU144" s="54" t="s">
        <v>42</v>
      </c>
      <c r="BV144" s="54" t="s">
        <v>42</v>
      </c>
      <c r="BW144" s="54" t="s">
        <v>42</v>
      </c>
      <c r="BY144" s="54" t="s">
        <v>42</v>
      </c>
      <c r="BZ144" s="54" t="s">
        <v>42</v>
      </c>
      <c r="CA144" s="54" t="s">
        <v>42</v>
      </c>
      <c r="CC144">
        <v>344</v>
      </c>
      <c r="CD144" t="s">
        <v>416</v>
      </c>
    </row>
    <row r="145" spans="1:83" x14ac:dyDescent="0.2">
      <c r="A145">
        <v>345</v>
      </c>
      <c r="B145">
        <v>120</v>
      </c>
      <c r="C145" s="50" t="s">
        <v>137</v>
      </c>
      <c r="D145" s="50" t="s">
        <v>270</v>
      </c>
      <c r="E145" s="50" t="s">
        <v>271</v>
      </c>
      <c r="F145" s="50" t="s">
        <v>42</v>
      </c>
      <c r="G145" s="51">
        <v>13</v>
      </c>
      <c r="H145" s="51">
        <v>4</v>
      </c>
      <c r="I145" s="52">
        <v>22.1</v>
      </c>
      <c r="J145" s="52">
        <v>348</v>
      </c>
      <c r="K145" s="52" t="s">
        <v>42</v>
      </c>
      <c r="L145" s="52" t="s">
        <v>42</v>
      </c>
      <c r="M145" s="52">
        <v>40</v>
      </c>
      <c r="N145" s="52">
        <v>53</v>
      </c>
      <c r="O145" s="52">
        <v>65</v>
      </c>
      <c r="P145" s="52" t="s">
        <v>13</v>
      </c>
      <c r="Q145" s="52">
        <v>0</v>
      </c>
      <c r="R145" s="52">
        <v>0</v>
      </c>
      <c r="S145" s="52" t="s">
        <v>211</v>
      </c>
      <c r="T145" s="48">
        <v>208.85026734006476</v>
      </c>
      <c r="U145" s="48">
        <v>304.57330653759442</v>
      </c>
      <c r="V145" s="48">
        <v>435.10472362513497</v>
      </c>
      <c r="W145" s="48" t="s">
        <v>42</v>
      </c>
      <c r="X145" s="48" t="s">
        <v>42</v>
      </c>
      <c r="Y145" s="48" t="s">
        <v>42</v>
      </c>
      <c r="Z145" s="48" t="s">
        <v>42</v>
      </c>
      <c r="AB145" s="52" t="s">
        <v>470</v>
      </c>
      <c r="AC145" s="52">
        <v>6.6666666666666671E-3</v>
      </c>
      <c r="AD145" s="52">
        <v>0.02</v>
      </c>
      <c r="AE145" s="52">
        <v>3.3333333333333333E-2</v>
      </c>
      <c r="AF145" s="52">
        <v>0.69000000000000006</v>
      </c>
      <c r="AG145" s="52">
        <v>0.91</v>
      </c>
      <c r="AH145" s="52">
        <v>1.1300000000000001</v>
      </c>
      <c r="AI145" s="52">
        <v>52</v>
      </c>
      <c r="AJ145" s="52">
        <v>74</v>
      </c>
      <c r="AK145" s="52">
        <v>96</v>
      </c>
      <c r="AL145" s="53">
        <v>4.4624906921556717E-3</v>
      </c>
      <c r="AM145" s="53">
        <v>2.8418043818063045E-2</v>
      </c>
      <c r="AN145" s="53">
        <v>8.9072632583371864E-2</v>
      </c>
      <c r="AO145" s="53">
        <v>5.3971445783779779E-3</v>
      </c>
      <c r="AP145" s="53">
        <v>2.876170904792888E-2</v>
      </c>
      <c r="AQ145" s="53">
        <v>8.8909817585784034E-2</v>
      </c>
      <c r="AR145" s="53" t="s">
        <v>42</v>
      </c>
      <c r="AS145" s="53" t="s">
        <v>42</v>
      </c>
      <c r="AT145" s="53" t="s">
        <v>42</v>
      </c>
      <c r="AV145" s="54">
        <v>5.6721569658480648</v>
      </c>
      <c r="AW145" s="54">
        <v>6.1051419935274867</v>
      </c>
      <c r="AX145" s="54">
        <v>6.5929757198004397</v>
      </c>
      <c r="AY145" s="54">
        <v>0.13930541840148528</v>
      </c>
      <c r="AZ145" s="54">
        <v>0.42617576351097758</v>
      </c>
      <c r="BA145" s="54">
        <v>1.6085604162734195</v>
      </c>
      <c r="BC145" s="55">
        <v>1563.9530836937552</v>
      </c>
      <c r="BD145" s="55">
        <v>14996.660791975139</v>
      </c>
      <c r="BE145" s="55">
        <v>360462.46978195506</v>
      </c>
      <c r="BG145" s="54">
        <v>6.0829051681451887</v>
      </c>
      <c r="BH145" s="54">
        <v>6.5158901958246105</v>
      </c>
      <c r="BI145" s="54">
        <v>7.0037239220975636</v>
      </c>
      <c r="BJ145" s="54">
        <v>0.21677479131927352</v>
      </c>
      <c r="BK145" s="54">
        <v>0.66317709146221704</v>
      </c>
      <c r="BL145" s="54">
        <v>2.5030996824341507</v>
      </c>
      <c r="BN145" s="55">
        <v>2438.1423469924439</v>
      </c>
      <c r="BO145" s="55">
        <v>23057.638555382444</v>
      </c>
      <c r="BP145" s="55">
        <v>463782.2178160763</v>
      </c>
      <c r="BR145" s="54" t="s">
        <v>42</v>
      </c>
      <c r="BS145" s="54" t="s">
        <v>42</v>
      </c>
      <c r="BT145" s="54" t="s">
        <v>42</v>
      </c>
      <c r="BU145" s="54" t="s">
        <v>42</v>
      </c>
      <c r="BV145" s="54" t="s">
        <v>42</v>
      </c>
      <c r="BW145" s="54" t="s">
        <v>42</v>
      </c>
      <c r="BY145" s="54" t="s">
        <v>42</v>
      </c>
      <c r="BZ145" s="54" t="s">
        <v>42</v>
      </c>
      <c r="CA145" s="54" t="s">
        <v>42</v>
      </c>
      <c r="CC145">
        <v>345</v>
      </c>
      <c r="CD145">
        <v>120</v>
      </c>
    </row>
    <row r="146" spans="1:83" x14ac:dyDescent="0.2">
      <c r="A146">
        <v>345</v>
      </c>
      <c r="B146">
        <v>121</v>
      </c>
      <c r="C146" s="50" t="s">
        <v>137</v>
      </c>
      <c r="D146" s="50" t="s">
        <v>270</v>
      </c>
      <c r="E146" s="50" t="s">
        <v>272</v>
      </c>
      <c r="F146" s="50" t="s">
        <v>42</v>
      </c>
      <c r="G146" s="51">
        <v>9.1</v>
      </c>
      <c r="H146" s="51">
        <v>325</v>
      </c>
      <c r="I146" s="52">
        <v>22.1</v>
      </c>
      <c r="J146" s="52">
        <v>348</v>
      </c>
      <c r="K146" s="52" t="s">
        <v>42</v>
      </c>
      <c r="L146" s="52" t="s">
        <v>42</v>
      </c>
      <c r="M146" s="52">
        <v>40</v>
      </c>
      <c r="N146" s="52">
        <v>53</v>
      </c>
      <c r="O146" s="52">
        <v>65</v>
      </c>
      <c r="P146" s="52" t="s">
        <v>13</v>
      </c>
      <c r="Q146" s="52">
        <v>0</v>
      </c>
      <c r="R146" s="52">
        <v>0</v>
      </c>
      <c r="S146" s="52" t="s">
        <v>211</v>
      </c>
      <c r="T146" s="48">
        <v>208.85026734006476</v>
      </c>
      <c r="U146" s="48">
        <v>304.57330653759442</v>
      </c>
      <c r="V146" s="48">
        <v>435.10472362513497</v>
      </c>
      <c r="W146" s="48" t="s">
        <v>42</v>
      </c>
      <c r="X146" s="48" t="s">
        <v>42</v>
      </c>
      <c r="Y146" s="48" t="s">
        <v>42</v>
      </c>
      <c r="Z146" s="48" t="s">
        <v>42</v>
      </c>
      <c r="AB146" s="52" t="s">
        <v>470</v>
      </c>
      <c r="AC146" s="52">
        <v>6.6666666666666671E-3</v>
      </c>
      <c r="AD146" s="52">
        <v>0.02</v>
      </c>
      <c r="AE146" s="52">
        <v>3.3333333333333333E-2</v>
      </c>
      <c r="AF146" s="52">
        <v>0.69000000000000006</v>
      </c>
      <c r="AG146" s="52">
        <v>0.91</v>
      </c>
      <c r="AH146" s="52">
        <v>1.1300000000000001</v>
      </c>
      <c r="AI146" s="52">
        <v>52</v>
      </c>
      <c r="AJ146" s="52">
        <v>74</v>
      </c>
      <c r="AK146" s="52">
        <v>96</v>
      </c>
      <c r="AL146" s="53">
        <v>4.531935581817869E-3</v>
      </c>
      <c r="AM146" s="53">
        <v>2.8594231472948563E-2</v>
      </c>
      <c r="AN146" s="53">
        <v>8.9004780943820028E-2</v>
      </c>
      <c r="AO146" s="53">
        <v>5.3971445783779779E-3</v>
      </c>
      <c r="AP146" s="53">
        <v>2.876170904792888E-2</v>
      </c>
      <c r="AQ146" s="53">
        <v>8.8909817585784034E-2</v>
      </c>
      <c r="AR146" s="53" t="s">
        <v>42</v>
      </c>
      <c r="AS146" s="53" t="s">
        <v>42</v>
      </c>
      <c r="AT146" s="53" t="s">
        <v>42</v>
      </c>
      <c r="AV146" s="54">
        <v>5.4139870325384933</v>
      </c>
      <c r="AW146" s="54">
        <v>5.8469720602179152</v>
      </c>
      <c r="AX146" s="54">
        <v>6.3348057864908682</v>
      </c>
      <c r="AY146" s="54">
        <v>0.1034863435305378</v>
      </c>
      <c r="AZ146" s="54">
        <v>0.31659480279495028</v>
      </c>
      <c r="BA146" s="54">
        <v>1.1949573658961219</v>
      </c>
      <c r="BC146" s="55">
        <v>1162.7054460800098</v>
      </c>
      <c r="BD146" s="55">
        <v>11071.981532165441</v>
      </c>
      <c r="BE146" s="55">
        <v>263674.83480795543</v>
      </c>
      <c r="BG146" s="54">
        <v>6.0829051681451887</v>
      </c>
      <c r="BH146" s="54">
        <v>6.5158901958246105</v>
      </c>
      <c r="BI146" s="54">
        <v>7.0037239220975636</v>
      </c>
      <c r="BJ146" s="54">
        <v>0.21677479131927352</v>
      </c>
      <c r="BK146" s="54">
        <v>0.66317709146221704</v>
      </c>
      <c r="BL146" s="54">
        <v>2.5030996824341507</v>
      </c>
      <c r="BN146" s="55">
        <v>2438.1423469924439</v>
      </c>
      <c r="BO146" s="55">
        <v>23057.638555382444</v>
      </c>
      <c r="BP146" s="55">
        <v>463782.2178160763</v>
      </c>
      <c r="BR146" s="54" t="s">
        <v>42</v>
      </c>
      <c r="BS146" s="54" t="s">
        <v>42</v>
      </c>
      <c r="BT146" s="54" t="s">
        <v>42</v>
      </c>
      <c r="BU146" s="54" t="s">
        <v>42</v>
      </c>
      <c r="BV146" s="54" t="s">
        <v>42</v>
      </c>
      <c r="BW146" s="54" t="s">
        <v>42</v>
      </c>
      <c r="BY146" s="54" t="s">
        <v>42</v>
      </c>
      <c r="BZ146" s="54" t="s">
        <v>42</v>
      </c>
      <c r="CA146" s="54" t="s">
        <v>42</v>
      </c>
      <c r="CC146">
        <v>345</v>
      </c>
      <c r="CD146">
        <v>121</v>
      </c>
    </row>
    <row r="147" spans="1:83" x14ac:dyDescent="0.2">
      <c r="A147">
        <v>346</v>
      </c>
      <c r="B147">
        <v>122</v>
      </c>
      <c r="C147" s="50" t="s">
        <v>137</v>
      </c>
      <c r="D147" s="50" t="s">
        <v>106</v>
      </c>
      <c r="E147" s="50" t="s">
        <v>107</v>
      </c>
      <c r="F147" s="50" t="s">
        <v>42</v>
      </c>
      <c r="G147" s="51">
        <v>10</v>
      </c>
      <c r="H147" s="51">
        <v>175</v>
      </c>
      <c r="I147" s="52">
        <v>30.4</v>
      </c>
      <c r="J147" s="52">
        <v>183</v>
      </c>
      <c r="K147" s="52" t="s">
        <v>42</v>
      </c>
      <c r="L147" s="52" t="s">
        <v>42</v>
      </c>
      <c r="M147" s="52">
        <v>40</v>
      </c>
      <c r="N147" s="52">
        <v>53</v>
      </c>
      <c r="O147" s="52">
        <v>65</v>
      </c>
      <c r="P147" s="52" t="s">
        <v>9</v>
      </c>
      <c r="Q147" s="52">
        <v>0</v>
      </c>
      <c r="R147" s="52">
        <v>0</v>
      </c>
      <c r="S147" s="52" t="s">
        <v>211</v>
      </c>
      <c r="T147" s="48">
        <v>355.33437141390567</v>
      </c>
      <c r="U147" s="48">
        <v>518.19595831194579</v>
      </c>
      <c r="V147" s="48">
        <v>740.27994044563673</v>
      </c>
      <c r="W147" s="48" t="s">
        <v>42</v>
      </c>
      <c r="X147" s="48" t="s">
        <v>42</v>
      </c>
      <c r="Y147" s="48" t="s">
        <v>42</v>
      </c>
      <c r="Z147" s="48" t="s">
        <v>42</v>
      </c>
      <c r="AB147" s="52" t="s">
        <v>470</v>
      </c>
      <c r="AC147" s="52">
        <v>6.6666666666666671E-3</v>
      </c>
      <c r="AD147" s="52">
        <v>0.02</v>
      </c>
      <c r="AE147" s="52">
        <v>3.3333333333333333E-2</v>
      </c>
      <c r="AF147" s="52">
        <v>0.69000000000000006</v>
      </c>
      <c r="AG147" s="52">
        <v>0.91</v>
      </c>
      <c r="AH147" s="52">
        <v>1.1300000000000001</v>
      </c>
      <c r="AI147" s="52">
        <v>52</v>
      </c>
      <c r="AJ147" s="52">
        <v>74</v>
      </c>
      <c r="AK147" s="52">
        <v>96</v>
      </c>
      <c r="AL147" s="53">
        <v>5.0361106946242348E-3</v>
      </c>
      <c r="AM147" s="53">
        <v>2.9686222595732281E-2</v>
      </c>
      <c r="AN147" s="53">
        <v>8.7489413631983717E-2</v>
      </c>
      <c r="AO147" s="53">
        <v>4.5319355818178707E-3</v>
      </c>
      <c r="AP147" s="53">
        <v>2.859423147294856E-2</v>
      </c>
      <c r="AQ147" s="53">
        <v>8.9004780943820028E-2</v>
      </c>
      <c r="AR147" s="53" t="s">
        <v>42</v>
      </c>
      <c r="AS147" s="53" t="s">
        <v>42</v>
      </c>
      <c r="AT147" s="53" t="s">
        <v>42</v>
      </c>
      <c r="AV147" s="54">
        <v>5.4822513786700044</v>
      </c>
      <c r="AW147" s="54">
        <v>5.9152364063494263</v>
      </c>
      <c r="AX147" s="54">
        <v>6.4030701326223793</v>
      </c>
      <c r="AY147" s="54">
        <v>0.11194771034172391</v>
      </c>
      <c r="AZ147" s="54">
        <v>0.34248058313632168</v>
      </c>
      <c r="BA147" s="54">
        <v>1.2926608140191327</v>
      </c>
      <c r="BC147" s="55">
        <v>1279.5572137747065</v>
      </c>
      <c r="BD147" s="55">
        <v>11536.684468085778</v>
      </c>
      <c r="BE147" s="55">
        <v>256678.39577056468</v>
      </c>
      <c r="BG147" s="54">
        <v>6.3137073513512592</v>
      </c>
      <c r="BH147" s="54">
        <v>6.7466923790306836</v>
      </c>
      <c r="BI147" s="54">
        <v>7.2345261053036367</v>
      </c>
      <c r="BJ147" s="54">
        <v>0.28275472333478119</v>
      </c>
      <c r="BK147" s="54">
        <v>0.86502888032854186</v>
      </c>
      <c r="BL147" s="54">
        <v>3.2649703126394893</v>
      </c>
      <c r="BN147" s="55">
        <v>3176.8487078604967</v>
      </c>
      <c r="BO147" s="55">
        <v>30251.866749658875</v>
      </c>
      <c r="BP147" s="55">
        <v>720436.1698649365</v>
      </c>
      <c r="BR147" s="54" t="s">
        <v>42</v>
      </c>
      <c r="BS147" s="54" t="s">
        <v>42</v>
      </c>
      <c r="BT147" s="54" t="s">
        <v>42</v>
      </c>
      <c r="BU147" s="54" t="s">
        <v>42</v>
      </c>
      <c r="BV147" s="54" t="s">
        <v>42</v>
      </c>
      <c r="BW147" s="54" t="s">
        <v>42</v>
      </c>
      <c r="BY147" s="54" t="s">
        <v>42</v>
      </c>
      <c r="BZ147" s="54" t="s">
        <v>42</v>
      </c>
      <c r="CA147" s="54" t="s">
        <v>42</v>
      </c>
      <c r="CC147">
        <v>346</v>
      </c>
      <c r="CD147">
        <v>122</v>
      </c>
    </row>
    <row r="148" spans="1:83" x14ac:dyDescent="0.2">
      <c r="A148">
        <v>346</v>
      </c>
      <c r="B148">
        <v>123</v>
      </c>
      <c r="C148" s="50" t="s">
        <v>137</v>
      </c>
      <c r="D148" s="50" t="s">
        <v>106</v>
      </c>
      <c r="E148" s="56" t="s">
        <v>108</v>
      </c>
      <c r="F148" s="50" t="s">
        <v>42</v>
      </c>
      <c r="G148" s="51">
        <v>11.2</v>
      </c>
      <c r="H148" s="51">
        <v>195</v>
      </c>
      <c r="I148" s="52">
        <v>30.4</v>
      </c>
      <c r="J148" s="52">
        <v>183</v>
      </c>
      <c r="K148" s="52" t="s">
        <v>42</v>
      </c>
      <c r="L148" s="52" t="s">
        <v>42</v>
      </c>
      <c r="M148" s="52">
        <v>40</v>
      </c>
      <c r="N148" s="52">
        <v>53</v>
      </c>
      <c r="O148" s="52">
        <v>65</v>
      </c>
      <c r="P148" s="52" t="s">
        <v>9</v>
      </c>
      <c r="Q148" s="52">
        <v>0</v>
      </c>
      <c r="R148" s="52">
        <v>0</v>
      </c>
      <c r="S148" s="52" t="s">
        <v>211</v>
      </c>
      <c r="T148" s="48">
        <v>355.33437141390567</v>
      </c>
      <c r="U148" s="48">
        <v>518.19595831194579</v>
      </c>
      <c r="V148" s="48">
        <v>740.27994044563673</v>
      </c>
      <c r="W148" s="48" t="s">
        <v>42</v>
      </c>
      <c r="X148" s="48" t="s">
        <v>42</v>
      </c>
      <c r="Y148" s="48" t="s">
        <v>42</v>
      </c>
      <c r="Z148" s="48" t="s">
        <v>42</v>
      </c>
      <c r="AB148" s="52" t="s">
        <v>470</v>
      </c>
      <c r="AC148" s="52">
        <v>6.6666666666666671E-3</v>
      </c>
      <c r="AD148" s="52">
        <v>0.02</v>
      </c>
      <c r="AE148" s="52">
        <v>3.3333333333333333E-2</v>
      </c>
      <c r="AF148" s="52">
        <v>0.69000000000000006</v>
      </c>
      <c r="AG148" s="52">
        <v>0.91</v>
      </c>
      <c r="AH148" s="52">
        <v>1.1300000000000001</v>
      </c>
      <c r="AI148" s="52">
        <v>52</v>
      </c>
      <c r="AJ148" s="52">
        <v>74</v>
      </c>
      <c r="AK148" s="52">
        <v>96</v>
      </c>
      <c r="AL148" s="53">
        <v>3.6138231030408466E-3</v>
      </c>
      <c r="AM148" s="53">
        <v>2.5922325419977094E-2</v>
      </c>
      <c r="AN148" s="53">
        <v>8.8029625938351716E-2</v>
      </c>
      <c r="AO148" s="53">
        <v>4.5319355818178707E-3</v>
      </c>
      <c r="AP148" s="53">
        <v>2.859423147294856E-2</v>
      </c>
      <c r="AQ148" s="53">
        <v>8.9004780943820028E-2</v>
      </c>
      <c r="AR148" s="53" t="s">
        <v>42</v>
      </c>
      <c r="AS148" s="53" t="s">
        <v>42</v>
      </c>
      <c r="AT148" s="53" t="s">
        <v>42</v>
      </c>
      <c r="AV148" s="54">
        <v>5.5642814164536416</v>
      </c>
      <c r="AW148" s="54">
        <v>5.9972664441330634</v>
      </c>
      <c r="AX148" s="54">
        <v>6.4851001704060165</v>
      </c>
      <c r="AY148" s="54">
        <v>0.12303544214875382</v>
      </c>
      <c r="AZ148" s="54">
        <v>0.37640117734355699</v>
      </c>
      <c r="BA148" s="54">
        <v>1.4206909128889531</v>
      </c>
      <c r="BC148" s="55">
        <v>1397.6594906232719</v>
      </c>
      <c r="BD148" s="55">
        <v>14520.347663465509</v>
      </c>
      <c r="BE148" s="55">
        <v>393126.85551584268</v>
      </c>
      <c r="BG148" s="54">
        <v>6.3137073513512592</v>
      </c>
      <c r="BH148" s="54">
        <v>6.7466923790306836</v>
      </c>
      <c r="BI148" s="54">
        <v>7.2345261053036367</v>
      </c>
      <c r="BJ148" s="54">
        <v>0.28275472333478119</v>
      </c>
      <c r="BK148" s="54">
        <v>0.86502888032854186</v>
      </c>
      <c r="BL148" s="54">
        <v>3.2649703126394893</v>
      </c>
      <c r="BN148" s="55">
        <v>3176.8487078604967</v>
      </c>
      <c r="BO148" s="55">
        <v>30251.866749658875</v>
      </c>
      <c r="BP148" s="55">
        <v>720436.1698649365</v>
      </c>
      <c r="BR148" s="54" t="s">
        <v>42</v>
      </c>
      <c r="BS148" s="54" t="s">
        <v>42</v>
      </c>
      <c r="BT148" s="54" t="s">
        <v>42</v>
      </c>
      <c r="BU148" s="54" t="s">
        <v>42</v>
      </c>
      <c r="BV148" s="54" t="s">
        <v>42</v>
      </c>
      <c r="BW148" s="54" t="s">
        <v>42</v>
      </c>
      <c r="BY148" s="54" t="s">
        <v>42</v>
      </c>
      <c r="BZ148" s="54" t="s">
        <v>42</v>
      </c>
      <c r="CA148" s="54" t="s">
        <v>42</v>
      </c>
      <c r="CC148">
        <v>346</v>
      </c>
      <c r="CD148">
        <v>123</v>
      </c>
    </row>
    <row r="149" spans="1:83" x14ac:dyDescent="0.2">
      <c r="A149">
        <v>346</v>
      </c>
      <c r="B149">
        <v>124</v>
      </c>
      <c r="C149" s="50" t="s">
        <v>137</v>
      </c>
      <c r="D149" s="50" t="s">
        <v>106</v>
      </c>
      <c r="E149" s="50" t="s">
        <v>109</v>
      </c>
      <c r="F149" s="50" t="s">
        <v>42</v>
      </c>
      <c r="G149" s="51">
        <v>9.1999999999999993</v>
      </c>
      <c r="H149" s="51">
        <v>177</v>
      </c>
      <c r="I149" s="52">
        <v>30.4</v>
      </c>
      <c r="J149" s="52">
        <v>183</v>
      </c>
      <c r="K149" s="51" t="s">
        <v>42</v>
      </c>
      <c r="L149" s="52" t="s">
        <v>42</v>
      </c>
      <c r="M149" s="52">
        <v>40</v>
      </c>
      <c r="N149" s="52">
        <v>53</v>
      </c>
      <c r="O149" s="52">
        <v>65</v>
      </c>
      <c r="P149" s="52" t="s">
        <v>9</v>
      </c>
      <c r="Q149" s="52">
        <v>0</v>
      </c>
      <c r="R149" s="52">
        <v>0</v>
      </c>
      <c r="S149" s="52" t="s">
        <v>211</v>
      </c>
      <c r="T149" s="48">
        <v>355.33437141390567</v>
      </c>
      <c r="U149" s="48">
        <v>518.19595831194579</v>
      </c>
      <c r="V149" s="48">
        <v>740.27994044563673</v>
      </c>
      <c r="W149" s="48" t="s">
        <v>42</v>
      </c>
      <c r="X149" s="48" t="s">
        <v>42</v>
      </c>
      <c r="Y149" s="48" t="s">
        <v>42</v>
      </c>
      <c r="Z149" s="48" t="s">
        <v>42</v>
      </c>
      <c r="AB149" s="52" t="s">
        <v>470</v>
      </c>
      <c r="AC149" s="52">
        <v>6.6666666666666671E-3</v>
      </c>
      <c r="AD149" s="52">
        <v>0.02</v>
      </c>
      <c r="AE149" s="52">
        <v>3.3333333333333333E-2</v>
      </c>
      <c r="AF149" s="52">
        <v>0.69000000000000006</v>
      </c>
      <c r="AG149" s="52">
        <v>0.91</v>
      </c>
      <c r="AH149" s="52">
        <v>1.1300000000000001</v>
      </c>
      <c r="AI149" s="52">
        <v>52</v>
      </c>
      <c r="AJ149" s="52">
        <v>74</v>
      </c>
      <c r="AK149" s="52">
        <v>96</v>
      </c>
      <c r="AL149" s="53">
        <v>4.9189044285569234E-3</v>
      </c>
      <c r="AM149" s="53">
        <v>2.9466753897585757E-2</v>
      </c>
      <c r="AN149" s="53">
        <v>8.8029625938351716E-2</v>
      </c>
      <c r="AO149" s="53">
        <v>4.5319355818178707E-3</v>
      </c>
      <c r="AP149" s="53">
        <v>2.859423147294856E-2</v>
      </c>
      <c r="AQ149" s="53">
        <v>8.9004780943820028E-2</v>
      </c>
      <c r="AR149" s="53" t="s">
        <v>42</v>
      </c>
      <c r="AS149" s="53" t="s">
        <v>42</v>
      </c>
      <c r="AT149" s="53" t="s">
        <v>42</v>
      </c>
      <c r="AV149" s="54">
        <v>5.421897757579262</v>
      </c>
      <c r="AW149" s="54">
        <v>5.8548827852586838</v>
      </c>
      <c r="AX149" s="54">
        <v>6.3427165115316368</v>
      </c>
      <c r="AY149" s="54">
        <v>0.104433156519667</v>
      </c>
      <c r="AZ149" s="54">
        <v>0.31949137891650004</v>
      </c>
      <c r="BA149" s="54">
        <v>1.2058902205790414</v>
      </c>
      <c r="BC149" s="55">
        <v>1186.3410233368809</v>
      </c>
      <c r="BD149" s="55">
        <v>10842.435513152206</v>
      </c>
      <c r="BE149" s="55">
        <v>245154.22856727827</v>
      </c>
      <c r="BG149" s="54">
        <v>6.3137073513512592</v>
      </c>
      <c r="BH149" s="54">
        <v>6.7466923790306836</v>
      </c>
      <c r="BI149" s="54">
        <v>7.2345261053036367</v>
      </c>
      <c r="BJ149" s="54">
        <v>0.28275472333478119</v>
      </c>
      <c r="BK149" s="54">
        <v>0.86502888032854186</v>
      </c>
      <c r="BL149" s="54">
        <v>3.2649703126394893</v>
      </c>
      <c r="BN149" s="55">
        <v>3176.8487078604967</v>
      </c>
      <c r="BO149" s="55">
        <v>30251.866749658875</v>
      </c>
      <c r="BP149" s="55">
        <v>720436.1698649365</v>
      </c>
      <c r="BR149" s="54" t="s">
        <v>42</v>
      </c>
      <c r="BS149" s="54" t="s">
        <v>42</v>
      </c>
      <c r="BT149" s="54" t="s">
        <v>42</v>
      </c>
      <c r="BU149" s="54" t="s">
        <v>42</v>
      </c>
      <c r="BV149" s="54" t="s">
        <v>42</v>
      </c>
      <c r="BW149" s="54" t="s">
        <v>42</v>
      </c>
      <c r="BY149" s="54" t="s">
        <v>42</v>
      </c>
      <c r="BZ149" s="54" t="s">
        <v>42</v>
      </c>
      <c r="CA149" s="54" t="s">
        <v>42</v>
      </c>
      <c r="CC149">
        <v>346</v>
      </c>
      <c r="CD149">
        <v>124</v>
      </c>
    </row>
    <row r="150" spans="1:83" x14ac:dyDescent="0.2">
      <c r="A150">
        <v>347</v>
      </c>
      <c r="B150" t="s">
        <v>416</v>
      </c>
      <c r="C150" s="50" t="s">
        <v>137</v>
      </c>
      <c r="D150" s="50" t="s">
        <v>455</v>
      </c>
      <c r="E150" s="50" t="s">
        <v>42</v>
      </c>
      <c r="F150" s="50" t="s">
        <v>457</v>
      </c>
      <c r="G150" s="51" t="s">
        <v>42</v>
      </c>
      <c r="H150" s="51" t="s">
        <v>42</v>
      </c>
      <c r="I150" s="52">
        <v>47</v>
      </c>
      <c r="J150" s="52">
        <v>175</v>
      </c>
      <c r="K150" s="52">
        <v>108.1</v>
      </c>
      <c r="L150" s="52">
        <v>182</v>
      </c>
      <c r="M150" s="52">
        <v>40</v>
      </c>
      <c r="N150" s="52">
        <v>53</v>
      </c>
      <c r="O150" s="52">
        <v>65</v>
      </c>
      <c r="P150" s="52" t="s">
        <v>9</v>
      </c>
      <c r="Q150" s="52">
        <v>0.5</v>
      </c>
      <c r="R150" s="52">
        <v>0</v>
      </c>
      <c r="S150" s="52" t="s">
        <v>211</v>
      </c>
      <c r="T150" s="48">
        <v>734.53248816527184</v>
      </c>
      <c r="U150" s="48">
        <v>1071.193211907688</v>
      </c>
      <c r="V150" s="48">
        <v>1530.2760170109832</v>
      </c>
      <c r="W150" s="48" t="s">
        <v>308</v>
      </c>
      <c r="X150" s="48">
        <v>2417.2701111552124</v>
      </c>
      <c r="Y150" s="48">
        <v>3211.4643646013355</v>
      </c>
      <c r="Z150" s="48">
        <v>3404.7631576669914</v>
      </c>
      <c r="AB150" s="52" t="s">
        <v>470</v>
      </c>
      <c r="AC150" s="52">
        <v>6.6666666666666671E-3</v>
      </c>
      <c r="AD150" s="52">
        <v>0.02</v>
      </c>
      <c r="AE150" s="52">
        <v>3.3333333333333333E-2</v>
      </c>
      <c r="AF150" s="52">
        <v>0.69000000000000006</v>
      </c>
      <c r="AG150" s="52">
        <v>0.91</v>
      </c>
      <c r="AH150" s="52">
        <v>1.1300000000000001</v>
      </c>
      <c r="AI150" s="52">
        <v>52</v>
      </c>
      <c r="AJ150" s="52">
        <v>74</v>
      </c>
      <c r="AK150" s="52">
        <v>96</v>
      </c>
      <c r="AL150" s="52" t="s">
        <v>42</v>
      </c>
      <c r="AM150" s="52" t="s">
        <v>42</v>
      </c>
      <c r="AN150" s="52" t="s">
        <v>42</v>
      </c>
      <c r="AO150" s="53">
        <v>5.0361106946242348E-3</v>
      </c>
      <c r="AP150" s="53">
        <v>2.9686222595732281E-2</v>
      </c>
      <c r="AQ150" s="53">
        <v>8.7489413631983717E-2</v>
      </c>
      <c r="AR150" s="53">
        <v>4.6000000000000008E-3</v>
      </c>
      <c r="AS150" s="53">
        <v>2.8761709047928886E-2</v>
      </c>
      <c r="AT150" s="53">
        <v>8.8909817585784021E-2</v>
      </c>
      <c r="AV150" s="54" t="s">
        <v>42</v>
      </c>
      <c r="AW150" s="54" t="s">
        <v>42</v>
      </c>
      <c r="AX150" s="54" t="s">
        <v>42</v>
      </c>
      <c r="AY150" s="54" t="s">
        <v>42</v>
      </c>
      <c r="AZ150" s="54" t="s">
        <v>42</v>
      </c>
      <c r="BA150" s="54" t="s">
        <v>42</v>
      </c>
      <c r="BC150" s="55" t="s">
        <v>42</v>
      </c>
      <c r="BD150" s="55" t="s">
        <v>42</v>
      </c>
      <c r="BE150" s="55" t="s">
        <v>42</v>
      </c>
      <c r="BG150" s="54">
        <v>6.6290811418962008</v>
      </c>
      <c r="BH150" s="54">
        <v>7.0620661695756226</v>
      </c>
      <c r="BI150" s="54">
        <v>7.5498998958485757</v>
      </c>
      <c r="BJ150" s="54">
        <v>0.4065338975253926</v>
      </c>
      <c r="BK150" s="54">
        <v>1.2437053501511932</v>
      </c>
      <c r="BL150" s="54">
        <v>4.6942491034198639</v>
      </c>
      <c r="BN150" s="55">
        <v>4646.6638722193356</v>
      </c>
      <c r="BO150" s="55">
        <v>41895.035521629128</v>
      </c>
      <c r="BP150" s="55">
        <v>932117.93545974093</v>
      </c>
      <c r="BR150" s="54">
        <v>7.1463953147759325</v>
      </c>
      <c r="BS150" s="54">
        <v>7.5389014649745265</v>
      </c>
      <c r="BT150" s="54">
        <v>7.8972170308318113</v>
      </c>
      <c r="BU150" s="54">
        <v>0.73748611852015422</v>
      </c>
      <c r="BV150" s="54">
        <v>2.1534517738933308</v>
      </c>
      <c r="BW150" s="54">
        <v>7.0020418072448551</v>
      </c>
      <c r="BY150" s="55">
        <v>8294.7658486487835</v>
      </c>
      <c r="BZ150" s="55">
        <v>74872.177112451522</v>
      </c>
      <c r="CA150" s="55">
        <v>1522183.0015749685</v>
      </c>
      <c r="CC150">
        <v>347</v>
      </c>
      <c r="CD150" t="s">
        <v>416</v>
      </c>
      <c r="CE150">
        <v>606</v>
      </c>
    </row>
    <row r="151" spans="1:83" x14ac:dyDescent="0.2">
      <c r="A151">
        <v>348</v>
      </c>
      <c r="B151" t="s">
        <v>416</v>
      </c>
      <c r="C151" s="50" t="s">
        <v>137</v>
      </c>
      <c r="D151" s="50" t="s">
        <v>456</v>
      </c>
      <c r="E151" s="50" t="s">
        <v>42</v>
      </c>
      <c r="F151" s="50" t="s">
        <v>458</v>
      </c>
      <c r="G151" s="51" t="s">
        <v>42</v>
      </c>
      <c r="H151" s="51" t="s">
        <v>42</v>
      </c>
      <c r="I151" s="52">
        <v>47</v>
      </c>
      <c r="J151" s="52">
        <v>179</v>
      </c>
      <c r="K151" s="52">
        <v>108.1</v>
      </c>
      <c r="L151" s="52">
        <v>3</v>
      </c>
      <c r="M151" s="52">
        <v>40</v>
      </c>
      <c r="N151" s="52">
        <v>53</v>
      </c>
      <c r="O151" s="52">
        <v>65</v>
      </c>
      <c r="P151" s="52" t="s">
        <v>9</v>
      </c>
      <c r="Q151" s="52">
        <v>0.5</v>
      </c>
      <c r="R151" s="52">
        <v>0</v>
      </c>
      <c r="S151" s="52" t="s">
        <v>211</v>
      </c>
      <c r="T151" s="48">
        <v>734.53248816527184</v>
      </c>
      <c r="U151" s="48">
        <v>1071.193211907688</v>
      </c>
      <c r="V151" s="48">
        <v>1530.2760170109832</v>
      </c>
      <c r="W151" s="48" t="s">
        <v>308</v>
      </c>
      <c r="X151" s="48">
        <v>2417.2701111552124</v>
      </c>
      <c r="Y151" s="48">
        <v>3211.4643646013355</v>
      </c>
      <c r="Z151" s="48">
        <v>3404.7631576669914</v>
      </c>
      <c r="AB151" s="52" t="s">
        <v>470</v>
      </c>
      <c r="AC151" s="52">
        <v>6.6666666666666671E-3</v>
      </c>
      <c r="AD151" s="52">
        <v>0.02</v>
      </c>
      <c r="AE151" s="52">
        <v>3.3333333333333333E-2</v>
      </c>
      <c r="AF151" s="52">
        <v>0.69000000000000006</v>
      </c>
      <c r="AG151" s="52">
        <v>0.91</v>
      </c>
      <c r="AH151" s="52">
        <v>1.1300000000000001</v>
      </c>
      <c r="AI151" s="52">
        <v>52</v>
      </c>
      <c r="AJ151" s="52">
        <v>74</v>
      </c>
      <c r="AK151" s="52">
        <v>96</v>
      </c>
      <c r="AL151" s="52" t="s">
        <v>42</v>
      </c>
      <c r="AM151" s="52" t="s">
        <v>42</v>
      </c>
      <c r="AN151" s="52" t="s">
        <v>42</v>
      </c>
      <c r="AO151" s="53">
        <v>4.7957052351425573E-3</v>
      </c>
      <c r="AP151" s="53">
        <v>2.9211384498820502E-2</v>
      </c>
      <c r="AQ151" s="53">
        <v>8.8462587705438217E-2</v>
      </c>
      <c r="AR151" s="53">
        <v>4.5319355818178699E-3</v>
      </c>
      <c r="AS151" s="53">
        <v>2.8594231472948563E-2</v>
      </c>
      <c r="AT151" s="53">
        <v>8.9004780943820028E-2</v>
      </c>
      <c r="AV151" s="54" t="s">
        <v>42</v>
      </c>
      <c r="AW151" s="54" t="s">
        <v>42</v>
      </c>
      <c r="AX151" s="54" t="s">
        <v>42</v>
      </c>
      <c r="AY151" s="54" t="s">
        <v>42</v>
      </c>
      <c r="AZ151" s="54" t="s">
        <v>42</v>
      </c>
      <c r="BA151" s="54" t="s">
        <v>42</v>
      </c>
      <c r="BC151" s="55" t="s">
        <v>42</v>
      </c>
      <c r="BD151" s="55" t="s">
        <v>42</v>
      </c>
      <c r="BE151" s="55" t="s">
        <v>42</v>
      </c>
      <c r="BG151" s="54">
        <v>6.6290811418962008</v>
      </c>
      <c r="BH151" s="54">
        <v>7.0620661695756226</v>
      </c>
      <c r="BI151" s="54">
        <v>7.5498998958485757</v>
      </c>
      <c r="BJ151" s="54">
        <v>0.4065338975253926</v>
      </c>
      <c r="BK151" s="54">
        <v>1.2437053501511932</v>
      </c>
      <c r="BL151" s="54">
        <v>4.6942491034198639</v>
      </c>
      <c r="BN151" s="55">
        <v>4595.5460728671524</v>
      </c>
      <c r="BO151" s="55">
        <v>42576.049423518816</v>
      </c>
      <c r="BP151" s="55">
        <v>978844.37705236115</v>
      </c>
      <c r="BR151" s="54">
        <v>7.1463953147759325</v>
      </c>
      <c r="BS151" s="54">
        <v>7.5389014649745265</v>
      </c>
      <c r="BT151" s="54">
        <v>7.8972170308318113</v>
      </c>
      <c r="BU151" s="54">
        <v>0.73748611852015422</v>
      </c>
      <c r="BV151" s="54">
        <v>2.1534517738933308</v>
      </c>
      <c r="BW151" s="54">
        <v>7.0020418072448551</v>
      </c>
      <c r="BY151" s="55">
        <v>8285.9157755318429</v>
      </c>
      <c r="BZ151" s="55">
        <v>75310.706494440805</v>
      </c>
      <c r="CA151" s="55">
        <v>1545044.4254629423</v>
      </c>
      <c r="CC151">
        <v>348</v>
      </c>
      <c r="CD151" t="s">
        <v>416</v>
      </c>
      <c r="CE151">
        <v>607</v>
      </c>
    </row>
    <row r="152" spans="1:83" x14ac:dyDescent="0.2">
      <c r="A152">
        <v>349</v>
      </c>
      <c r="B152">
        <v>125</v>
      </c>
      <c r="C152" s="50" t="s">
        <v>137</v>
      </c>
      <c r="D152" s="50" t="s">
        <v>459</v>
      </c>
      <c r="E152" s="50" t="s">
        <v>461</v>
      </c>
      <c r="F152" s="50" t="s">
        <v>457</v>
      </c>
      <c r="G152" s="51">
        <v>31.8</v>
      </c>
      <c r="H152" s="51">
        <v>17</v>
      </c>
      <c r="I152" s="52">
        <v>61.1</v>
      </c>
      <c r="J152" s="52">
        <v>14</v>
      </c>
      <c r="K152" s="52">
        <v>108.1</v>
      </c>
      <c r="L152" s="52">
        <v>182</v>
      </c>
      <c r="M152" s="52">
        <v>40</v>
      </c>
      <c r="N152" s="52">
        <v>53</v>
      </c>
      <c r="O152" s="52">
        <v>65</v>
      </c>
      <c r="P152" s="52" t="s">
        <v>13</v>
      </c>
      <c r="Q152" s="52">
        <v>1.5</v>
      </c>
      <c r="R152" s="52">
        <v>0</v>
      </c>
      <c r="S152" s="52" t="s">
        <v>308</v>
      </c>
      <c r="T152" s="48">
        <v>1137.408832571439</v>
      </c>
      <c r="U152" s="48">
        <v>1345</v>
      </c>
      <c r="V152" s="48">
        <v>1345</v>
      </c>
      <c r="W152" s="48" t="s">
        <v>308</v>
      </c>
      <c r="X152" s="48">
        <v>2417.2701111552124</v>
      </c>
      <c r="Y152" s="48">
        <v>3211.4643646013355</v>
      </c>
      <c r="Z152" s="48">
        <v>3404.7631576669914</v>
      </c>
      <c r="AB152" s="52" t="s">
        <v>470</v>
      </c>
      <c r="AC152" s="52">
        <v>6.6666666666666671E-3</v>
      </c>
      <c r="AD152" s="52">
        <v>0.02</v>
      </c>
      <c r="AE152" s="52">
        <v>3.3333333333333333E-2</v>
      </c>
      <c r="AF152" s="52">
        <v>0.69000000000000006</v>
      </c>
      <c r="AG152" s="52">
        <v>0.91</v>
      </c>
      <c r="AH152" s="52">
        <v>1.1300000000000001</v>
      </c>
      <c r="AI152" s="52">
        <v>52</v>
      </c>
      <c r="AJ152" s="52">
        <v>74</v>
      </c>
      <c r="AK152" s="52">
        <v>96</v>
      </c>
      <c r="AL152" s="53">
        <v>3.444253960608682E-3</v>
      </c>
      <c r="AM152" s="53">
        <v>2.5362949991945161E-2</v>
      </c>
      <c r="AN152" s="53">
        <v>8.7489413631983717E-2</v>
      </c>
      <c r="AO152" s="53">
        <v>3.6969692971954246E-3</v>
      </c>
      <c r="AP152" s="53">
        <v>2.6190210849712549E-2</v>
      </c>
      <c r="AQ152" s="53">
        <v>8.8259549178729621E-2</v>
      </c>
      <c r="AR152" s="53">
        <v>4.6000000000000008E-3</v>
      </c>
      <c r="AS152" s="53">
        <v>2.8761709047928886E-2</v>
      </c>
      <c r="AT152" s="53">
        <v>8.8909817585784021E-2</v>
      </c>
      <c r="AV152" s="54">
        <v>6.3196299119773913</v>
      </c>
      <c r="AW152" s="54">
        <v>6.7526149396568131</v>
      </c>
      <c r="AX152" s="54">
        <v>7.2404486659297662</v>
      </c>
      <c r="AY152" s="54">
        <v>0.29356513929542838</v>
      </c>
      <c r="AZ152" s="54">
        <v>0.89810108476083339</v>
      </c>
      <c r="BA152" s="54">
        <v>3.3897982439381189</v>
      </c>
      <c r="BC152" s="55">
        <v>3355.4361277386483</v>
      </c>
      <c r="BD152" s="55">
        <v>35409.96157962914</v>
      </c>
      <c r="BE152" s="55">
        <v>984189.40145141352</v>
      </c>
      <c r="BG152" s="54">
        <v>6.8189867290742612</v>
      </c>
      <c r="BH152" s="54">
        <v>7.1609206420015568</v>
      </c>
      <c r="BI152" s="54">
        <v>7.4938524082887668</v>
      </c>
      <c r="BJ152" s="54">
        <v>0.50588238487673554</v>
      </c>
      <c r="BK152" s="54">
        <v>1.3936211823878102</v>
      </c>
      <c r="BL152" s="54">
        <v>4.4009089970141408</v>
      </c>
      <c r="BN152" s="55">
        <v>5731.758088320852</v>
      </c>
      <c r="BO152" s="55">
        <v>53211.529696528043</v>
      </c>
      <c r="BP152" s="55">
        <v>1190409.9393935285</v>
      </c>
      <c r="BR152" s="54">
        <v>7.1463953147759325</v>
      </c>
      <c r="BS152" s="54">
        <v>7.5389014649745265</v>
      </c>
      <c r="BT152" s="54">
        <v>7.8972170308318113</v>
      </c>
      <c r="BU152" s="54">
        <v>0.73748611852015422</v>
      </c>
      <c r="BV152" s="54">
        <v>2.1534517738933308</v>
      </c>
      <c r="BW152" s="54">
        <v>7.0020418072448551</v>
      </c>
      <c r="BY152" s="55">
        <v>8294.7658486487835</v>
      </c>
      <c r="BZ152" s="55">
        <v>74872.177112451522</v>
      </c>
      <c r="CA152" s="55">
        <v>1522183.0015749685</v>
      </c>
      <c r="CC152">
        <v>349</v>
      </c>
      <c r="CD152">
        <v>125</v>
      </c>
      <c r="CE152">
        <v>606</v>
      </c>
    </row>
    <row r="153" spans="1:83" x14ac:dyDescent="0.2">
      <c r="A153">
        <v>349</v>
      </c>
      <c r="B153">
        <v>126</v>
      </c>
      <c r="C153" s="50" t="s">
        <v>137</v>
      </c>
      <c r="D153" s="50" t="s">
        <v>459</v>
      </c>
      <c r="E153" s="50" t="s">
        <v>463</v>
      </c>
      <c r="F153" s="50" t="s">
        <v>457</v>
      </c>
      <c r="G153" s="51">
        <v>29.3</v>
      </c>
      <c r="H153" s="51">
        <v>10</v>
      </c>
      <c r="I153" s="52">
        <v>61.1</v>
      </c>
      <c r="J153" s="52">
        <v>14</v>
      </c>
      <c r="K153" s="52">
        <v>108.1</v>
      </c>
      <c r="L153" s="52">
        <v>182</v>
      </c>
      <c r="M153" s="52">
        <v>40</v>
      </c>
      <c r="N153" s="52">
        <v>53</v>
      </c>
      <c r="O153" s="52">
        <v>65</v>
      </c>
      <c r="P153" s="52" t="s">
        <v>13</v>
      </c>
      <c r="Q153" s="52">
        <v>1.5</v>
      </c>
      <c r="R153" s="52">
        <v>0</v>
      </c>
      <c r="S153" s="52" t="s">
        <v>308</v>
      </c>
      <c r="T153" s="48">
        <v>1137.408832571439</v>
      </c>
      <c r="U153" s="48">
        <v>1345</v>
      </c>
      <c r="V153" s="48">
        <v>1345</v>
      </c>
      <c r="W153" s="48" t="s">
        <v>308</v>
      </c>
      <c r="X153" s="48">
        <v>2417.2701111552124</v>
      </c>
      <c r="Y153" s="48">
        <v>3211.4643646013355</v>
      </c>
      <c r="Z153" s="48">
        <v>3404.7631576669914</v>
      </c>
      <c r="AB153" s="52" t="s">
        <v>470</v>
      </c>
      <c r="AC153" s="52">
        <v>6.6666666666666671E-3</v>
      </c>
      <c r="AD153" s="52">
        <v>0.02</v>
      </c>
      <c r="AE153" s="52">
        <v>3.3333333333333333E-2</v>
      </c>
      <c r="AF153" s="52">
        <v>0.69000000000000006</v>
      </c>
      <c r="AG153" s="52">
        <v>0.91</v>
      </c>
      <c r="AH153" s="52">
        <v>1.1300000000000001</v>
      </c>
      <c r="AI153" s="52">
        <v>52</v>
      </c>
      <c r="AJ153" s="52">
        <v>74</v>
      </c>
      <c r="AK153" s="52">
        <v>96</v>
      </c>
      <c r="AL153" s="53">
        <v>4.0180446668584341E-3</v>
      </c>
      <c r="AM153" s="53">
        <v>2.7181195239973244E-2</v>
      </c>
      <c r="AN153" s="53">
        <v>8.8909817585784021E-2</v>
      </c>
      <c r="AO153" s="53">
        <v>3.6969692971954246E-3</v>
      </c>
      <c r="AP153" s="53">
        <v>2.6190210849712549E-2</v>
      </c>
      <c r="AQ153" s="53">
        <v>8.8259549178729621E-2</v>
      </c>
      <c r="AR153" s="53">
        <v>4.6000000000000008E-3</v>
      </c>
      <c r="AS153" s="53">
        <v>2.8761709047928886E-2</v>
      </c>
      <c r="AT153" s="53">
        <v>8.8909817585784021E-2</v>
      </c>
      <c r="AV153" s="54">
        <v>6.2603640792601851</v>
      </c>
      <c r="AW153" s="54">
        <v>6.6933491069396069</v>
      </c>
      <c r="AX153" s="54">
        <v>7.18118283321256</v>
      </c>
      <c r="AY153" s="54">
        <v>0.27420259825569121</v>
      </c>
      <c r="AZ153" s="54">
        <v>0.83886544406708685</v>
      </c>
      <c r="BA153" s="54">
        <v>3.1662188783083689</v>
      </c>
      <c r="BC153" s="55">
        <v>3084.0530967362379</v>
      </c>
      <c r="BD153" s="55">
        <v>30861.977799763325</v>
      </c>
      <c r="BE153" s="55">
        <v>787999.92056432832</v>
      </c>
      <c r="BG153" s="54">
        <v>6.8189867290742612</v>
      </c>
      <c r="BH153" s="54">
        <v>7.1609206420015568</v>
      </c>
      <c r="BI153" s="54">
        <v>7.4938524082887668</v>
      </c>
      <c r="BJ153" s="54">
        <v>0.50588238487673554</v>
      </c>
      <c r="BK153" s="54">
        <v>1.3936211823878102</v>
      </c>
      <c r="BL153" s="54">
        <v>4.4009089970141408</v>
      </c>
      <c r="BN153" s="55">
        <v>5731.758088320852</v>
      </c>
      <c r="BO153" s="55">
        <v>53211.529696528043</v>
      </c>
      <c r="BP153" s="55">
        <v>1190409.9393935285</v>
      </c>
      <c r="BR153" s="54">
        <v>7.1463953147759325</v>
      </c>
      <c r="BS153" s="54">
        <v>7.5389014649745265</v>
      </c>
      <c r="BT153" s="54">
        <v>7.8972170308318113</v>
      </c>
      <c r="BU153" s="54">
        <v>0.73748611852015422</v>
      </c>
      <c r="BV153" s="54">
        <v>2.1534517738933308</v>
      </c>
      <c r="BW153" s="54">
        <v>7.0020418072448551</v>
      </c>
      <c r="BY153" s="55">
        <v>8294.7658486487835</v>
      </c>
      <c r="BZ153" s="55">
        <v>74872.177112451522</v>
      </c>
      <c r="CA153" s="55">
        <v>1522183.0015749685</v>
      </c>
      <c r="CC153">
        <v>349</v>
      </c>
      <c r="CD153">
        <v>126</v>
      </c>
      <c r="CE153">
        <v>606</v>
      </c>
    </row>
    <row r="154" spans="1:83" x14ac:dyDescent="0.2">
      <c r="A154">
        <v>350</v>
      </c>
      <c r="B154">
        <v>127</v>
      </c>
      <c r="C154" s="50" t="s">
        <v>137</v>
      </c>
      <c r="D154" s="50" t="s">
        <v>460</v>
      </c>
      <c r="E154" s="50" t="s">
        <v>464</v>
      </c>
      <c r="F154" s="50" t="s">
        <v>458</v>
      </c>
      <c r="G154" s="51">
        <v>31.8</v>
      </c>
      <c r="H154" s="51">
        <v>17</v>
      </c>
      <c r="I154" s="52">
        <v>61.1</v>
      </c>
      <c r="J154" s="52">
        <v>14</v>
      </c>
      <c r="K154" s="52">
        <v>108.1</v>
      </c>
      <c r="L154" s="52">
        <v>3</v>
      </c>
      <c r="M154" s="52">
        <v>40</v>
      </c>
      <c r="N154" s="52">
        <v>53</v>
      </c>
      <c r="O154" s="52">
        <v>65</v>
      </c>
      <c r="P154" s="52" t="s">
        <v>13</v>
      </c>
      <c r="Q154" s="52">
        <v>1.5</v>
      </c>
      <c r="R154" s="52">
        <v>0</v>
      </c>
      <c r="S154" s="52" t="s">
        <v>308</v>
      </c>
      <c r="T154" s="48">
        <v>1137.408832571439</v>
      </c>
      <c r="U154" s="48">
        <v>1345</v>
      </c>
      <c r="V154" s="48">
        <v>1345</v>
      </c>
      <c r="W154" s="48" t="s">
        <v>308</v>
      </c>
      <c r="X154" s="48">
        <v>2417.2701111552124</v>
      </c>
      <c r="Y154" s="48">
        <v>3211.4643646013355</v>
      </c>
      <c r="Z154" s="48">
        <v>3404.7631576669914</v>
      </c>
      <c r="AB154" s="52" t="s">
        <v>470</v>
      </c>
      <c r="AC154" s="52">
        <v>6.6666666666666671E-3</v>
      </c>
      <c r="AD154" s="52">
        <v>0.02</v>
      </c>
      <c r="AE154" s="52">
        <v>3.3333333333333333E-2</v>
      </c>
      <c r="AF154" s="52">
        <v>0.69000000000000006</v>
      </c>
      <c r="AG154" s="52">
        <v>0.91</v>
      </c>
      <c r="AH154" s="52">
        <v>1.1300000000000001</v>
      </c>
      <c r="AI154" s="52">
        <v>52</v>
      </c>
      <c r="AJ154" s="52">
        <v>74</v>
      </c>
      <c r="AK154" s="52">
        <v>96</v>
      </c>
      <c r="AL154" s="53">
        <v>3.444253960608682E-3</v>
      </c>
      <c r="AM154" s="53">
        <v>2.5362949991945161E-2</v>
      </c>
      <c r="AN154" s="53">
        <v>8.7489413631983717E-2</v>
      </c>
      <c r="AO154" s="53">
        <v>3.6969692971954246E-3</v>
      </c>
      <c r="AP154" s="53">
        <v>2.6190210849712549E-2</v>
      </c>
      <c r="AQ154" s="53">
        <v>8.8259549178729621E-2</v>
      </c>
      <c r="AR154" s="53">
        <v>4.5319355818178699E-3</v>
      </c>
      <c r="AS154" s="53">
        <v>2.8594231472948563E-2</v>
      </c>
      <c r="AT154" s="53">
        <v>8.9004780943820028E-2</v>
      </c>
      <c r="AV154" s="54">
        <v>6.3196299119773913</v>
      </c>
      <c r="AW154" s="54">
        <v>6.7526149396568131</v>
      </c>
      <c r="AX154" s="54">
        <v>7.2404486659297662</v>
      </c>
      <c r="AY154" s="54">
        <v>0.29356513929542838</v>
      </c>
      <c r="AZ154" s="54">
        <v>0.89810108476083339</v>
      </c>
      <c r="BA154" s="54">
        <v>3.3897982439381189</v>
      </c>
      <c r="BC154" s="55">
        <v>3355.4361277386483</v>
      </c>
      <c r="BD154" s="55">
        <v>35409.96157962914</v>
      </c>
      <c r="BE154" s="55">
        <v>984189.40145141352</v>
      </c>
      <c r="BG154" s="54">
        <v>6.8189867290742612</v>
      </c>
      <c r="BH154" s="54">
        <v>7.1609206420015568</v>
      </c>
      <c r="BI154" s="54">
        <v>7.4938524082887668</v>
      </c>
      <c r="BJ154" s="54">
        <v>0.50588238487673554</v>
      </c>
      <c r="BK154" s="54">
        <v>1.3936211823878102</v>
      </c>
      <c r="BL154" s="54">
        <v>4.4009089970141408</v>
      </c>
      <c r="BN154" s="55">
        <v>5731.758088320852</v>
      </c>
      <c r="BO154" s="55">
        <v>53211.529696528043</v>
      </c>
      <c r="BP154" s="55">
        <v>1190409.9393935285</v>
      </c>
      <c r="BR154" s="54">
        <v>7.1463953147759325</v>
      </c>
      <c r="BS154" s="54">
        <v>7.5389014649745265</v>
      </c>
      <c r="BT154" s="54">
        <v>7.8972170308318113</v>
      </c>
      <c r="BU154" s="54">
        <v>0.73748611852015422</v>
      </c>
      <c r="BV154" s="54">
        <v>2.1534517738933308</v>
      </c>
      <c r="BW154" s="54">
        <v>7.0020418072448551</v>
      </c>
      <c r="BY154" s="55">
        <v>8285.9157755318429</v>
      </c>
      <c r="BZ154" s="55">
        <v>75310.706494440805</v>
      </c>
      <c r="CA154" s="55">
        <v>1545044.4254629423</v>
      </c>
      <c r="CC154">
        <v>350</v>
      </c>
      <c r="CD154">
        <v>127</v>
      </c>
      <c r="CE154">
        <v>607</v>
      </c>
    </row>
    <row r="155" spans="1:83" x14ac:dyDescent="0.2">
      <c r="A155">
        <v>350</v>
      </c>
      <c r="B155">
        <v>128</v>
      </c>
      <c r="C155" s="50" t="s">
        <v>137</v>
      </c>
      <c r="D155" s="50" t="s">
        <v>460</v>
      </c>
      <c r="E155" s="50" t="s">
        <v>462</v>
      </c>
      <c r="F155" s="50" t="s">
        <v>458</v>
      </c>
      <c r="G155" s="51">
        <v>29.3</v>
      </c>
      <c r="H155" s="51">
        <v>10</v>
      </c>
      <c r="I155" s="52">
        <v>61.1</v>
      </c>
      <c r="J155" s="52">
        <v>14</v>
      </c>
      <c r="K155" s="52">
        <v>108.1</v>
      </c>
      <c r="L155" s="52">
        <v>3</v>
      </c>
      <c r="M155" s="52">
        <v>40</v>
      </c>
      <c r="N155" s="52">
        <v>53</v>
      </c>
      <c r="O155" s="52">
        <v>65</v>
      </c>
      <c r="P155" s="52" t="s">
        <v>13</v>
      </c>
      <c r="Q155" s="52">
        <v>1.5</v>
      </c>
      <c r="R155" s="52">
        <v>0</v>
      </c>
      <c r="S155" s="52" t="s">
        <v>308</v>
      </c>
      <c r="T155" s="48">
        <v>1137.408832571439</v>
      </c>
      <c r="U155" s="48">
        <v>1345</v>
      </c>
      <c r="V155" s="48">
        <v>1345</v>
      </c>
      <c r="W155" s="48" t="s">
        <v>308</v>
      </c>
      <c r="X155" s="48">
        <v>2417.2701111552124</v>
      </c>
      <c r="Y155" s="48">
        <v>3211.4643646013355</v>
      </c>
      <c r="Z155" s="48">
        <v>3404.7631576669914</v>
      </c>
      <c r="AB155" s="52" t="s">
        <v>470</v>
      </c>
      <c r="AC155" s="52">
        <v>6.6666666666666671E-3</v>
      </c>
      <c r="AD155" s="52">
        <v>0.02</v>
      </c>
      <c r="AE155" s="52">
        <v>3.3333333333333333E-2</v>
      </c>
      <c r="AF155" s="52">
        <v>0.69000000000000006</v>
      </c>
      <c r="AG155" s="52">
        <v>0.91</v>
      </c>
      <c r="AH155" s="52">
        <v>1.1300000000000001</v>
      </c>
      <c r="AI155" s="52">
        <v>52</v>
      </c>
      <c r="AJ155" s="52">
        <v>74</v>
      </c>
      <c r="AK155" s="52">
        <v>96</v>
      </c>
      <c r="AL155" s="53">
        <v>4.0180446668584341E-3</v>
      </c>
      <c r="AM155" s="53">
        <v>2.7181195239973244E-2</v>
      </c>
      <c r="AN155" s="53">
        <v>8.8909817585784021E-2</v>
      </c>
      <c r="AO155" s="53">
        <v>3.6969692971954246E-3</v>
      </c>
      <c r="AP155" s="53">
        <v>2.6190210849712549E-2</v>
      </c>
      <c r="AQ155" s="53">
        <v>8.8259549178729621E-2</v>
      </c>
      <c r="AR155" s="53">
        <v>4.5319355818178699E-3</v>
      </c>
      <c r="AS155" s="53">
        <v>2.8594231472948563E-2</v>
      </c>
      <c r="AT155" s="53">
        <v>8.9004780943820028E-2</v>
      </c>
      <c r="AV155" s="54">
        <v>6.2603640792601851</v>
      </c>
      <c r="AW155" s="54">
        <v>6.6933491069396069</v>
      </c>
      <c r="AX155" s="54">
        <v>7.18118283321256</v>
      </c>
      <c r="AY155" s="54">
        <v>0.27420259825569121</v>
      </c>
      <c r="AZ155" s="54">
        <v>0.83886544406708685</v>
      </c>
      <c r="BA155" s="54">
        <v>3.1662188783083689</v>
      </c>
      <c r="BC155" s="55">
        <v>3084.0530967362379</v>
      </c>
      <c r="BD155" s="55">
        <v>30861.977799763325</v>
      </c>
      <c r="BE155" s="55">
        <v>787999.92056432832</v>
      </c>
      <c r="BG155" s="54">
        <v>6.8189867290742612</v>
      </c>
      <c r="BH155" s="54">
        <v>7.1609206420015568</v>
      </c>
      <c r="BI155" s="54">
        <v>7.4938524082887668</v>
      </c>
      <c r="BJ155" s="54">
        <v>0.50588238487673554</v>
      </c>
      <c r="BK155" s="54">
        <v>1.3936211823878102</v>
      </c>
      <c r="BL155" s="54">
        <v>4.4009089970141408</v>
      </c>
      <c r="BN155" s="55">
        <v>5731.758088320852</v>
      </c>
      <c r="BO155" s="55">
        <v>53211.529696528043</v>
      </c>
      <c r="BP155" s="55">
        <v>1190409.9393935285</v>
      </c>
      <c r="BR155" s="54">
        <v>7.1463953147759325</v>
      </c>
      <c r="BS155" s="54">
        <v>7.5389014649745265</v>
      </c>
      <c r="BT155" s="54">
        <v>7.8972170308318113</v>
      </c>
      <c r="BU155" s="54">
        <v>0.73748611852015422</v>
      </c>
      <c r="BV155" s="54">
        <v>2.1534517738933308</v>
      </c>
      <c r="BW155" s="54">
        <v>7.0020418072448551</v>
      </c>
      <c r="BY155" s="55">
        <v>8285.9157755318429</v>
      </c>
      <c r="BZ155" s="55">
        <v>75310.706494440805</v>
      </c>
      <c r="CA155" s="55">
        <v>1545044.4254629423</v>
      </c>
      <c r="CC155">
        <v>350</v>
      </c>
      <c r="CD155">
        <v>128</v>
      </c>
      <c r="CE155">
        <v>607</v>
      </c>
    </row>
    <row r="156" spans="1:83" x14ac:dyDescent="0.2">
      <c r="A156">
        <v>351</v>
      </c>
      <c r="B156" t="s">
        <v>416</v>
      </c>
      <c r="C156" s="50" t="s">
        <v>137</v>
      </c>
      <c r="D156" s="50" t="s">
        <v>150</v>
      </c>
      <c r="E156" s="50" t="s">
        <v>42</v>
      </c>
      <c r="F156" s="50" t="s">
        <v>42</v>
      </c>
      <c r="G156" s="51" t="s">
        <v>42</v>
      </c>
      <c r="H156" s="51" t="s">
        <v>42</v>
      </c>
      <c r="I156" s="52">
        <v>26.6</v>
      </c>
      <c r="J156" s="52">
        <v>327</v>
      </c>
      <c r="K156" s="52" t="s">
        <v>42</v>
      </c>
      <c r="L156" s="52" t="s">
        <v>42</v>
      </c>
      <c r="M156" s="52">
        <v>40</v>
      </c>
      <c r="N156" s="52">
        <v>53</v>
      </c>
      <c r="O156" s="52">
        <v>65</v>
      </c>
      <c r="P156" s="52" t="s">
        <v>13</v>
      </c>
      <c r="Q156" s="52">
        <v>1.5</v>
      </c>
      <c r="R156" s="52">
        <v>0</v>
      </c>
      <c r="S156" s="52" t="s">
        <v>308</v>
      </c>
      <c r="T156" s="48">
        <v>143</v>
      </c>
      <c r="U156" s="48">
        <v>143</v>
      </c>
      <c r="V156" s="48">
        <v>143</v>
      </c>
      <c r="W156" s="48" t="s">
        <v>42</v>
      </c>
      <c r="X156" s="48" t="s">
        <v>42</v>
      </c>
      <c r="Y156" s="48" t="s">
        <v>42</v>
      </c>
      <c r="Z156" s="48" t="s">
        <v>42</v>
      </c>
      <c r="AB156" s="52" t="s">
        <v>470</v>
      </c>
      <c r="AC156" s="52">
        <v>6.6666666666666671E-3</v>
      </c>
      <c r="AD156" s="52">
        <v>0.02</v>
      </c>
      <c r="AE156" s="52">
        <v>3.3333333333333333E-2</v>
      </c>
      <c r="AF156" s="52">
        <v>0.69000000000000006</v>
      </c>
      <c r="AG156" s="52">
        <v>0.91</v>
      </c>
      <c r="AH156" s="52">
        <v>1.1300000000000001</v>
      </c>
      <c r="AI156" s="52">
        <v>52</v>
      </c>
      <c r="AJ156" s="52">
        <v>74</v>
      </c>
      <c r="AK156" s="52">
        <v>96</v>
      </c>
      <c r="AL156" s="52" t="s">
        <v>42</v>
      </c>
      <c r="AM156" s="52" t="s">
        <v>42</v>
      </c>
      <c r="AN156" s="52" t="s">
        <v>42</v>
      </c>
      <c r="AO156" s="53">
        <v>4.6666632136209288E-3</v>
      </c>
      <c r="AP156" s="53">
        <v>2.8920425527712266E-2</v>
      </c>
      <c r="AQ156" s="53">
        <v>8.8787771436022636E-2</v>
      </c>
      <c r="AR156" s="53" t="s">
        <v>42</v>
      </c>
      <c r="AS156" s="53" t="s">
        <v>42</v>
      </c>
      <c r="AT156" s="53" t="s">
        <v>42</v>
      </c>
      <c r="AV156" s="54" t="s">
        <v>42</v>
      </c>
      <c r="AW156" s="54" t="s">
        <v>42</v>
      </c>
      <c r="AX156" s="54" t="s">
        <v>42</v>
      </c>
      <c r="AY156" s="54" t="s">
        <v>42</v>
      </c>
      <c r="AZ156" s="54" t="s">
        <v>42</v>
      </c>
      <c r="BA156" s="54" t="s">
        <v>42</v>
      </c>
      <c r="BC156" s="55" t="s">
        <v>42</v>
      </c>
      <c r="BD156" s="55" t="s">
        <v>42</v>
      </c>
      <c r="BE156" s="55" t="s">
        <v>42</v>
      </c>
      <c r="BG156" s="54">
        <v>5.9184061700874411</v>
      </c>
      <c r="BH156" s="54">
        <v>6.1875343951281936</v>
      </c>
      <c r="BI156" s="54">
        <v>6.5204661614154036</v>
      </c>
      <c r="BJ156" s="54">
        <v>0.1793739111465211</v>
      </c>
      <c r="BK156" s="54">
        <v>0.45441390823785333</v>
      </c>
      <c r="BL156" s="54">
        <v>1.4349912891721694</v>
      </c>
      <c r="BN156" s="55">
        <v>2020.2546842362369</v>
      </c>
      <c r="BO156" s="55">
        <v>15712.559547314499</v>
      </c>
      <c r="BP156" s="55">
        <v>307498.36092387303</v>
      </c>
      <c r="BR156" s="54" t="s">
        <v>42</v>
      </c>
      <c r="BS156" s="54" t="s">
        <v>42</v>
      </c>
      <c r="BT156" s="54" t="s">
        <v>42</v>
      </c>
      <c r="BU156" s="54" t="s">
        <v>42</v>
      </c>
      <c r="BV156" s="54" t="s">
        <v>42</v>
      </c>
      <c r="BW156" s="54" t="s">
        <v>42</v>
      </c>
      <c r="BY156" s="54" t="s">
        <v>42</v>
      </c>
      <c r="BZ156" s="54" t="s">
        <v>42</v>
      </c>
      <c r="CA156" s="54" t="s">
        <v>42</v>
      </c>
      <c r="CC156">
        <v>351</v>
      </c>
      <c r="CD156" t="s">
        <v>416</v>
      </c>
    </row>
    <row r="157" spans="1:83" x14ac:dyDescent="0.2">
      <c r="A157">
        <v>352</v>
      </c>
      <c r="B157">
        <v>129</v>
      </c>
      <c r="C157" s="50" t="s">
        <v>137</v>
      </c>
      <c r="D157" s="50" t="s">
        <v>451</v>
      </c>
      <c r="E157" s="50" t="s">
        <v>441</v>
      </c>
      <c r="F157" s="50" t="s">
        <v>448</v>
      </c>
      <c r="G157" s="51">
        <v>49.9</v>
      </c>
      <c r="H157" s="51">
        <v>174</v>
      </c>
      <c r="I157" s="52">
        <v>159.5</v>
      </c>
      <c r="J157" s="52">
        <v>166</v>
      </c>
      <c r="K157" s="52">
        <v>268.8</v>
      </c>
      <c r="L157" s="52">
        <v>170</v>
      </c>
      <c r="M157" s="52">
        <v>40</v>
      </c>
      <c r="N157" s="52">
        <v>53</v>
      </c>
      <c r="O157" s="52">
        <v>65</v>
      </c>
      <c r="P157" s="52" t="s">
        <v>9</v>
      </c>
      <c r="Q157" s="52">
        <v>1.5</v>
      </c>
      <c r="R157" s="52">
        <v>0</v>
      </c>
      <c r="S157" s="52" t="s">
        <v>211</v>
      </c>
      <c r="T157" s="48">
        <v>5629.2308408559311</v>
      </c>
      <c r="U157" s="48">
        <v>6990.0473116571302</v>
      </c>
      <c r="V157" s="48">
        <v>6990.0473116571302</v>
      </c>
      <c r="W157" s="48" t="s">
        <v>308</v>
      </c>
      <c r="X157" s="48">
        <v>9988.3917120038968</v>
      </c>
      <c r="Y157" s="48">
        <v>11029.04731165713</v>
      </c>
      <c r="Z157" s="48">
        <v>11029.04731165713</v>
      </c>
      <c r="AB157" s="52" t="s">
        <v>471</v>
      </c>
      <c r="AC157" s="52">
        <v>0.25</v>
      </c>
      <c r="AD157" s="52">
        <v>0.35</v>
      </c>
      <c r="AE157" s="52">
        <v>0.45</v>
      </c>
      <c r="AF157" s="52">
        <v>0.69000000000000006</v>
      </c>
      <c r="AG157" s="52">
        <v>0.91</v>
      </c>
      <c r="AH157" s="52">
        <v>1.1300000000000001</v>
      </c>
      <c r="AI157" s="52">
        <v>52</v>
      </c>
      <c r="AJ157" s="52">
        <v>74</v>
      </c>
      <c r="AK157" s="52">
        <v>96</v>
      </c>
      <c r="AL157" s="53">
        <v>0.19096580870865057</v>
      </c>
      <c r="AM157" s="53">
        <v>0.51766738756703767</v>
      </c>
      <c r="AN157" s="53">
        <v>1.1849339882855368</v>
      </c>
      <c r="AO157" s="53">
        <v>0.20571468517117503</v>
      </c>
      <c r="AP157" s="53">
        <v>0.49731576681610323</v>
      </c>
      <c r="AQ157" s="53">
        <v>1.2024805398755205</v>
      </c>
      <c r="AR157" s="53">
        <v>0.19882457360833455</v>
      </c>
      <c r="AS157" s="53">
        <v>0.50873081990012559</v>
      </c>
      <c r="AT157" s="53">
        <v>1.1966221755581681</v>
      </c>
      <c r="AV157" s="54">
        <v>6.6457522880423214</v>
      </c>
      <c r="AW157" s="54">
        <v>7.0787373157217433</v>
      </c>
      <c r="AX157" s="54">
        <v>7.5665710419946963</v>
      </c>
      <c r="AY157" s="54">
        <v>0.42733225060789165</v>
      </c>
      <c r="AZ157" s="54">
        <v>1.3073335571973794</v>
      </c>
      <c r="BA157" s="54">
        <v>4.9344077984375083</v>
      </c>
      <c r="BC157" s="55">
        <v>360.63802273592665</v>
      </c>
      <c r="BD157" s="55">
        <v>2525.4315581703131</v>
      </c>
      <c r="BE157" s="55">
        <v>25839.221333939156</v>
      </c>
      <c r="BG157" s="54">
        <v>7.513519190992004</v>
      </c>
      <c r="BH157" s="54">
        <v>7.8766784729112587</v>
      </c>
      <c r="BI157" s="54">
        <v>8.2096102391984687</v>
      </c>
      <c r="BJ157" s="54">
        <v>1.1254230045598799</v>
      </c>
      <c r="BK157" s="54">
        <v>3.177047106675146</v>
      </c>
      <c r="BL157" s="54">
        <v>10.032780336868891</v>
      </c>
      <c r="BN157" s="55">
        <v>935.91785250544058</v>
      </c>
      <c r="BO157" s="55">
        <v>6388.3900705885935</v>
      </c>
      <c r="BP157" s="55">
        <v>48770.365268384325</v>
      </c>
      <c r="BR157" s="54">
        <v>7.7625656982426179</v>
      </c>
      <c r="BS157" s="54">
        <v>8.0747363573962048</v>
      </c>
      <c r="BT157" s="54">
        <v>8.4076681236834148</v>
      </c>
      <c r="BU157" s="54">
        <v>1.4991291255928827</v>
      </c>
      <c r="BV157" s="54">
        <v>3.9907323034792648</v>
      </c>
      <c r="BW157" s="54">
        <v>12.60231253730295</v>
      </c>
      <c r="BY157" s="55">
        <v>1252.8007220772165</v>
      </c>
      <c r="BZ157" s="55">
        <v>7844.4870005373932</v>
      </c>
      <c r="CA157" s="55">
        <v>63384.079284526997</v>
      </c>
      <c r="CC157">
        <v>352</v>
      </c>
      <c r="CD157">
        <v>129</v>
      </c>
      <c r="CE157">
        <v>608</v>
      </c>
    </row>
    <row r="158" spans="1:83" x14ac:dyDescent="0.2">
      <c r="A158">
        <v>352</v>
      </c>
      <c r="B158">
        <v>130</v>
      </c>
      <c r="C158" s="50" t="s">
        <v>137</v>
      </c>
      <c r="D158" s="50" t="s">
        <v>451</v>
      </c>
      <c r="E158" s="50" t="s">
        <v>442</v>
      </c>
      <c r="F158" s="50" t="s">
        <v>448</v>
      </c>
      <c r="G158" s="51">
        <v>61.9</v>
      </c>
      <c r="H158" s="51">
        <v>170</v>
      </c>
      <c r="I158" s="52">
        <v>159.5</v>
      </c>
      <c r="J158" s="52">
        <v>166</v>
      </c>
      <c r="K158" s="52">
        <v>268.8</v>
      </c>
      <c r="L158" s="52">
        <v>170</v>
      </c>
      <c r="M158" s="52">
        <v>40</v>
      </c>
      <c r="N158" s="52">
        <v>53</v>
      </c>
      <c r="O158" s="52">
        <v>65</v>
      </c>
      <c r="P158" s="52" t="s">
        <v>9</v>
      </c>
      <c r="Q158" s="52">
        <v>1.5</v>
      </c>
      <c r="R158" s="52">
        <v>0</v>
      </c>
      <c r="S158" s="52" t="s">
        <v>211</v>
      </c>
      <c r="T158" s="48">
        <v>5629.2308408559311</v>
      </c>
      <c r="U158" s="48">
        <v>6990.0473116571302</v>
      </c>
      <c r="V158" s="48">
        <v>6990.0473116571302</v>
      </c>
      <c r="W158" s="48" t="s">
        <v>308</v>
      </c>
      <c r="X158" s="48">
        <v>9988.3917120038968</v>
      </c>
      <c r="Y158" s="48">
        <v>11029.04731165713</v>
      </c>
      <c r="Z158" s="48">
        <v>11029.04731165713</v>
      </c>
      <c r="AB158" s="52" t="s">
        <v>471</v>
      </c>
      <c r="AC158" s="52">
        <v>0.25</v>
      </c>
      <c r="AD158" s="52">
        <v>0.35</v>
      </c>
      <c r="AE158" s="52">
        <v>0.45</v>
      </c>
      <c r="AF158" s="52">
        <v>0.69000000000000006</v>
      </c>
      <c r="AG158" s="52">
        <v>0.91</v>
      </c>
      <c r="AH158" s="52">
        <v>1.1300000000000001</v>
      </c>
      <c r="AI158" s="52">
        <v>52</v>
      </c>
      <c r="AJ158" s="52">
        <v>74</v>
      </c>
      <c r="AK158" s="52">
        <v>96</v>
      </c>
      <c r="AL158" s="53">
        <v>0.19882457360833455</v>
      </c>
      <c r="AM158" s="53">
        <v>0.50873081990012559</v>
      </c>
      <c r="AN158" s="53">
        <v>1.1966221755581681</v>
      </c>
      <c r="AO158" s="53">
        <v>0.20571468517117503</v>
      </c>
      <c r="AP158" s="53">
        <v>0.49731576681610323</v>
      </c>
      <c r="AQ158" s="53">
        <v>1.2024805398755205</v>
      </c>
      <c r="AR158" s="53">
        <v>0.19882457360833455</v>
      </c>
      <c r="AS158" s="53">
        <v>0.50873081990012559</v>
      </c>
      <c r="AT158" s="53">
        <v>1.1966221755581681</v>
      </c>
      <c r="AV158" s="54">
        <v>6.801735793703533</v>
      </c>
      <c r="AW158" s="54">
        <v>7.2347208213829548</v>
      </c>
      <c r="AX158" s="54">
        <v>7.7225545476559079</v>
      </c>
      <c r="AY158" s="54">
        <v>0.51139611323033052</v>
      </c>
      <c r="AZ158" s="54">
        <v>1.5645093458199522</v>
      </c>
      <c r="BA158" s="54">
        <v>5.9050936727211942</v>
      </c>
      <c r="BC158" s="55">
        <v>427.36640158936405</v>
      </c>
      <c r="BD158" s="55">
        <v>3075.3185862163764</v>
      </c>
      <c r="BE158" s="55">
        <v>29700.019296174451</v>
      </c>
      <c r="BG158" s="54">
        <v>7.513519190992004</v>
      </c>
      <c r="BH158" s="54">
        <v>7.8766784729112587</v>
      </c>
      <c r="BI158" s="54">
        <v>8.2096102391984687</v>
      </c>
      <c r="BJ158" s="54">
        <v>1.1254230045598799</v>
      </c>
      <c r="BK158" s="54">
        <v>3.177047106675146</v>
      </c>
      <c r="BL158" s="54">
        <v>10.032780336868891</v>
      </c>
      <c r="BN158" s="55">
        <v>935.91785250544058</v>
      </c>
      <c r="BO158" s="55">
        <v>6388.3900705885935</v>
      </c>
      <c r="BP158" s="55">
        <v>48770.365268384325</v>
      </c>
      <c r="BR158" s="54">
        <v>7.7625656982426179</v>
      </c>
      <c r="BS158" s="54">
        <v>8.0747363573962048</v>
      </c>
      <c r="BT158" s="54">
        <v>8.4076681236834148</v>
      </c>
      <c r="BU158" s="54">
        <v>1.4991291255928827</v>
      </c>
      <c r="BV158" s="54">
        <v>3.9907323034792648</v>
      </c>
      <c r="BW158" s="54">
        <v>12.60231253730295</v>
      </c>
      <c r="BY158" s="55">
        <v>1252.8007220772165</v>
      </c>
      <c r="BZ158" s="55">
        <v>7844.4870005373932</v>
      </c>
      <c r="CA158" s="55">
        <v>63384.079284526997</v>
      </c>
      <c r="CC158">
        <v>352</v>
      </c>
      <c r="CD158">
        <v>130</v>
      </c>
      <c r="CE158">
        <v>608</v>
      </c>
    </row>
    <row r="159" spans="1:83" x14ac:dyDescent="0.2">
      <c r="A159">
        <v>352</v>
      </c>
      <c r="B159">
        <v>131</v>
      </c>
      <c r="C159" s="50" t="s">
        <v>137</v>
      </c>
      <c r="D159" s="50" t="s">
        <v>451</v>
      </c>
      <c r="E159" s="50" t="s">
        <v>443</v>
      </c>
      <c r="F159" s="50" t="s">
        <v>448</v>
      </c>
      <c r="G159" s="51">
        <v>47.7</v>
      </c>
      <c r="H159" s="51">
        <v>151</v>
      </c>
      <c r="I159" s="52">
        <v>159.5</v>
      </c>
      <c r="J159" s="52">
        <v>166</v>
      </c>
      <c r="K159" s="52">
        <v>268.8</v>
      </c>
      <c r="L159" s="52">
        <v>170</v>
      </c>
      <c r="M159" s="52">
        <v>40</v>
      </c>
      <c r="N159" s="52">
        <v>53</v>
      </c>
      <c r="O159" s="52">
        <v>65</v>
      </c>
      <c r="P159" s="52" t="s">
        <v>9</v>
      </c>
      <c r="Q159" s="52">
        <v>1.5</v>
      </c>
      <c r="R159" s="52">
        <v>0</v>
      </c>
      <c r="S159" s="52" t="s">
        <v>211</v>
      </c>
      <c r="T159" s="48">
        <v>5629.2308408559311</v>
      </c>
      <c r="U159" s="48">
        <v>6990.0473116571302</v>
      </c>
      <c r="V159" s="48">
        <v>6990.0473116571302</v>
      </c>
      <c r="W159" s="48" t="s">
        <v>308</v>
      </c>
      <c r="X159" s="48">
        <v>9988.3917120038968</v>
      </c>
      <c r="Y159" s="48">
        <v>11029.04731165713</v>
      </c>
      <c r="Z159" s="48">
        <v>11029.04731165713</v>
      </c>
      <c r="AB159" s="52" t="s">
        <v>471</v>
      </c>
      <c r="AC159" s="52">
        <v>0.25</v>
      </c>
      <c r="AD159" s="52">
        <v>0.35</v>
      </c>
      <c r="AE159" s="52">
        <v>0.45</v>
      </c>
      <c r="AF159" s="52">
        <v>0.69000000000000006</v>
      </c>
      <c r="AG159" s="52">
        <v>0.91</v>
      </c>
      <c r="AH159" s="52">
        <v>1.1300000000000001</v>
      </c>
      <c r="AI159" s="52">
        <v>52</v>
      </c>
      <c r="AJ159" s="52">
        <v>74</v>
      </c>
      <c r="AK159" s="52">
        <v>96</v>
      </c>
      <c r="AL159" s="53">
        <v>0.1844589160708846</v>
      </c>
      <c r="AM159" s="53">
        <v>0.5156681932077507</v>
      </c>
      <c r="AN159" s="53">
        <v>1.1883999501677482</v>
      </c>
      <c r="AO159" s="53">
        <v>0.20571468517117503</v>
      </c>
      <c r="AP159" s="53">
        <v>0.49731576681610323</v>
      </c>
      <c r="AQ159" s="53">
        <v>1.2024805398755205</v>
      </c>
      <c r="AR159" s="53">
        <v>0.19882457360833455</v>
      </c>
      <c r="AS159" s="53">
        <v>0.50873081990012559</v>
      </c>
      <c r="AT159" s="53">
        <v>1.1966221755581681</v>
      </c>
      <c r="AV159" s="54">
        <v>6.6131153437368608</v>
      </c>
      <c r="AW159" s="54">
        <v>7.0461003714162826</v>
      </c>
      <c r="AX159" s="54">
        <v>7.5339340976892357</v>
      </c>
      <c r="AY159" s="54">
        <v>0.41157330467544967</v>
      </c>
      <c r="AZ159" s="54">
        <v>1.2591223613088538</v>
      </c>
      <c r="BA159" s="54">
        <v>4.7524391649126958</v>
      </c>
      <c r="BC159" s="55">
        <v>346.32558223967794</v>
      </c>
      <c r="BD159" s="55">
        <v>2441.7297360855118</v>
      </c>
      <c r="BE159" s="55">
        <v>25764.214959858105</v>
      </c>
      <c r="BG159" s="54">
        <v>7.513519190992004</v>
      </c>
      <c r="BH159" s="54">
        <v>7.8766784729112587</v>
      </c>
      <c r="BI159" s="54">
        <v>8.2096102391984687</v>
      </c>
      <c r="BJ159" s="54">
        <v>1.1254230045598799</v>
      </c>
      <c r="BK159" s="54">
        <v>3.177047106675146</v>
      </c>
      <c r="BL159" s="54">
        <v>10.032780336868891</v>
      </c>
      <c r="BN159" s="55">
        <v>935.91785250544058</v>
      </c>
      <c r="BO159" s="55">
        <v>6388.3900705885935</v>
      </c>
      <c r="BP159" s="55">
        <v>48770.365268384325</v>
      </c>
      <c r="BR159" s="54">
        <v>7.7625656982426179</v>
      </c>
      <c r="BS159" s="54">
        <v>8.0747363573962048</v>
      </c>
      <c r="BT159" s="54">
        <v>8.4076681236834148</v>
      </c>
      <c r="BU159" s="54">
        <v>1.4991291255928827</v>
      </c>
      <c r="BV159" s="54">
        <v>3.9907323034792648</v>
      </c>
      <c r="BW159" s="54">
        <v>12.60231253730295</v>
      </c>
      <c r="BY159" s="55">
        <v>1252.8007220772165</v>
      </c>
      <c r="BZ159" s="55">
        <v>7844.4870005373932</v>
      </c>
      <c r="CA159" s="55">
        <v>63384.079284526997</v>
      </c>
      <c r="CC159">
        <v>352</v>
      </c>
      <c r="CD159">
        <v>131</v>
      </c>
      <c r="CE159">
        <v>608</v>
      </c>
    </row>
    <row r="160" spans="1:83" x14ac:dyDescent="0.2">
      <c r="A160">
        <v>353</v>
      </c>
      <c r="B160">
        <v>132</v>
      </c>
      <c r="C160" s="50" t="s">
        <v>137</v>
      </c>
      <c r="D160" s="50" t="s">
        <v>452</v>
      </c>
      <c r="E160" s="50" t="s">
        <v>444</v>
      </c>
      <c r="F160" s="50" t="s">
        <v>447</v>
      </c>
      <c r="G160" s="51">
        <v>49.9</v>
      </c>
      <c r="H160" s="51">
        <v>174</v>
      </c>
      <c r="I160" s="52">
        <v>159.5</v>
      </c>
      <c r="J160" s="52">
        <v>166</v>
      </c>
      <c r="K160" s="52">
        <v>247.9</v>
      </c>
      <c r="L160" s="52">
        <v>172</v>
      </c>
      <c r="M160" s="52">
        <v>40</v>
      </c>
      <c r="N160" s="52">
        <v>53</v>
      </c>
      <c r="O160" s="52">
        <v>65</v>
      </c>
      <c r="P160" s="52" t="s">
        <v>9</v>
      </c>
      <c r="Q160" s="52">
        <v>1.5</v>
      </c>
      <c r="R160" s="52">
        <v>0</v>
      </c>
      <c r="S160" s="52" t="s">
        <v>211</v>
      </c>
      <c r="T160" s="48">
        <v>5629.2308408559311</v>
      </c>
      <c r="U160" s="48">
        <v>6990.0473116571302</v>
      </c>
      <c r="V160" s="48">
        <v>6990.0473116571302</v>
      </c>
      <c r="W160" s="48" t="s">
        <v>308</v>
      </c>
      <c r="X160" s="48">
        <v>9095.1260964404846</v>
      </c>
      <c r="Y160" s="48">
        <v>10059.953872799522</v>
      </c>
      <c r="Z160" s="48">
        <v>10514.04731165713</v>
      </c>
      <c r="AB160" s="52" t="s">
        <v>471</v>
      </c>
      <c r="AC160" s="52">
        <v>0.25</v>
      </c>
      <c r="AD160" s="52">
        <v>0.35</v>
      </c>
      <c r="AE160" s="52">
        <v>0.45</v>
      </c>
      <c r="AF160" s="52">
        <v>0.69000000000000006</v>
      </c>
      <c r="AG160" s="52">
        <v>0.91</v>
      </c>
      <c r="AH160" s="52">
        <v>1.1300000000000001</v>
      </c>
      <c r="AI160" s="52">
        <v>52</v>
      </c>
      <c r="AJ160" s="52">
        <v>74</v>
      </c>
      <c r="AK160" s="52">
        <v>96</v>
      </c>
      <c r="AL160" s="53">
        <v>0.19096580870865057</v>
      </c>
      <c r="AM160" s="53">
        <v>0.51766738756703767</v>
      </c>
      <c r="AN160" s="53">
        <v>1.1849339882855368</v>
      </c>
      <c r="AO160" s="53">
        <v>0.20571468517117503</v>
      </c>
      <c r="AP160" s="53">
        <v>0.49731576681610323</v>
      </c>
      <c r="AQ160" s="53">
        <v>1.2024805398755205</v>
      </c>
      <c r="AR160" s="53">
        <v>0.19501398841113099</v>
      </c>
      <c r="AS160" s="53">
        <v>0.51351192132142287</v>
      </c>
      <c r="AT160" s="53">
        <v>1.1915039139128496</v>
      </c>
      <c r="AV160" s="54">
        <v>6.6457522880423214</v>
      </c>
      <c r="AW160" s="54">
        <v>7.0787373157217433</v>
      </c>
      <c r="AX160" s="54">
        <v>7.5665710419946963</v>
      </c>
      <c r="AY160" s="54">
        <v>0.42733225060789165</v>
      </c>
      <c r="AZ160" s="54">
        <v>1.3073335571973794</v>
      </c>
      <c r="BA160" s="54">
        <v>4.9344077984375083</v>
      </c>
      <c r="BC160" s="55">
        <v>360.63802273592665</v>
      </c>
      <c r="BD160" s="55">
        <v>2525.4315581703131</v>
      </c>
      <c r="BE160" s="55">
        <v>25839.221333939156</v>
      </c>
      <c r="BG160" s="54">
        <v>7.513519190992004</v>
      </c>
      <c r="BH160" s="54">
        <v>7.8766784729112587</v>
      </c>
      <c r="BI160" s="54">
        <v>8.2096102391984687</v>
      </c>
      <c r="BJ160" s="54">
        <v>1.1254230045598799</v>
      </c>
      <c r="BK160" s="54">
        <v>3.177047106675146</v>
      </c>
      <c r="BL160" s="54">
        <v>10.032780336868891</v>
      </c>
      <c r="BN160" s="55">
        <v>935.91785250544058</v>
      </c>
      <c r="BO160" s="55">
        <v>6388.3900705885935</v>
      </c>
      <c r="BP160" s="55">
        <v>48770.365268384325</v>
      </c>
      <c r="BR160" s="54">
        <v>7.7218788571993047</v>
      </c>
      <c r="BS160" s="54">
        <v>8.0347943470475958</v>
      </c>
      <c r="BT160" s="54">
        <v>8.3869000508980491</v>
      </c>
      <c r="BU160" s="54">
        <v>1.4305255578629521</v>
      </c>
      <c r="BV160" s="54">
        <v>3.8113742131050992</v>
      </c>
      <c r="BW160" s="54">
        <v>12.304563433452765</v>
      </c>
      <c r="BY160" s="55">
        <v>1200.6050010907352</v>
      </c>
      <c r="BZ160" s="55">
        <v>7422.1727964898464</v>
      </c>
      <c r="CA160" s="55">
        <v>63095.799094740461</v>
      </c>
      <c r="CC160">
        <v>353</v>
      </c>
      <c r="CD160">
        <v>132</v>
      </c>
      <c r="CE160">
        <v>609</v>
      </c>
    </row>
    <row r="161" spans="1:83" x14ac:dyDescent="0.2">
      <c r="A161">
        <v>353</v>
      </c>
      <c r="B161">
        <v>133</v>
      </c>
      <c r="C161" s="50" t="s">
        <v>137</v>
      </c>
      <c r="D161" s="50" t="s">
        <v>452</v>
      </c>
      <c r="E161" s="50" t="s">
        <v>445</v>
      </c>
      <c r="F161" s="50" t="s">
        <v>447</v>
      </c>
      <c r="G161" s="51">
        <v>61.9</v>
      </c>
      <c r="H161" s="51">
        <v>170</v>
      </c>
      <c r="I161" s="52">
        <v>159.5</v>
      </c>
      <c r="J161" s="52">
        <v>166</v>
      </c>
      <c r="K161" s="52">
        <v>247.9</v>
      </c>
      <c r="L161" s="52">
        <v>172</v>
      </c>
      <c r="M161" s="52">
        <v>40</v>
      </c>
      <c r="N161" s="52">
        <v>53</v>
      </c>
      <c r="O161" s="52">
        <v>65</v>
      </c>
      <c r="P161" s="52" t="s">
        <v>9</v>
      </c>
      <c r="Q161" s="52">
        <v>1.5</v>
      </c>
      <c r="R161" s="52">
        <v>0</v>
      </c>
      <c r="S161" s="52" t="s">
        <v>211</v>
      </c>
      <c r="T161" s="48">
        <v>5629.2308408559311</v>
      </c>
      <c r="U161" s="48">
        <v>6990.0473116571302</v>
      </c>
      <c r="V161" s="48">
        <v>6990.0473116571302</v>
      </c>
      <c r="W161" s="48" t="s">
        <v>308</v>
      </c>
      <c r="X161" s="48">
        <v>9095.1260964404846</v>
      </c>
      <c r="Y161" s="48">
        <v>10059.953872799522</v>
      </c>
      <c r="Z161" s="48">
        <v>10514.04731165713</v>
      </c>
      <c r="AB161" s="52" t="s">
        <v>471</v>
      </c>
      <c r="AC161" s="52">
        <v>0.25</v>
      </c>
      <c r="AD161" s="52">
        <v>0.35</v>
      </c>
      <c r="AE161" s="52">
        <v>0.45</v>
      </c>
      <c r="AF161" s="52">
        <v>0.69000000000000006</v>
      </c>
      <c r="AG161" s="52">
        <v>0.91</v>
      </c>
      <c r="AH161" s="52">
        <v>1.1300000000000001</v>
      </c>
      <c r="AI161" s="52">
        <v>52</v>
      </c>
      <c r="AJ161" s="52">
        <v>74</v>
      </c>
      <c r="AK161" s="52">
        <v>96</v>
      </c>
      <c r="AL161" s="53">
        <v>0.19882457360833455</v>
      </c>
      <c r="AM161" s="53">
        <v>0.50873081990012559</v>
      </c>
      <c r="AN161" s="53">
        <v>1.1966221755581681</v>
      </c>
      <c r="AO161" s="53">
        <v>0.20571468517117503</v>
      </c>
      <c r="AP161" s="53">
        <v>0.49731576681610323</v>
      </c>
      <c r="AQ161" s="53">
        <v>1.2024805398755205</v>
      </c>
      <c r="AR161" s="53">
        <v>0.19501398841113099</v>
      </c>
      <c r="AS161" s="53">
        <v>0.51351192132142287</v>
      </c>
      <c r="AT161" s="53">
        <v>1.1915039139128496</v>
      </c>
      <c r="AV161" s="54">
        <v>6.801735793703533</v>
      </c>
      <c r="AW161" s="54">
        <v>7.2347208213829548</v>
      </c>
      <c r="AX161" s="54">
        <v>7.7225545476559079</v>
      </c>
      <c r="AY161" s="54">
        <v>0.51139611323033052</v>
      </c>
      <c r="AZ161" s="54">
        <v>1.5645093458199522</v>
      </c>
      <c r="BA161" s="54">
        <v>5.9050936727211942</v>
      </c>
      <c r="BC161" s="55">
        <v>427.36640158936405</v>
      </c>
      <c r="BD161" s="55">
        <v>3075.3185862163764</v>
      </c>
      <c r="BE161" s="55">
        <v>29700.019296174451</v>
      </c>
      <c r="BG161" s="54">
        <v>7.513519190992004</v>
      </c>
      <c r="BH161" s="54">
        <v>7.8766784729112587</v>
      </c>
      <c r="BI161" s="54">
        <v>8.2096102391984687</v>
      </c>
      <c r="BJ161" s="54">
        <v>1.1254230045598799</v>
      </c>
      <c r="BK161" s="54">
        <v>3.177047106675146</v>
      </c>
      <c r="BL161" s="54">
        <v>10.032780336868891</v>
      </c>
      <c r="BN161" s="55">
        <v>935.91785250544058</v>
      </c>
      <c r="BO161" s="55">
        <v>6388.3900705885935</v>
      </c>
      <c r="BP161" s="55">
        <v>48770.365268384325</v>
      </c>
      <c r="BR161" s="54">
        <v>7.7218788571993047</v>
      </c>
      <c r="BS161" s="54">
        <v>8.0347943470475958</v>
      </c>
      <c r="BT161" s="54">
        <v>8.3869000508980491</v>
      </c>
      <c r="BU161" s="54">
        <v>1.4305255578629521</v>
      </c>
      <c r="BV161" s="54">
        <v>3.8113742131050992</v>
      </c>
      <c r="BW161" s="54">
        <v>12.304563433452765</v>
      </c>
      <c r="BY161" s="55">
        <v>1200.6050010907352</v>
      </c>
      <c r="BZ161" s="55">
        <v>7422.1727964898464</v>
      </c>
      <c r="CA161" s="55">
        <v>63095.799094740461</v>
      </c>
      <c r="CC161">
        <v>353</v>
      </c>
      <c r="CD161">
        <v>133</v>
      </c>
      <c r="CE161">
        <v>609</v>
      </c>
    </row>
    <row r="162" spans="1:83" x14ac:dyDescent="0.2">
      <c r="A162">
        <v>353</v>
      </c>
      <c r="B162">
        <v>134</v>
      </c>
      <c r="C162" s="50" t="s">
        <v>137</v>
      </c>
      <c r="D162" s="50" t="s">
        <v>452</v>
      </c>
      <c r="E162" s="50" t="s">
        <v>446</v>
      </c>
      <c r="F162" s="50" t="s">
        <v>447</v>
      </c>
      <c r="G162" s="51">
        <v>47.7</v>
      </c>
      <c r="H162" s="51">
        <v>151</v>
      </c>
      <c r="I162" s="52">
        <v>159.5</v>
      </c>
      <c r="J162" s="52">
        <v>166</v>
      </c>
      <c r="K162" s="52">
        <v>247.9</v>
      </c>
      <c r="L162" s="52">
        <v>172</v>
      </c>
      <c r="M162" s="52">
        <v>40</v>
      </c>
      <c r="N162" s="52">
        <v>53</v>
      </c>
      <c r="O162" s="52">
        <v>65</v>
      </c>
      <c r="P162" s="52" t="s">
        <v>9</v>
      </c>
      <c r="Q162" s="52">
        <v>1.5</v>
      </c>
      <c r="R162" s="52">
        <v>0</v>
      </c>
      <c r="S162" s="52" t="s">
        <v>211</v>
      </c>
      <c r="T162" s="48">
        <v>5629.2308408559311</v>
      </c>
      <c r="U162" s="48">
        <v>6990.0473116571302</v>
      </c>
      <c r="V162" s="48">
        <v>6990.0473116571302</v>
      </c>
      <c r="W162" s="48" t="s">
        <v>308</v>
      </c>
      <c r="X162" s="48">
        <v>9095.1260964404846</v>
      </c>
      <c r="Y162" s="48">
        <v>10059.953872799522</v>
      </c>
      <c r="Z162" s="48">
        <v>10514.04731165713</v>
      </c>
      <c r="AB162" s="52" t="s">
        <v>471</v>
      </c>
      <c r="AC162" s="52">
        <v>0.25</v>
      </c>
      <c r="AD162" s="52">
        <v>0.35</v>
      </c>
      <c r="AE162" s="52">
        <v>0.45</v>
      </c>
      <c r="AF162" s="52">
        <v>0.69000000000000006</v>
      </c>
      <c r="AG162" s="52">
        <v>0.91</v>
      </c>
      <c r="AH162" s="52">
        <v>1.1300000000000001</v>
      </c>
      <c r="AI162" s="52">
        <v>52</v>
      </c>
      <c r="AJ162" s="52">
        <v>74</v>
      </c>
      <c r="AK162" s="52">
        <v>96</v>
      </c>
      <c r="AL162" s="53">
        <v>0.1844589160708846</v>
      </c>
      <c r="AM162" s="53">
        <v>0.5156681932077507</v>
      </c>
      <c r="AN162" s="53">
        <v>1.1883999501677482</v>
      </c>
      <c r="AO162" s="53">
        <v>0.20571468517117503</v>
      </c>
      <c r="AP162" s="53">
        <v>0.49731576681610323</v>
      </c>
      <c r="AQ162" s="53">
        <v>1.2024805398755205</v>
      </c>
      <c r="AR162" s="53">
        <v>0.19501398841113099</v>
      </c>
      <c r="AS162" s="53">
        <v>0.51351192132142287</v>
      </c>
      <c r="AT162" s="53">
        <v>1.1915039139128496</v>
      </c>
      <c r="AV162" s="54">
        <v>6.6131153437368608</v>
      </c>
      <c r="AW162" s="54">
        <v>7.0461003714162826</v>
      </c>
      <c r="AX162" s="54">
        <v>7.5339340976892357</v>
      </c>
      <c r="AY162" s="54">
        <v>0.41157330467544967</v>
      </c>
      <c r="AZ162" s="54">
        <v>1.2591223613088538</v>
      </c>
      <c r="BA162" s="54">
        <v>4.7524391649126958</v>
      </c>
      <c r="BC162" s="55">
        <v>346.32558223967794</v>
      </c>
      <c r="BD162" s="55">
        <v>2441.7297360855118</v>
      </c>
      <c r="BE162" s="55">
        <v>25764.214959858105</v>
      </c>
      <c r="BG162" s="54">
        <v>7.513519190992004</v>
      </c>
      <c r="BH162" s="54">
        <v>7.8766784729112587</v>
      </c>
      <c r="BI162" s="54">
        <v>8.2096102391984687</v>
      </c>
      <c r="BJ162" s="54">
        <v>1.1254230045598799</v>
      </c>
      <c r="BK162" s="54">
        <v>3.177047106675146</v>
      </c>
      <c r="BL162" s="54">
        <v>10.032780336868891</v>
      </c>
      <c r="BN162" s="55">
        <v>935.91785250544058</v>
      </c>
      <c r="BO162" s="55">
        <v>6388.3900705885935</v>
      </c>
      <c r="BP162" s="55">
        <v>48770.365268384325</v>
      </c>
      <c r="BR162" s="54">
        <v>7.7218788571993047</v>
      </c>
      <c r="BS162" s="54">
        <v>8.0347943470475958</v>
      </c>
      <c r="BT162" s="54">
        <v>8.3869000508980491</v>
      </c>
      <c r="BU162" s="54">
        <v>1.4305255578629521</v>
      </c>
      <c r="BV162" s="54">
        <v>3.8113742131050992</v>
      </c>
      <c r="BW162" s="54">
        <v>12.304563433452765</v>
      </c>
      <c r="BY162" s="55">
        <v>1200.6050010907352</v>
      </c>
      <c r="BZ162" s="55">
        <v>7422.1727964898464</v>
      </c>
      <c r="CA162" s="55">
        <v>63095.799094740461</v>
      </c>
      <c r="CC162">
        <v>353</v>
      </c>
      <c r="CD162">
        <v>134</v>
      </c>
      <c r="CE162">
        <v>609</v>
      </c>
    </row>
    <row r="163" spans="1:83" x14ac:dyDescent="0.2">
      <c r="A163">
        <v>354</v>
      </c>
      <c r="B163">
        <v>135</v>
      </c>
      <c r="C163" s="50" t="s">
        <v>137</v>
      </c>
      <c r="D163" s="50" t="s">
        <v>529</v>
      </c>
      <c r="E163" s="50" t="s">
        <v>530</v>
      </c>
      <c r="F163" s="50" t="s">
        <v>533</v>
      </c>
      <c r="G163" s="51">
        <v>49.9</v>
      </c>
      <c r="H163" s="51">
        <v>174</v>
      </c>
      <c r="I163" s="52">
        <v>159.5</v>
      </c>
      <c r="J163" s="52">
        <v>166</v>
      </c>
      <c r="K163" s="52">
        <v>226.6</v>
      </c>
      <c r="L163" s="52">
        <v>165</v>
      </c>
      <c r="M163" s="52">
        <v>40</v>
      </c>
      <c r="N163" s="52">
        <v>53</v>
      </c>
      <c r="O163" s="52">
        <v>65</v>
      </c>
      <c r="P163" s="52" t="s">
        <v>9</v>
      </c>
      <c r="Q163" s="52">
        <v>1.5</v>
      </c>
      <c r="R163" s="52">
        <v>0</v>
      </c>
      <c r="S163" s="52" t="s">
        <v>211</v>
      </c>
      <c r="T163" s="48">
        <v>5629.2308408559311</v>
      </c>
      <c r="U163" s="48">
        <v>6990.0473116571302</v>
      </c>
      <c r="V163" s="48">
        <v>6990.0473116571302</v>
      </c>
      <c r="W163" s="48" t="s">
        <v>308</v>
      </c>
      <c r="X163" s="48">
        <v>9930.6879048370247</v>
      </c>
      <c r="Y163" s="48">
        <v>9930.6879048370247</v>
      </c>
      <c r="Z163" s="48">
        <v>9930.6879048370247</v>
      </c>
      <c r="AB163" s="52" t="s">
        <v>471</v>
      </c>
      <c r="AC163" s="52">
        <v>0.25</v>
      </c>
      <c r="AD163" s="52">
        <v>0.35</v>
      </c>
      <c r="AE163" s="52">
        <v>0.45</v>
      </c>
      <c r="AF163" s="52">
        <v>0.69000000000000006</v>
      </c>
      <c r="AG163" s="52">
        <v>0.91</v>
      </c>
      <c r="AH163" s="52">
        <v>1.1300000000000001</v>
      </c>
      <c r="AI163" s="52">
        <v>52</v>
      </c>
      <c r="AJ163" s="52">
        <v>74</v>
      </c>
      <c r="AK163" s="52">
        <v>96</v>
      </c>
      <c r="AL163" s="53">
        <v>0.19096580870865057</v>
      </c>
      <c r="AM163" s="53">
        <v>0.51766738756703767</v>
      </c>
      <c r="AN163" s="53">
        <v>1.1849339882855368</v>
      </c>
      <c r="AO163" s="53">
        <v>0.20571468517117503</v>
      </c>
      <c r="AP163" s="53">
        <v>0.49731576681610323</v>
      </c>
      <c r="AQ163" s="53">
        <v>1.2024805398755205</v>
      </c>
      <c r="AR163" s="53">
        <v>0.20728182110954105</v>
      </c>
      <c r="AS163" s="53">
        <v>0.49408099565542851</v>
      </c>
      <c r="AT163" s="53">
        <v>1.2030302497883336</v>
      </c>
      <c r="AV163" s="54">
        <v>6.6457522880423214</v>
      </c>
      <c r="AW163" s="54">
        <v>7.0787373157217433</v>
      </c>
      <c r="AX163" s="54">
        <v>7.5665710419946963</v>
      </c>
      <c r="AY163" s="54">
        <v>0.42733225060789165</v>
      </c>
      <c r="AZ163" s="54">
        <v>1.3073335571973794</v>
      </c>
      <c r="BA163" s="54">
        <v>4.9344077984375083</v>
      </c>
      <c r="BC163" s="55">
        <v>360.63802273592665</v>
      </c>
      <c r="BD163" s="55">
        <v>2525.4315581703131</v>
      </c>
      <c r="BE163" s="55">
        <v>25839.221333939156</v>
      </c>
      <c r="BG163" s="54">
        <v>7.513519190992004</v>
      </c>
      <c r="BH163" s="54">
        <v>7.8766784729112587</v>
      </c>
      <c r="BI163" s="54">
        <v>8.2096102391984687</v>
      </c>
      <c r="BJ163" s="54">
        <v>1.1254230045598799</v>
      </c>
      <c r="BK163" s="54">
        <v>3.177047106675146</v>
      </c>
      <c r="BL163" s="54">
        <v>10.032780336868891</v>
      </c>
      <c r="BN163" s="55">
        <v>935.91785250544058</v>
      </c>
      <c r="BO163" s="55">
        <v>6388.3900705885935</v>
      </c>
      <c r="BP163" s="55">
        <v>48770.365268384325</v>
      </c>
      <c r="BR163" s="54">
        <v>7.7600494660046833</v>
      </c>
      <c r="BS163" s="54">
        <v>8.0291776910454349</v>
      </c>
      <c r="BT163" s="54">
        <v>8.3621094573326449</v>
      </c>
      <c r="BU163" s="54">
        <v>1.4947925536971123</v>
      </c>
      <c r="BV163" s="54">
        <v>3.7868078026993497</v>
      </c>
      <c r="BW163" s="54">
        <v>11.958340429576904</v>
      </c>
      <c r="BY163" s="55">
        <v>1242.5228326221327</v>
      </c>
      <c r="BZ163" s="55">
        <v>7664.3462023385837</v>
      </c>
      <c r="CA163" s="55">
        <v>57691.216555152452</v>
      </c>
      <c r="CC163">
        <v>354</v>
      </c>
      <c r="CD163">
        <v>135</v>
      </c>
      <c r="CE163">
        <v>610</v>
      </c>
    </row>
    <row r="164" spans="1:83" x14ac:dyDescent="0.2">
      <c r="A164">
        <v>354</v>
      </c>
      <c r="B164">
        <v>136</v>
      </c>
      <c r="C164" s="50" t="s">
        <v>137</v>
      </c>
      <c r="D164" s="50" t="s">
        <v>529</v>
      </c>
      <c r="E164" s="50" t="s">
        <v>531</v>
      </c>
      <c r="F164" s="50" t="s">
        <v>533</v>
      </c>
      <c r="G164" s="51">
        <v>61.9</v>
      </c>
      <c r="H164" s="51">
        <v>170</v>
      </c>
      <c r="I164" s="52">
        <v>159.5</v>
      </c>
      <c r="J164" s="52">
        <v>166</v>
      </c>
      <c r="K164" s="52">
        <v>226.6</v>
      </c>
      <c r="L164" s="52">
        <v>165</v>
      </c>
      <c r="M164" s="52">
        <v>40</v>
      </c>
      <c r="N164" s="52">
        <v>53</v>
      </c>
      <c r="O164" s="52">
        <v>65</v>
      </c>
      <c r="P164" s="52" t="s">
        <v>9</v>
      </c>
      <c r="Q164" s="52">
        <v>1.5</v>
      </c>
      <c r="R164" s="52">
        <v>0</v>
      </c>
      <c r="S164" s="52" t="s">
        <v>211</v>
      </c>
      <c r="T164" s="48">
        <v>5629.2308408559311</v>
      </c>
      <c r="U164" s="48">
        <v>6990.0473116571302</v>
      </c>
      <c r="V164" s="48">
        <v>6990.0473116571302</v>
      </c>
      <c r="W164" s="48" t="s">
        <v>308</v>
      </c>
      <c r="X164" s="48">
        <v>9930.6879048370247</v>
      </c>
      <c r="Y164" s="48">
        <v>9930.6879048370247</v>
      </c>
      <c r="Z164" s="48">
        <v>9930.6879048370247</v>
      </c>
      <c r="AB164" s="52" t="s">
        <v>471</v>
      </c>
      <c r="AC164" s="52">
        <v>0.25</v>
      </c>
      <c r="AD164" s="52">
        <v>0.35</v>
      </c>
      <c r="AE164" s="52">
        <v>0.45</v>
      </c>
      <c r="AF164" s="52">
        <v>0.69000000000000006</v>
      </c>
      <c r="AG164" s="52">
        <v>0.91</v>
      </c>
      <c r="AH164" s="52">
        <v>1.1300000000000001</v>
      </c>
      <c r="AI164" s="52">
        <v>52</v>
      </c>
      <c r="AJ164" s="52">
        <v>74</v>
      </c>
      <c r="AK164" s="52">
        <v>96</v>
      </c>
      <c r="AL164" s="53">
        <v>0.19882457360833455</v>
      </c>
      <c r="AM164" s="53">
        <v>0.50873081990012559</v>
      </c>
      <c r="AN164" s="53">
        <v>1.1966221755581681</v>
      </c>
      <c r="AO164" s="53">
        <v>0.20571468517117503</v>
      </c>
      <c r="AP164" s="53">
        <v>0.49731576681610323</v>
      </c>
      <c r="AQ164" s="53">
        <v>1.2024805398755205</v>
      </c>
      <c r="AR164" s="53">
        <v>0.20728182110954105</v>
      </c>
      <c r="AS164" s="53">
        <v>0.49408099565542851</v>
      </c>
      <c r="AT164" s="53">
        <v>1.2030302497883336</v>
      </c>
      <c r="AV164" s="54">
        <v>6.801735793703533</v>
      </c>
      <c r="AW164" s="54">
        <v>7.2347208213829548</v>
      </c>
      <c r="AX164" s="54">
        <v>7.7225545476559079</v>
      </c>
      <c r="AY164" s="54">
        <v>0.51139611323033052</v>
      </c>
      <c r="AZ164" s="54">
        <v>1.5645093458199522</v>
      </c>
      <c r="BA164" s="54">
        <v>5.9050936727211942</v>
      </c>
      <c r="BC164" s="55">
        <v>427.36640158936405</v>
      </c>
      <c r="BD164" s="55">
        <v>3075.3185862163764</v>
      </c>
      <c r="BE164" s="55">
        <v>29700.019296174451</v>
      </c>
      <c r="BG164" s="54">
        <v>7.513519190992004</v>
      </c>
      <c r="BH164" s="54">
        <v>7.8766784729112587</v>
      </c>
      <c r="BI164" s="54">
        <v>8.2096102391984687</v>
      </c>
      <c r="BJ164" s="54">
        <v>1.1254230045598799</v>
      </c>
      <c r="BK164" s="54">
        <v>3.177047106675146</v>
      </c>
      <c r="BL164" s="54">
        <v>10.032780336868891</v>
      </c>
      <c r="BN164" s="55">
        <v>935.91785250544058</v>
      </c>
      <c r="BO164" s="55">
        <v>6388.3900705885935</v>
      </c>
      <c r="BP164" s="55">
        <v>48770.365268384325</v>
      </c>
      <c r="BR164" s="54">
        <v>7.7600494660046833</v>
      </c>
      <c r="BS164" s="54">
        <v>8.0291776910454349</v>
      </c>
      <c r="BT164" s="54">
        <v>8.3621094573326449</v>
      </c>
      <c r="BU164" s="54">
        <v>1.4947925536971123</v>
      </c>
      <c r="BV164" s="54">
        <v>3.7868078026993497</v>
      </c>
      <c r="BW164" s="54">
        <v>11.958340429576904</v>
      </c>
      <c r="BY164" s="55">
        <v>1242.5228326221327</v>
      </c>
      <c r="BZ164" s="55">
        <v>7664.3462023385837</v>
      </c>
      <c r="CA164" s="55">
        <v>57691.216555152452</v>
      </c>
      <c r="CC164">
        <v>354</v>
      </c>
      <c r="CD164">
        <v>136</v>
      </c>
      <c r="CE164">
        <v>610</v>
      </c>
    </row>
    <row r="165" spans="1:83" ht="15" customHeight="1" x14ac:dyDescent="0.2">
      <c r="A165">
        <v>354</v>
      </c>
      <c r="B165">
        <v>137</v>
      </c>
      <c r="C165" s="50" t="s">
        <v>137</v>
      </c>
      <c r="D165" s="50" t="s">
        <v>529</v>
      </c>
      <c r="E165" s="50" t="s">
        <v>532</v>
      </c>
      <c r="F165" s="50" t="s">
        <v>533</v>
      </c>
      <c r="G165" s="51">
        <v>47.7</v>
      </c>
      <c r="H165" s="51">
        <v>151</v>
      </c>
      <c r="I165" s="52">
        <v>159.5</v>
      </c>
      <c r="J165" s="52">
        <v>166</v>
      </c>
      <c r="K165" s="52">
        <v>226.6</v>
      </c>
      <c r="L165" s="52">
        <v>165</v>
      </c>
      <c r="M165" s="52">
        <v>40</v>
      </c>
      <c r="N165" s="52">
        <v>53</v>
      </c>
      <c r="O165" s="52">
        <v>65</v>
      </c>
      <c r="P165" s="52" t="s">
        <v>9</v>
      </c>
      <c r="Q165" s="52">
        <v>1.5</v>
      </c>
      <c r="R165" s="52">
        <v>0</v>
      </c>
      <c r="S165" s="52" t="s">
        <v>211</v>
      </c>
      <c r="T165" s="48">
        <v>5629.2308408559311</v>
      </c>
      <c r="U165" s="48">
        <v>6990.0473116571302</v>
      </c>
      <c r="V165" s="48">
        <v>6990.0473116571302</v>
      </c>
      <c r="W165" s="48" t="s">
        <v>308</v>
      </c>
      <c r="X165" s="48">
        <v>9930.6879048370247</v>
      </c>
      <c r="Y165" s="48">
        <v>9930.6879048370247</v>
      </c>
      <c r="Z165" s="48">
        <v>9930.6879048370247</v>
      </c>
      <c r="AB165" s="52" t="s">
        <v>471</v>
      </c>
      <c r="AC165" s="52">
        <v>0.25</v>
      </c>
      <c r="AD165" s="52">
        <v>0.35</v>
      </c>
      <c r="AE165" s="52">
        <v>0.45</v>
      </c>
      <c r="AF165" s="52">
        <v>0.69000000000000006</v>
      </c>
      <c r="AG165" s="52">
        <v>0.91</v>
      </c>
      <c r="AH165" s="52">
        <v>1.1300000000000001</v>
      </c>
      <c r="AI165" s="52">
        <v>52</v>
      </c>
      <c r="AJ165" s="52">
        <v>74</v>
      </c>
      <c r="AK165" s="52">
        <v>96</v>
      </c>
      <c r="AL165" s="53">
        <v>0.1844589160708846</v>
      </c>
      <c r="AM165" s="53">
        <v>0.5156681932077507</v>
      </c>
      <c r="AN165" s="53">
        <v>1.1883999501677482</v>
      </c>
      <c r="AO165" s="53">
        <v>0.20571468517117503</v>
      </c>
      <c r="AP165" s="53">
        <v>0.49731576681610323</v>
      </c>
      <c r="AQ165" s="53">
        <v>1.2024805398755205</v>
      </c>
      <c r="AR165" s="53">
        <v>0.20728182110954105</v>
      </c>
      <c r="AS165" s="53">
        <v>0.49408099565542851</v>
      </c>
      <c r="AT165" s="53">
        <v>1.2030302497883336</v>
      </c>
      <c r="AV165" s="54">
        <v>6.6131153437368608</v>
      </c>
      <c r="AW165" s="54">
        <v>7.0461003714162826</v>
      </c>
      <c r="AX165" s="54">
        <v>7.5339340976892357</v>
      </c>
      <c r="AY165" s="54">
        <v>0.41157330467544967</v>
      </c>
      <c r="AZ165" s="54">
        <v>1.2591223613088538</v>
      </c>
      <c r="BA165" s="54">
        <v>4.7524391649126958</v>
      </c>
      <c r="BC165" s="55">
        <v>346.32558223967794</v>
      </c>
      <c r="BD165" s="55">
        <v>2441.7297360855118</v>
      </c>
      <c r="BE165" s="55">
        <v>25764.214959858105</v>
      </c>
      <c r="BG165" s="54">
        <v>7.513519190992004</v>
      </c>
      <c r="BH165" s="54">
        <v>7.8766784729112587</v>
      </c>
      <c r="BI165" s="54">
        <v>8.2096102391984687</v>
      </c>
      <c r="BJ165" s="54">
        <v>1.1254230045598799</v>
      </c>
      <c r="BK165" s="54">
        <v>3.177047106675146</v>
      </c>
      <c r="BL165" s="54">
        <v>10.032780336868891</v>
      </c>
      <c r="BN165" s="55">
        <v>935.91785250544058</v>
      </c>
      <c r="BO165" s="55">
        <v>6388.3900705885935</v>
      </c>
      <c r="BP165" s="55">
        <v>48770.365268384325</v>
      </c>
      <c r="BR165" s="54">
        <v>7.7600494660046833</v>
      </c>
      <c r="BS165" s="54">
        <v>8.0291776910454349</v>
      </c>
      <c r="BT165" s="54">
        <v>8.3621094573326449</v>
      </c>
      <c r="BU165" s="54">
        <v>1.4947925536971123</v>
      </c>
      <c r="BV165" s="54">
        <v>3.7868078026993497</v>
      </c>
      <c r="BW165" s="54">
        <v>11.958340429576904</v>
      </c>
      <c r="BY165" s="55">
        <v>1242.5228326221327</v>
      </c>
      <c r="BZ165" s="55">
        <v>7664.3462023385837</v>
      </c>
      <c r="CA165" s="55">
        <v>57691.216555152452</v>
      </c>
      <c r="CC165">
        <v>354</v>
      </c>
      <c r="CD165">
        <v>137</v>
      </c>
      <c r="CE165">
        <v>610</v>
      </c>
    </row>
    <row r="166" spans="1:83" x14ac:dyDescent="0.2">
      <c r="A166">
        <v>355</v>
      </c>
      <c r="B166" t="s">
        <v>416</v>
      </c>
      <c r="C166" s="50" t="s">
        <v>137</v>
      </c>
      <c r="D166" s="50" t="s">
        <v>449</v>
      </c>
      <c r="E166" s="50" t="s">
        <v>42</v>
      </c>
      <c r="F166" s="50" t="s">
        <v>448</v>
      </c>
      <c r="G166" s="51" t="s">
        <v>42</v>
      </c>
      <c r="H166" s="51" t="s">
        <v>42</v>
      </c>
      <c r="I166" s="52">
        <v>109.3</v>
      </c>
      <c r="J166" s="52">
        <v>181</v>
      </c>
      <c r="K166" s="52">
        <v>268.8</v>
      </c>
      <c r="L166" s="52">
        <v>170</v>
      </c>
      <c r="M166" s="52">
        <v>40</v>
      </c>
      <c r="N166" s="52">
        <v>53</v>
      </c>
      <c r="O166" s="52">
        <v>65</v>
      </c>
      <c r="P166" s="52" t="s">
        <v>9</v>
      </c>
      <c r="Q166" s="52">
        <v>0.5</v>
      </c>
      <c r="R166" s="52">
        <v>0</v>
      </c>
      <c r="S166" s="52" t="s">
        <v>308</v>
      </c>
      <c r="T166" s="48">
        <v>2998.3444003467671</v>
      </c>
      <c r="U166" s="48">
        <v>4039</v>
      </c>
      <c r="V166" s="48">
        <v>4039</v>
      </c>
      <c r="W166" s="48" t="s">
        <v>308</v>
      </c>
      <c r="X166" s="48">
        <v>9988.3917120038968</v>
      </c>
      <c r="Y166" s="48">
        <v>11029.04731165713</v>
      </c>
      <c r="Z166" s="48">
        <v>11029.04731165713</v>
      </c>
      <c r="AB166" s="52" t="s">
        <v>471</v>
      </c>
      <c r="AC166" s="52">
        <v>0.25</v>
      </c>
      <c r="AD166" s="52">
        <v>0.35</v>
      </c>
      <c r="AE166" s="52">
        <v>0.45</v>
      </c>
      <c r="AF166" s="52">
        <v>0.69000000000000006</v>
      </c>
      <c r="AG166" s="52">
        <v>0.91</v>
      </c>
      <c r="AH166" s="52">
        <v>1.1300000000000001</v>
      </c>
      <c r="AI166" s="52">
        <v>52</v>
      </c>
      <c r="AJ166" s="52">
        <v>74</v>
      </c>
      <c r="AK166" s="52">
        <v>96</v>
      </c>
      <c r="AL166" s="53" t="s">
        <v>42</v>
      </c>
      <c r="AM166" s="53" t="s">
        <v>42</v>
      </c>
      <c r="AN166" s="53" t="s">
        <v>42</v>
      </c>
      <c r="AO166" s="53">
        <v>0.17499987051078489</v>
      </c>
      <c r="AP166" s="53">
        <v>0.50610744673496466</v>
      </c>
      <c r="AQ166" s="53">
        <v>1.1986349143863058</v>
      </c>
      <c r="AR166" s="53">
        <v>0.19882457360833455</v>
      </c>
      <c r="AS166" s="53">
        <v>0.50873081990012559</v>
      </c>
      <c r="AT166" s="53">
        <v>1.1966221755581681</v>
      </c>
      <c r="AV166" s="54" t="s">
        <v>42</v>
      </c>
      <c r="AW166" s="54" t="s">
        <v>42</v>
      </c>
      <c r="AX166" s="54" t="s">
        <v>42</v>
      </c>
      <c r="AY166" s="54" t="s">
        <v>42</v>
      </c>
      <c r="AZ166" s="54" t="s">
        <v>42</v>
      </c>
      <c r="BA166" s="54" t="s">
        <v>42</v>
      </c>
      <c r="BC166" s="55" t="s">
        <v>42</v>
      </c>
      <c r="BD166" s="55" t="s">
        <v>42</v>
      </c>
      <c r="BE166" s="55" t="s">
        <v>42</v>
      </c>
      <c r="BG166" s="54">
        <v>7.2399516485861755</v>
      </c>
      <c r="BH166" s="54">
        <v>7.6384722108331191</v>
      </c>
      <c r="BI166" s="54">
        <v>7.9714039771203291</v>
      </c>
      <c r="BJ166" s="54">
        <v>0.82135710265269146</v>
      </c>
      <c r="BK166" s="54">
        <v>2.4150188405062174</v>
      </c>
      <c r="BL166" s="54">
        <v>7.6263752858091127</v>
      </c>
      <c r="BN166" s="55">
        <v>685.24376588280973</v>
      </c>
      <c r="BO166" s="55">
        <v>4771.7512478548842</v>
      </c>
      <c r="BP166" s="55">
        <v>43579.31959349144</v>
      </c>
      <c r="BR166" s="54">
        <v>7.7625656982426179</v>
      </c>
      <c r="BS166" s="54">
        <v>8.0747363573962048</v>
      </c>
      <c r="BT166" s="54">
        <v>8.4076681236834148</v>
      </c>
      <c r="BU166" s="54">
        <v>1.4991291255928827</v>
      </c>
      <c r="BV166" s="54">
        <v>3.9907323034792648</v>
      </c>
      <c r="BW166" s="54">
        <v>12.60231253730295</v>
      </c>
      <c r="BY166" s="55">
        <v>1252.8007220772165</v>
      </c>
      <c r="BZ166" s="55">
        <v>7844.4870005373932</v>
      </c>
      <c r="CA166" s="55">
        <v>63384.079284526997</v>
      </c>
      <c r="CC166">
        <v>355</v>
      </c>
      <c r="CD166" t="s">
        <v>416</v>
      </c>
      <c r="CE166">
        <v>608</v>
      </c>
    </row>
    <row r="167" spans="1:83" x14ac:dyDescent="0.2">
      <c r="A167">
        <v>356</v>
      </c>
      <c r="B167">
        <v>138</v>
      </c>
      <c r="C167" s="50" t="s">
        <v>137</v>
      </c>
      <c r="D167" s="50" t="s">
        <v>450</v>
      </c>
      <c r="E167" s="50" t="s">
        <v>465</v>
      </c>
      <c r="F167" s="50" t="s">
        <v>447</v>
      </c>
      <c r="G167" s="51">
        <v>22.1</v>
      </c>
      <c r="H167" s="51">
        <v>180</v>
      </c>
      <c r="I167" s="52">
        <v>88.4</v>
      </c>
      <c r="J167" s="52">
        <v>190</v>
      </c>
      <c r="K167" s="52">
        <v>247.9</v>
      </c>
      <c r="L167" s="52">
        <v>172</v>
      </c>
      <c r="M167" s="52">
        <v>40</v>
      </c>
      <c r="N167" s="52">
        <v>53</v>
      </c>
      <c r="O167" s="52">
        <v>65</v>
      </c>
      <c r="P167" s="52" t="s">
        <v>9</v>
      </c>
      <c r="Q167" s="52">
        <v>0.5</v>
      </c>
      <c r="R167" s="52">
        <v>0</v>
      </c>
      <c r="S167" s="52" t="s">
        <v>308</v>
      </c>
      <c r="T167" s="48">
        <v>2105.0787847833544</v>
      </c>
      <c r="U167" s="48">
        <v>3069.9065611423921</v>
      </c>
      <c r="V167" s="48">
        <v>3524</v>
      </c>
      <c r="W167" s="48" t="s">
        <v>308</v>
      </c>
      <c r="X167" s="48">
        <v>9095.1260964404846</v>
      </c>
      <c r="Y167" s="48">
        <v>10059.953872799522</v>
      </c>
      <c r="Z167" s="48">
        <v>10514.04731165713</v>
      </c>
      <c r="AB167" s="52" t="s">
        <v>471</v>
      </c>
      <c r="AC167" s="52">
        <v>0.25</v>
      </c>
      <c r="AD167" s="52">
        <v>0.35</v>
      </c>
      <c r="AE167" s="52">
        <v>0.45</v>
      </c>
      <c r="AF167" s="52">
        <v>0.69000000000000006</v>
      </c>
      <c r="AG167" s="52">
        <v>0.91</v>
      </c>
      <c r="AH167" s="52">
        <v>1.1300000000000001</v>
      </c>
      <c r="AI167" s="52">
        <v>52</v>
      </c>
      <c r="AJ167" s="52">
        <v>74</v>
      </c>
      <c r="AK167" s="52">
        <v>96</v>
      </c>
      <c r="AL167" s="53">
        <v>0.17744643436575042</v>
      </c>
      <c r="AM167" s="53">
        <v>0.50873081990012559</v>
      </c>
      <c r="AN167" s="53">
        <v>1.1966221755581681</v>
      </c>
      <c r="AO167" s="53">
        <v>0.15067667500719123</v>
      </c>
      <c r="AP167" s="53">
        <v>0.47567091669953171</v>
      </c>
      <c r="AQ167" s="53">
        <v>1.2002825374080843</v>
      </c>
      <c r="AR167" s="53">
        <v>0.19501398841113099</v>
      </c>
      <c r="AS167" s="53">
        <v>0.51351192132142287</v>
      </c>
      <c r="AT167" s="53">
        <v>1.1915039139128496</v>
      </c>
      <c r="AV167" s="54">
        <v>6.0562385014785223</v>
      </c>
      <c r="AW167" s="54">
        <v>6.4892235291579441</v>
      </c>
      <c r="AX167" s="54">
        <v>6.9770572554308972</v>
      </c>
      <c r="AY167" s="54">
        <v>0.21677479131927394</v>
      </c>
      <c r="AZ167" s="54">
        <v>0.66317709146221848</v>
      </c>
      <c r="BA167" s="54">
        <v>2.5030996824341556</v>
      </c>
      <c r="BC167" s="55">
        <v>181.15558590426312</v>
      </c>
      <c r="BD167" s="55">
        <v>1303.5913404900728</v>
      </c>
      <c r="BE167" s="55">
        <v>14106.226993971584</v>
      </c>
      <c r="BG167" s="54">
        <v>7.0863384870251238</v>
      </c>
      <c r="BH167" s="54">
        <v>7.5193235147045456</v>
      </c>
      <c r="BI167" s="54">
        <v>7.912166023690351</v>
      </c>
      <c r="BJ167" s="54">
        <v>0.68821706356080314</v>
      </c>
      <c r="BK167" s="54">
        <v>2.1054560252566676</v>
      </c>
      <c r="BL167" s="54">
        <v>7.1235945982347992</v>
      </c>
      <c r="BN167" s="55">
        <v>573.37921873541018</v>
      </c>
      <c r="BO167" s="55">
        <v>4426.2870638917502</v>
      </c>
      <c r="BP167" s="55">
        <v>47277.354626353532</v>
      </c>
      <c r="BR167" s="54">
        <v>7.7218788571993047</v>
      </c>
      <c r="BS167" s="54">
        <v>8.0347943470475958</v>
      </c>
      <c r="BT167" s="54">
        <v>8.3869000508980491</v>
      </c>
      <c r="BU167" s="54">
        <v>1.4305255578629521</v>
      </c>
      <c r="BV167" s="54">
        <v>3.8113742131050992</v>
      </c>
      <c r="BW167" s="54">
        <v>12.304563433452765</v>
      </c>
      <c r="BY167" s="55">
        <v>1200.6050010907352</v>
      </c>
      <c r="BZ167" s="55">
        <v>7422.1727964898464</v>
      </c>
      <c r="CA167" s="55">
        <v>63095.799094740461</v>
      </c>
      <c r="CC167">
        <v>356</v>
      </c>
      <c r="CD167">
        <v>138</v>
      </c>
      <c r="CE167">
        <v>609</v>
      </c>
    </row>
    <row r="168" spans="1:83" x14ac:dyDescent="0.2">
      <c r="A168">
        <v>356</v>
      </c>
      <c r="B168">
        <v>139</v>
      </c>
      <c r="C168" s="50" t="s">
        <v>137</v>
      </c>
      <c r="D168" s="50" t="s">
        <v>450</v>
      </c>
      <c r="E168" s="50" t="s">
        <v>466</v>
      </c>
      <c r="F168" s="50" t="s">
        <v>447</v>
      </c>
      <c r="G168" s="51">
        <v>23.1</v>
      </c>
      <c r="H168" s="51">
        <v>215</v>
      </c>
      <c r="I168" s="52">
        <v>88.4</v>
      </c>
      <c r="J168" s="52">
        <v>190</v>
      </c>
      <c r="K168" s="52">
        <v>247.9</v>
      </c>
      <c r="L168" s="52">
        <v>172</v>
      </c>
      <c r="M168" s="52">
        <v>40</v>
      </c>
      <c r="N168" s="52">
        <v>53</v>
      </c>
      <c r="O168" s="52">
        <v>65</v>
      </c>
      <c r="P168" s="52" t="s">
        <v>9</v>
      </c>
      <c r="Q168" s="52">
        <v>0.5</v>
      </c>
      <c r="R168" s="52">
        <v>0</v>
      </c>
      <c r="S168" s="52" t="s">
        <v>308</v>
      </c>
      <c r="T168" s="48">
        <v>2105.0787847833544</v>
      </c>
      <c r="U168" s="48">
        <v>3069.9065611423921</v>
      </c>
      <c r="V168" s="48">
        <v>3524</v>
      </c>
      <c r="W168" s="48" t="s">
        <v>308</v>
      </c>
      <c r="X168" s="48">
        <v>9095.1260964404846</v>
      </c>
      <c r="Y168" s="48">
        <v>10059.953872799522</v>
      </c>
      <c r="Z168" s="48">
        <v>10514.04731165713</v>
      </c>
      <c r="AB168" s="52" t="s">
        <v>471</v>
      </c>
      <c r="AC168" s="52">
        <v>0.25</v>
      </c>
      <c r="AD168" s="52">
        <v>0.35</v>
      </c>
      <c r="AE168" s="52">
        <v>0.45</v>
      </c>
      <c r="AF168" s="52">
        <v>0.69000000000000006</v>
      </c>
      <c r="AG168" s="52">
        <v>0.91</v>
      </c>
      <c r="AH168" s="52">
        <v>1.1300000000000001</v>
      </c>
      <c r="AI168" s="52">
        <v>52</v>
      </c>
      <c r="AJ168" s="52">
        <v>74</v>
      </c>
      <c r="AK168" s="52">
        <v>96</v>
      </c>
      <c r="AL168" s="53">
        <v>6.583706665807508E-2</v>
      </c>
      <c r="AM168" s="53">
        <v>0.33305673145140585</v>
      </c>
      <c r="AN168" s="53">
        <v>1.0523542433981683</v>
      </c>
      <c r="AO168" s="53">
        <v>0.15067667500719123</v>
      </c>
      <c r="AP168" s="53">
        <v>0.47567091669953171</v>
      </c>
      <c r="AQ168" s="53">
        <v>1.2002825374080843</v>
      </c>
      <c r="AR168" s="53">
        <v>0.19501398841113099</v>
      </c>
      <c r="AS168" s="53">
        <v>0.51351192132142287</v>
      </c>
      <c r="AT168" s="53">
        <v>1.1915039139128496</v>
      </c>
      <c r="AV168" s="54">
        <v>6.0882713451569117</v>
      </c>
      <c r="AW168" s="54">
        <v>6.5212563728363335</v>
      </c>
      <c r="AX168" s="54">
        <v>7.0090900991092866</v>
      </c>
      <c r="AY168" s="54">
        <v>0.22491851043811398</v>
      </c>
      <c r="AZ168" s="54">
        <v>0.68809109518953937</v>
      </c>
      <c r="BA168" s="54">
        <v>2.5971352509435008</v>
      </c>
      <c r="BC168" s="55">
        <v>213.72889580587162</v>
      </c>
      <c r="BD168" s="55">
        <v>2065.9876537878481</v>
      </c>
      <c r="BE168" s="55">
        <v>39447.91866915529</v>
      </c>
      <c r="BG168" s="54">
        <v>7.0863384870251238</v>
      </c>
      <c r="BH168" s="54">
        <v>7.5193235147045456</v>
      </c>
      <c r="BI168" s="54">
        <v>7.912166023690351</v>
      </c>
      <c r="BJ168" s="54">
        <v>0.68821706356080314</v>
      </c>
      <c r="BK168" s="54">
        <v>2.1054560252566676</v>
      </c>
      <c r="BL168" s="54">
        <v>7.1235945982347992</v>
      </c>
      <c r="BN168" s="55">
        <v>573.37921873541018</v>
      </c>
      <c r="BO168" s="55">
        <v>4426.2870638917502</v>
      </c>
      <c r="BP168" s="55">
        <v>47277.354626353532</v>
      </c>
      <c r="BR168" s="54">
        <v>7.7218788571993047</v>
      </c>
      <c r="BS168" s="54">
        <v>8.0347943470475958</v>
      </c>
      <c r="BT168" s="54">
        <v>8.3869000508980491</v>
      </c>
      <c r="BU168" s="54">
        <v>1.4305255578629521</v>
      </c>
      <c r="BV168" s="54">
        <v>3.8113742131050992</v>
      </c>
      <c r="BW168" s="54">
        <v>12.304563433452765</v>
      </c>
      <c r="BY168" s="55">
        <v>1200.6050010907352</v>
      </c>
      <c r="BZ168" s="55">
        <v>7422.1727964898464</v>
      </c>
      <c r="CA168" s="55">
        <v>63095.799094740461</v>
      </c>
      <c r="CC168">
        <v>356</v>
      </c>
      <c r="CD168">
        <v>139</v>
      </c>
      <c r="CE168">
        <v>609</v>
      </c>
    </row>
    <row r="169" spans="1:83" x14ac:dyDescent="0.2">
      <c r="A169">
        <v>356</v>
      </c>
      <c r="B169">
        <v>140</v>
      </c>
      <c r="C169" s="50" t="s">
        <v>137</v>
      </c>
      <c r="D169" s="50" t="s">
        <v>450</v>
      </c>
      <c r="E169" s="50" t="s">
        <v>467</v>
      </c>
      <c r="F169" s="50" t="s">
        <v>447</v>
      </c>
      <c r="G169" s="51">
        <v>43.2</v>
      </c>
      <c r="H169" s="51">
        <v>182</v>
      </c>
      <c r="I169" s="52">
        <v>88.4</v>
      </c>
      <c r="J169" s="52">
        <v>190</v>
      </c>
      <c r="K169" s="52">
        <v>247.9</v>
      </c>
      <c r="L169" s="52">
        <v>172</v>
      </c>
      <c r="M169" s="52">
        <v>40</v>
      </c>
      <c r="N169" s="52">
        <v>53</v>
      </c>
      <c r="O169" s="52">
        <v>65</v>
      </c>
      <c r="P169" s="52" t="s">
        <v>9</v>
      </c>
      <c r="Q169" s="52">
        <v>0.5</v>
      </c>
      <c r="R169" s="52">
        <v>0</v>
      </c>
      <c r="S169" s="52" t="s">
        <v>308</v>
      </c>
      <c r="T169" s="48">
        <v>2105.0787847833544</v>
      </c>
      <c r="U169" s="48">
        <v>3069.9065611423921</v>
      </c>
      <c r="V169" s="48">
        <v>3524</v>
      </c>
      <c r="W169" s="48" t="s">
        <v>308</v>
      </c>
      <c r="X169" s="48">
        <v>9095.1260964404846</v>
      </c>
      <c r="Y169" s="48">
        <v>10059.953872799522</v>
      </c>
      <c r="Z169" s="48">
        <v>10514.04731165713</v>
      </c>
      <c r="AB169" s="52" t="s">
        <v>471</v>
      </c>
      <c r="AC169" s="52">
        <v>0.25</v>
      </c>
      <c r="AD169" s="52">
        <v>0.35</v>
      </c>
      <c r="AE169" s="52">
        <v>0.45</v>
      </c>
      <c r="AF169" s="52">
        <v>0.69000000000000006</v>
      </c>
      <c r="AG169" s="52">
        <v>0.91</v>
      </c>
      <c r="AH169" s="52">
        <v>1.1300000000000001</v>
      </c>
      <c r="AI169" s="52">
        <v>52</v>
      </c>
      <c r="AJ169" s="52">
        <v>74</v>
      </c>
      <c r="AK169" s="52">
        <v>96</v>
      </c>
      <c r="AL169" s="53">
        <v>0.17250000000000001</v>
      </c>
      <c r="AM169" s="53">
        <v>0.50332990833875546</v>
      </c>
      <c r="AN169" s="53">
        <v>1.2002825374080843</v>
      </c>
      <c r="AO169" s="53">
        <v>0.15067667500719123</v>
      </c>
      <c r="AP169" s="53">
        <v>0.47567091669953171</v>
      </c>
      <c r="AQ169" s="53">
        <v>1.2002825374080843</v>
      </c>
      <c r="AR169" s="53">
        <v>0.19501398841113099</v>
      </c>
      <c r="AS169" s="53">
        <v>0.51351192132142287</v>
      </c>
      <c r="AT169" s="53">
        <v>1.1915039139128496</v>
      </c>
      <c r="AV169" s="54">
        <v>6.5413909566948574</v>
      </c>
      <c r="AW169" s="54">
        <v>6.9743759843742792</v>
      </c>
      <c r="AX169" s="54">
        <v>7.4622097106472323</v>
      </c>
      <c r="AY169" s="54">
        <v>0.37895269887238714</v>
      </c>
      <c r="AZ169" s="54">
        <v>1.1593264470950633</v>
      </c>
      <c r="BA169" s="54">
        <v>4.3757688540821675</v>
      </c>
      <c r="BC169" s="55">
        <v>315.71958023375538</v>
      </c>
      <c r="BD169" s="55">
        <v>2303.3132501929595</v>
      </c>
      <c r="BE169" s="55">
        <v>25366.77596569372</v>
      </c>
      <c r="BG169" s="54">
        <v>7.0863384870251238</v>
      </c>
      <c r="BH169" s="54">
        <v>7.5193235147045456</v>
      </c>
      <c r="BI169" s="54">
        <v>7.912166023690351</v>
      </c>
      <c r="BJ169" s="54">
        <v>0.68821706356080314</v>
      </c>
      <c r="BK169" s="54">
        <v>2.1054560252566676</v>
      </c>
      <c r="BL169" s="54">
        <v>7.1235945982347992</v>
      </c>
      <c r="BN169" s="55">
        <v>573.37921873541018</v>
      </c>
      <c r="BO169" s="55">
        <v>4426.2870638917502</v>
      </c>
      <c r="BP169" s="55">
        <v>47277.354626353532</v>
      </c>
      <c r="BR169" s="54">
        <v>7.7218788571993047</v>
      </c>
      <c r="BS169" s="54">
        <v>8.0347943470475958</v>
      </c>
      <c r="BT169" s="54">
        <v>8.3869000508980491</v>
      </c>
      <c r="BU169" s="54">
        <v>1.4305255578629521</v>
      </c>
      <c r="BV169" s="54">
        <v>3.8113742131050992</v>
      </c>
      <c r="BW169" s="54">
        <v>12.304563433452765</v>
      </c>
      <c r="BY169" s="55">
        <v>1200.6050010907352</v>
      </c>
      <c r="BZ169" s="55">
        <v>7422.1727964898464</v>
      </c>
      <c r="CA169" s="55">
        <v>63095.799094740461</v>
      </c>
      <c r="CC169">
        <v>356</v>
      </c>
      <c r="CD169">
        <v>140</v>
      </c>
      <c r="CE169">
        <v>609</v>
      </c>
    </row>
    <row r="170" spans="1:83" x14ac:dyDescent="0.2">
      <c r="A170">
        <v>357</v>
      </c>
      <c r="B170">
        <v>141</v>
      </c>
      <c r="C170" s="50" t="s">
        <v>137</v>
      </c>
      <c r="D170" s="50" t="s">
        <v>534</v>
      </c>
      <c r="E170" s="50" t="s">
        <v>536</v>
      </c>
      <c r="F170" s="50" t="s">
        <v>533</v>
      </c>
      <c r="G170" s="51">
        <v>18.600000000000001</v>
      </c>
      <c r="H170" s="51">
        <v>145</v>
      </c>
      <c r="I170" s="52">
        <v>67.099999999999994</v>
      </c>
      <c r="J170" s="52">
        <v>173</v>
      </c>
      <c r="K170" s="52">
        <v>226.6</v>
      </c>
      <c r="L170" s="52">
        <v>165</v>
      </c>
      <c r="M170" s="52">
        <v>40</v>
      </c>
      <c r="N170" s="52">
        <v>53</v>
      </c>
      <c r="O170" s="52">
        <v>65</v>
      </c>
      <c r="P170" s="52" t="s">
        <v>9</v>
      </c>
      <c r="Q170" s="52">
        <v>0.5</v>
      </c>
      <c r="R170" s="52">
        <v>0</v>
      </c>
      <c r="S170" s="52" t="s">
        <v>211</v>
      </c>
      <c r="T170" s="48">
        <v>1329.593182700226</v>
      </c>
      <c r="U170" s="48">
        <v>1938.9900581044963</v>
      </c>
      <c r="V170" s="48">
        <v>2769.9857972921372</v>
      </c>
      <c r="W170" s="48" t="s">
        <v>211</v>
      </c>
      <c r="X170" s="48">
        <v>9930.6879048370247</v>
      </c>
      <c r="Y170" s="48">
        <v>9930.6879048370247</v>
      </c>
      <c r="Z170" s="48">
        <v>9930.6879048370247</v>
      </c>
      <c r="AB170" s="52" t="s">
        <v>471</v>
      </c>
      <c r="AC170" s="52">
        <v>0.25</v>
      </c>
      <c r="AD170" s="52">
        <v>0.35</v>
      </c>
      <c r="AE170" s="52">
        <v>0.45</v>
      </c>
      <c r="AF170" s="52">
        <v>0.69000000000000006</v>
      </c>
      <c r="AG170" s="52">
        <v>0.91</v>
      </c>
      <c r="AH170" s="52">
        <v>1.1300000000000001</v>
      </c>
      <c r="AI170" s="52">
        <v>52</v>
      </c>
      <c r="AJ170" s="52">
        <v>74</v>
      </c>
      <c r="AK170" s="52">
        <v>96</v>
      </c>
      <c r="AL170" s="53">
        <v>0.16994758431817009</v>
      </c>
      <c r="AM170" s="53">
        <v>0.50039905077659985</v>
      </c>
      <c r="AN170" s="53">
        <v>1.2015645427415704</v>
      </c>
      <c r="AO170" s="53">
        <v>0.19301929633363235</v>
      </c>
      <c r="AP170" s="53">
        <v>0.5156681932077507</v>
      </c>
      <c r="AQ170" s="53">
        <v>1.1883999501677482</v>
      </c>
      <c r="AR170" s="53">
        <v>0.20728182110954105</v>
      </c>
      <c r="AS170" s="53">
        <v>0.49408099565542851</v>
      </c>
      <c r="AT170" s="53">
        <v>1.2030302497883336</v>
      </c>
      <c r="AV170" s="54">
        <v>5.9314396190331964</v>
      </c>
      <c r="AW170" s="54">
        <v>6.3644246467126182</v>
      </c>
      <c r="AX170" s="54">
        <v>6.8522583729855713</v>
      </c>
      <c r="AY170" s="54">
        <v>0.18776270599578695</v>
      </c>
      <c r="AZ170" s="54">
        <v>0.57442069019900055</v>
      </c>
      <c r="BA170" s="54">
        <v>2.1680969770088079</v>
      </c>
      <c r="BC170" s="55">
        <v>156.2651853618907</v>
      </c>
      <c r="BD170" s="55">
        <v>1147.9252194973631</v>
      </c>
      <c r="BE170" s="55">
        <v>12757.445101130535</v>
      </c>
      <c r="BG170" s="54">
        <v>6.8867889122849917</v>
      </c>
      <c r="BH170" s="54">
        <v>7.3197739399644135</v>
      </c>
      <c r="BI170" s="54">
        <v>7.8076076662373666</v>
      </c>
      <c r="BJ170" s="54">
        <v>0.54695380619166689</v>
      </c>
      <c r="BK170" s="54">
        <v>1.6732906633047635</v>
      </c>
      <c r="BL170" s="54">
        <v>6.3156785447809867</v>
      </c>
      <c r="BN170" s="55">
        <v>460.24388179624361</v>
      </c>
      <c r="BO170" s="55">
        <v>3244.8979505521561</v>
      </c>
      <c r="BP170" s="55">
        <v>32720.451606374038</v>
      </c>
      <c r="BR170" s="54">
        <v>7.7600494660046833</v>
      </c>
      <c r="BS170" s="54">
        <v>8.0291776910454349</v>
      </c>
      <c r="BT170" s="54">
        <v>8.3621094573326449</v>
      </c>
      <c r="BU170" s="54">
        <v>1.4947925536971123</v>
      </c>
      <c r="BV170" s="54">
        <v>3.7868078026993497</v>
      </c>
      <c r="BW170" s="54">
        <v>11.958340429576904</v>
      </c>
      <c r="BY170" s="55">
        <v>1242.5228326221327</v>
      </c>
      <c r="BZ170" s="55">
        <v>7664.3462023385837</v>
      </c>
      <c r="CA170" s="55">
        <v>57691.216555152452</v>
      </c>
      <c r="CC170">
        <v>357</v>
      </c>
      <c r="CD170">
        <v>141</v>
      </c>
      <c r="CE170">
        <v>610</v>
      </c>
    </row>
    <row r="171" spans="1:83" x14ac:dyDescent="0.2">
      <c r="A171">
        <v>357</v>
      </c>
      <c r="B171">
        <v>142</v>
      </c>
      <c r="C171" s="50" t="s">
        <v>137</v>
      </c>
      <c r="D171" s="50" t="s">
        <v>534</v>
      </c>
      <c r="E171" s="50" t="s">
        <v>535</v>
      </c>
      <c r="F171" s="50" t="s">
        <v>533</v>
      </c>
      <c r="G171" s="51">
        <v>48.5</v>
      </c>
      <c r="H171" s="51">
        <v>183</v>
      </c>
      <c r="I171" s="52">
        <v>67.099999999999994</v>
      </c>
      <c r="J171" s="52">
        <v>173</v>
      </c>
      <c r="K171" s="52">
        <v>226.6</v>
      </c>
      <c r="L171" s="52">
        <v>165</v>
      </c>
      <c r="M171" s="52">
        <v>40</v>
      </c>
      <c r="N171" s="52">
        <v>53</v>
      </c>
      <c r="O171" s="52">
        <v>65</v>
      </c>
      <c r="P171" s="52" t="s">
        <v>9</v>
      </c>
      <c r="Q171" s="52">
        <v>0.5</v>
      </c>
      <c r="R171" s="52">
        <v>0</v>
      </c>
      <c r="S171" s="52" t="s">
        <v>211</v>
      </c>
      <c r="T171" s="48">
        <v>1329.593182700226</v>
      </c>
      <c r="U171" s="48">
        <v>1938.9900581044963</v>
      </c>
      <c r="V171" s="48">
        <v>2769.9857972921372</v>
      </c>
      <c r="W171" s="48" t="s">
        <v>211</v>
      </c>
      <c r="X171" s="48">
        <v>9930.6879048370247</v>
      </c>
      <c r="Y171" s="48">
        <v>9930.6879048370247</v>
      </c>
      <c r="Z171" s="48">
        <v>9930.6879048370247</v>
      </c>
      <c r="AB171" s="52" t="s">
        <v>471</v>
      </c>
      <c r="AC171" s="52">
        <v>0.25</v>
      </c>
      <c r="AD171" s="52">
        <v>0.35</v>
      </c>
      <c r="AE171" s="52">
        <v>0.45</v>
      </c>
      <c r="AF171" s="52">
        <v>0.69000000000000006</v>
      </c>
      <c r="AG171" s="52">
        <v>0.91</v>
      </c>
      <c r="AH171" s="52">
        <v>1.1300000000000001</v>
      </c>
      <c r="AI171" s="52">
        <v>52</v>
      </c>
      <c r="AJ171" s="52">
        <v>74</v>
      </c>
      <c r="AK171" s="52">
        <v>96</v>
      </c>
      <c r="AL171" s="53">
        <v>0.16994758431817014</v>
      </c>
      <c r="AM171" s="53">
        <v>0.50039905077659985</v>
      </c>
      <c r="AN171" s="53">
        <v>1.2015645427415704</v>
      </c>
      <c r="AO171" s="53">
        <v>0.19301929633363235</v>
      </c>
      <c r="AP171" s="53">
        <v>0.5156681932077507</v>
      </c>
      <c r="AQ171" s="53">
        <v>1.1883999501677482</v>
      </c>
      <c r="AR171" s="53">
        <v>0.20728182110954105</v>
      </c>
      <c r="AS171" s="53">
        <v>0.49408099565542851</v>
      </c>
      <c r="AT171" s="53">
        <v>1.2030302497883336</v>
      </c>
      <c r="AV171" s="54">
        <v>6.6251542763404432</v>
      </c>
      <c r="AW171" s="54">
        <v>7.058139304019865</v>
      </c>
      <c r="AX171" s="54">
        <v>7.5459730302928181</v>
      </c>
      <c r="AY171" s="54">
        <v>0.41731756460504821</v>
      </c>
      <c r="AZ171" s="54">
        <v>1.2766957219820669</v>
      </c>
      <c r="BA171" s="54">
        <v>4.8187681652456735</v>
      </c>
      <c r="BC171" s="55">
        <v>347.31181701889142</v>
      </c>
      <c r="BD171" s="55">
        <v>2551.3552034135255</v>
      </c>
      <c r="BE171" s="55">
        <v>28354.43754366133</v>
      </c>
      <c r="BG171" s="54">
        <v>6.8867889122849917</v>
      </c>
      <c r="BH171" s="54">
        <v>7.3197739399644135</v>
      </c>
      <c r="BI171" s="54">
        <v>7.8076076662373666</v>
      </c>
      <c r="BJ171" s="54">
        <v>0.54695380619166689</v>
      </c>
      <c r="BK171" s="54">
        <v>1.6732906633047635</v>
      </c>
      <c r="BL171" s="54">
        <v>6.3156785447809867</v>
      </c>
      <c r="BN171" s="55">
        <v>460.24388179624361</v>
      </c>
      <c r="BO171" s="55">
        <v>3244.8979505521561</v>
      </c>
      <c r="BP171" s="55">
        <v>32720.451606374038</v>
      </c>
      <c r="BR171" s="54">
        <v>7.7600494660046833</v>
      </c>
      <c r="BS171" s="54">
        <v>8.0291776910454349</v>
      </c>
      <c r="BT171" s="54">
        <v>8.3621094573326449</v>
      </c>
      <c r="BU171" s="54">
        <v>1.4947925536971123</v>
      </c>
      <c r="BV171" s="54">
        <v>3.7868078026993497</v>
      </c>
      <c r="BW171" s="54">
        <v>11.958340429576904</v>
      </c>
      <c r="BY171" s="55">
        <v>1242.5228326221327</v>
      </c>
      <c r="BZ171" s="55">
        <v>7664.3462023385837</v>
      </c>
      <c r="CA171" s="55">
        <v>57691.216555152452</v>
      </c>
      <c r="CC171">
        <v>357</v>
      </c>
      <c r="CD171">
        <v>142</v>
      </c>
      <c r="CE171">
        <v>610</v>
      </c>
    </row>
    <row r="172" spans="1:83" x14ac:dyDescent="0.2">
      <c r="A172">
        <v>358</v>
      </c>
      <c r="B172" t="s">
        <v>416</v>
      </c>
      <c r="C172" s="50" t="s">
        <v>137</v>
      </c>
      <c r="D172" s="50" t="s">
        <v>201</v>
      </c>
      <c r="E172" s="50" t="s">
        <v>42</v>
      </c>
      <c r="F172" s="50" t="s">
        <v>42</v>
      </c>
      <c r="G172" s="51" t="s">
        <v>42</v>
      </c>
      <c r="H172" s="51" t="s">
        <v>42</v>
      </c>
      <c r="I172" s="52">
        <v>29</v>
      </c>
      <c r="J172" s="52">
        <v>156</v>
      </c>
      <c r="K172" s="52" t="s">
        <v>42</v>
      </c>
      <c r="L172" s="52" t="s">
        <v>42</v>
      </c>
      <c r="M172" s="52">
        <v>40</v>
      </c>
      <c r="N172" s="52">
        <v>53</v>
      </c>
      <c r="O172" s="52">
        <v>65</v>
      </c>
      <c r="P172" s="52" t="s">
        <v>9</v>
      </c>
      <c r="Q172" s="52">
        <v>1</v>
      </c>
      <c r="R172" s="52">
        <v>0.5</v>
      </c>
      <c r="S172" s="52" t="s">
        <v>211</v>
      </c>
      <c r="T172" s="48">
        <v>328.48174757325427</v>
      </c>
      <c r="U172" s="48">
        <v>479.03588187766246</v>
      </c>
      <c r="V172" s="48">
        <v>684.33697411094636</v>
      </c>
      <c r="W172" s="48" t="s">
        <v>42</v>
      </c>
      <c r="X172" s="48" t="s">
        <v>42</v>
      </c>
      <c r="Y172" s="48" t="s">
        <v>42</v>
      </c>
      <c r="Z172" s="48" t="s">
        <v>42</v>
      </c>
      <c r="AB172" s="52" t="s">
        <v>470</v>
      </c>
      <c r="AC172" s="52">
        <v>6.6666666666666671E-3</v>
      </c>
      <c r="AD172" s="52">
        <v>0.02</v>
      </c>
      <c r="AE172" s="52">
        <v>3.3333333333333333E-2</v>
      </c>
      <c r="AF172" s="52">
        <v>0.69000000000000006</v>
      </c>
      <c r="AG172" s="52">
        <v>0.91</v>
      </c>
      <c r="AH172" s="52">
        <v>1.1300000000000001</v>
      </c>
      <c r="AI172" s="52">
        <v>52</v>
      </c>
      <c r="AJ172" s="52">
        <v>74</v>
      </c>
      <c r="AK172" s="52">
        <v>96</v>
      </c>
      <c r="AL172" s="52" t="s">
        <v>42</v>
      </c>
      <c r="AM172" s="52" t="s">
        <v>42</v>
      </c>
      <c r="AN172" s="52" t="s">
        <v>42</v>
      </c>
      <c r="AO172" s="53">
        <v>5.200373024296827E-3</v>
      </c>
      <c r="AP172" s="53">
        <v>2.9343538361224161E-2</v>
      </c>
      <c r="AQ172" s="53">
        <v>8.8259549178729621E-2</v>
      </c>
      <c r="AR172" s="53" t="s">
        <v>42</v>
      </c>
      <c r="AS172" s="53" t="s">
        <v>42</v>
      </c>
      <c r="AT172" s="53" t="s">
        <v>42</v>
      </c>
      <c r="AV172" s="54" t="s">
        <v>42</v>
      </c>
      <c r="AW172" s="54" t="s">
        <v>42</v>
      </c>
      <c r="AX172" s="54" t="s">
        <v>42</v>
      </c>
      <c r="AY172" s="54" t="s">
        <v>42</v>
      </c>
      <c r="AZ172" s="54" t="s">
        <v>42</v>
      </c>
      <c r="BA172" s="54" t="s">
        <v>42</v>
      </c>
      <c r="BC172" s="55" t="s">
        <v>42</v>
      </c>
      <c r="BD172" s="55" t="s">
        <v>42</v>
      </c>
      <c r="BE172" s="55" t="s">
        <v>42</v>
      </c>
      <c r="BG172" s="54">
        <v>6.279581375168263</v>
      </c>
      <c r="BH172" s="54">
        <v>6.7125664028476848</v>
      </c>
      <c r="BI172" s="54">
        <v>7.2004001291206379</v>
      </c>
      <c r="BJ172" s="54">
        <v>0.2718609813930315</v>
      </c>
      <c r="BK172" s="54">
        <v>0.83170175750165631</v>
      </c>
      <c r="BL172" s="54">
        <v>3.1391802157884525</v>
      </c>
      <c r="BN172" s="55">
        <v>3080.2443919410989</v>
      </c>
      <c r="BO172" s="55">
        <v>28343.608301877579</v>
      </c>
      <c r="BP172" s="55">
        <v>603645.2002811702</v>
      </c>
      <c r="BR172" s="54" t="s">
        <v>42</v>
      </c>
      <c r="BS172" s="54" t="s">
        <v>42</v>
      </c>
      <c r="BT172" s="54" t="s">
        <v>42</v>
      </c>
      <c r="BU172" s="54" t="s">
        <v>42</v>
      </c>
      <c r="BV172" s="54" t="s">
        <v>42</v>
      </c>
      <c r="BW172" s="54" t="s">
        <v>42</v>
      </c>
      <c r="BY172" s="54" t="s">
        <v>42</v>
      </c>
      <c r="BZ172" s="54" t="s">
        <v>42</v>
      </c>
      <c r="CA172" s="54" t="s">
        <v>42</v>
      </c>
      <c r="CC172">
        <v>358</v>
      </c>
      <c r="CD172" t="s">
        <v>416</v>
      </c>
    </row>
    <row r="173" spans="1:83" x14ac:dyDescent="0.2">
      <c r="A173">
        <v>359</v>
      </c>
      <c r="B173">
        <v>143</v>
      </c>
      <c r="C173" s="50" t="s">
        <v>137</v>
      </c>
      <c r="D173" s="50" t="s">
        <v>409</v>
      </c>
      <c r="E173" s="50" t="s">
        <v>411</v>
      </c>
      <c r="F173" s="50" t="s">
        <v>415</v>
      </c>
      <c r="G173" s="51">
        <v>32.4</v>
      </c>
      <c r="H173" s="51">
        <v>343</v>
      </c>
      <c r="I173" s="52">
        <v>54</v>
      </c>
      <c r="J173" s="52">
        <v>3</v>
      </c>
      <c r="K173" s="52">
        <v>108</v>
      </c>
      <c r="L173" s="52">
        <v>352</v>
      </c>
      <c r="M173" s="52">
        <v>40</v>
      </c>
      <c r="N173" s="52">
        <v>53</v>
      </c>
      <c r="O173" s="52">
        <v>65</v>
      </c>
      <c r="P173" s="52" t="s">
        <v>13</v>
      </c>
      <c r="Q173" s="52">
        <v>1</v>
      </c>
      <c r="R173" s="52">
        <v>0.5</v>
      </c>
      <c r="S173" s="52" t="s">
        <v>308</v>
      </c>
      <c r="T173" s="48">
        <v>481</v>
      </c>
      <c r="U173" s="48">
        <v>684</v>
      </c>
      <c r="V173" s="48">
        <v>862</v>
      </c>
      <c r="W173" s="48" t="s">
        <v>308</v>
      </c>
      <c r="X173" s="48">
        <v>2255.5719125973801</v>
      </c>
      <c r="Y173" s="48">
        <v>3262.1257058711794</v>
      </c>
      <c r="Z173" s="48">
        <v>3560.1257058711794</v>
      </c>
      <c r="AB173" s="52" t="s">
        <v>470</v>
      </c>
      <c r="AC173" s="52">
        <v>6.6666666666666671E-3</v>
      </c>
      <c r="AD173" s="52">
        <v>0.02</v>
      </c>
      <c r="AE173" s="52">
        <v>3.3333333333333333E-2</v>
      </c>
      <c r="AF173" s="52">
        <v>0.69000000000000006</v>
      </c>
      <c r="AG173" s="52">
        <v>0.91</v>
      </c>
      <c r="AH173" s="52">
        <v>1.1300000000000001</v>
      </c>
      <c r="AI173" s="52">
        <v>52</v>
      </c>
      <c r="AJ173" s="52">
        <v>74</v>
      </c>
      <c r="AK173" s="52">
        <v>96</v>
      </c>
      <c r="AL173" s="53">
        <v>5.5275152295877605E-3</v>
      </c>
      <c r="AM173" s="53">
        <v>2.8233199751738772E-2</v>
      </c>
      <c r="AN173" s="53">
        <v>8.9113351836172847E-2</v>
      </c>
      <c r="AO173" s="53">
        <v>4.5319355818178699E-3</v>
      </c>
      <c r="AP173" s="53">
        <v>2.8594231472948563E-2</v>
      </c>
      <c r="AQ173" s="53">
        <v>8.9004780943820028E-2</v>
      </c>
      <c r="AR173" s="53">
        <v>5.200373024296827E-3</v>
      </c>
      <c r="AS173" s="53">
        <v>2.9343538361224161E-2</v>
      </c>
      <c r="AT173" s="53">
        <v>8.8259549178729621E-2</v>
      </c>
      <c r="AV173" s="54">
        <v>6.3331597290143575</v>
      </c>
      <c r="AW173" s="54">
        <v>6.7661447566937793</v>
      </c>
      <c r="AX173" s="54">
        <v>7.2539784829667324</v>
      </c>
      <c r="AY173" s="54">
        <v>0.29817373853348189</v>
      </c>
      <c r="AZ173" s="54">
        <v>0.91220012930289851</v>
      </c>
      <c r="BA173" s="54">
        <v>3.4430137641516647</v>
      </c>
      <c r="BC173" s="55">
        <v>3346.0051988802797</v>
      </c>
      <c r="BD173" s="55">
        <v>32309.484483660755</v>
      </c>
      <c r="BE173" s="55">
        <v>622886.34606049617</v>
      </c>
      <c r="BG173" s="54">
        <v>6.4452152089962098</v>
      </c>
      <c r="BH173" s="54">
        <v>6.867254459383247</v>
      </c>
      <c r="BI173" s="54">
        <v>7.3006373897750549</v>
      </c>
      <c r="BJ173" s="54">
        <v>0.32897568299191976</v>
      </c>
      <c r="BK173" s="54">
        <v>0.99382895912727387</v>
      </c>
      <c r="BL173" s="54">
        <v>3.5231803814167706</v>
      </c>
      <c r="BN173" s="55">
        <v>3696.1574367512885</v>
      </c>
      <c r="BO173" s="55">
        <v>34756.274532766547</v>
      </c>
      <c r="BP173" s="55">
        <v>777411.84044004814</v>
      </c>
      <c r="BR173" s="54">
        <v>7.1163268105408592</v>
      </c>
      <c r="BS173" s="54">
        <v>7.5456990502086825</v>
      </c>
      <c r="BT173" s="54">
        <v>7.9165954568676966</v>
      </c>
      <c r="BU173" s="54">
        <v>0.71239292552243316</v>
      </c>
      <c r="BV173" s="54">
        <v>2.170370825291839</v>
      </c>
      <c r="BW173" s="54">
        <v>7.1600146762799977</v>
      </c>
      <c r="BY173" s="55">
        <v>8071.5676904241254</v>
      </c>
      <c r="BZ173" s="55">
        <v>73964.182457282062</v>
      </c>
      <c r="CA173" s="55">
        <v>1376827.1319821612</v>
      </c>
      <c r="CC173">
        <v>359</v>
      </c>
      <c r="CD173">
        <v>143</v>
      </c>
      <c r="CE173">
        <v>611</v>
      </c>
    </row>
    <row r="174" spans="1:83" x14ac:dyDescent="0.2">
      <c r="A174">
        <v>359</v>
      </c>
      <c r="B174">
        <v>144</v>
      </c>
      <c r="C174" s="50" t="s">
        <v>137</v>
      </c>
      <c r="D174" s="50" t="s">
        <v>409</v>
      </c>
      <c r="E174" s="50" t="s">
        <v>412</v>
      </c>
      <c r="F174" s="50" t="s">
        <v>415</v>
      </c>
      <c r="G174" s="51">
        <v>21.6</v>
      </c>
      <c r="H174" s="51">
        <v>35</v>
      </c>
      <c r="I174" s="52">
        <v>54</v>
      </c>
      <c r="J174" s="52">
        <v>3</v>
      </c>
      <c r="K174" s="52">
        <v>108</v>
      </c>
      <c r="L174" s="52">
        <v>352</v>
      </c>
      <c r="M174" s="52">
        <v>40</v>
      </c>
      <c r="N174" s="52">
        <v>53</v>
      </c>
      <c r="O174" s="52">
        <v>65</v>
      </c>
      <c r="P174" s="52" t="s">
        <v>13</v>
      </c>
      <c r="Q174" s="52">
        <v>1</v>
      </c>
      <c r="R174" s="52">
        <v>0.5</v>
      </c>
      <c r="S174" s="52" t="s">
        <v>308</v>
      </c>
      <c r="T174" s="48">
        <v>481</v>
      </c>
      <c r="U174" s="48">
        <v>684</v>
      </c>
      <c r="V174" s="48">
        <v>862</v>
      </c>
      <c r="W174" s="48" t="s">
        <v>308</v>
      </c>
      <c r="X174" s="48">
        <v>2255.5719125973801</v>
      </c>
      <c r="Y174" s="48">
        <v>3262.1257058711794</v>
      </c>
      <c r="Z174" s="48">
        <v>3560.1257058711794</v>
      </c>
      <c r="AB174" s="52" t="s">
        <v>470</v>
      </c>
      <c r="AC174" s="52">
        <v>6.6666666666666671E-3</v>
      </c>
      <c r="AD174" s="52">
        <v>0.02</v>
      </c>
      <c r="AE174" s="52">
        <v>3.3333333333333333E-2</v>
      </c>
      <c r="AF174" s="52">
        <v>0.69000000000000006</v>
      </c>
      <c r="AG174" s="52">
        <v>0.91</v>
      </c>
      <c r="AH174" s="52">
        <v>1.1300000000000001</v>
      </c>
      <c r="AI174" s="52">
        <v>52</v>
      </c>
      <c r="AJ174" s="52">
        <v>74</v>
      </c>
      <c r="AK174" s="52">
        <v>96</v>
      </c>
      <c r="AL174" s="53">
        <v>1.755655110882E-3</v>
      </c>
      <c r="AM174" s="53">
        <v>1.903181322579461E-2</v>
      </c>
      <c r="AN174" s="53">
        <v>7.7952166177642085E-2</v>
      </c>
      <c r="AO174" s="53">
        <v>4.5319355818178699E-3</v>
      </c>
      <c r="AP174" s="53">
        <v>2.8594231472948563E-2</v>
      </c>
      <c r="AQ174" s="53">
        <v>8.9004780943820028E-2</v>
      </c>
      <c r="AR174" s="53">
        <v>5.200373024296827E-3</v>
      </c>
      <c r="AS174" s="53">
        <v>2.9343538361224161E-2</v>
      </c>
      <c r="AT174" s="53">
        <v>8.8259549178729621E-2</v>
      </c>
      <c r="AV174" s="54">
        <v>6.039674297254888</v>
      </c>
      <c r="AW174" s="54">
        <v>6.4726593249343098</v>
      </c>
      <c r="AX174" s="54">
        <v>6.9604930512072629</v>
      </c>
      <c r="AY174" s="54">
        <v>0.21268001129433256</v>
      </c>
      <c r="AZ174" s="54">
        <v>0.65064996923277707</v>
      </c>
      <c r="BA174" s="54">
        <v>2.455817235440712</v>
      </c>
      <c r="BC174" s="55">
        <v>2728.3399772325065</v>
      </c>
      <c r="BD174" s="55">
        <v>34187.492358895368</v>
      </c>
      <c r="BE174" s="55">
        <v>1398803.9109839557</v>
      </c>
      <c r="BG174" s="54">
        <v>6.4452152089962098</v>
      </c>
      <c r="BH174" s="54">
        <v>6.867254459383247</v>
      </c>
      <c r="BI174" s="54">
        <v>7.3006373897750549</v>
      </c>
      <c r="BJ174" s="54">
        <v>0.32897568299191976</v>
      </c>
      <c r="BK174" s="54">
        <v>0.99382895912727387</v>
      </c>
      <c r="BL174" s="54">
        <v>3.5231803814167706</v>
      </c>
      <c r="BN174" s="55">
        <v>3696.1574367512885</v>
      </c>
      <c r="BO174" s="55">
        <v>34756.274532766547</v>
      </c>
      <c r="BP174" s="55">
        <v>777411.84044004814</v>
      </c>
      <c r="BR174" s="54">
        <v>7.1163268105408592</v>
      </c>
      <c r="BS174" s="54">
        <v>7.5456990502086825</v>
      </c>
      <c r="BT174" s="54">
        <v>7.9165954568676966</v>
      </c>
      <c r="BU174" s="54">
        <v>0.71239292552243316</v>
      </c>
      <c r="BV174" s="54">
        <v>2.170370825291839</v>
      </c>
      <c r="BW174" s="54">
        <v>7.1600146762799977</v>
      </c>
      <c r="BY174" s="55">
        <v>8071.5676904241254</v>
      </c>
      <c r="BZ174" s="55">
        <v>73964.182457282062</v>
      </c>
      <c r="CA174" s="55">
        <v>1376827.1319821612</v>
      </c>
      <c r="CC174">
        <v>359</v>
      </c>
      <c r="CD174">
        <v>144</v>
      </c>
      <c r="CE174">
        <v>611</v>
      </c>
    </row>
    <row r="175" spans="1:83" x14ac:dyDescent="0.2">
      <c r="A175">
        <v>360</v>
      </c>
      <c r="B175">
        <v>145</v>
      </c>
      <c r="C175" s="50" t="s">
        <v>137</v>
      </c>
      <c r="D175" s="50" t="s">
        <v>410</v>
      </c>
      <c r="E175" s="50" t="s">
        <v>413</v>
      </c>
      <c r="F175" s="50" t="s">
        <v>42</v>
      </c>
      <c r="G175" s="51">
        <v>16.2</v>
      </c>
      <c r="H175" s="51">
        <v>18</v>
      </c>
      <c r="I175" s="52">
        <v>37.799999999999997</v>
      </c>
      <c r="J175" s="52">
        <v>28</v>
      </c>
      <c r="K175" s="52" t="s">
        <v>42</v>
      </c>
      <c r="L175" s="52" t="s">
        <v>42</v>
      </c>
      <c r="M175" s="52">
        <v>40</v>
      </c>
      <c r="N175" s="52">
        <v>53</v>
      </c>
      <c r="O175" s="52">
        <v>65</v>
      </c>
      <c r="P175" s="52" t="s">
        <v>13</v>
      </c>
      <c r="Q175" s="52">
        <v>1</v>
      </c>
      <c r="R175" s="52">
        <v>0.5</v>
      </c>
      <c r="S175" s="52" t="s">
        <v>211</v>
      </c>
      <c r="T175" s="48">
        <v>510.89805083495196</v>
      </c>
      <c r="U175" s="48">
        <v>745.05965746763809</v>
      </c>
      <c r="V175" s="48">
        <v>1064.3709392394833</v>
      </c>
      <c r="W175" s="48" t="s">
        <v>42</v>
      </c>
      <c r="X175" s="48" t="s">
        <v>42</v>
      </c>
      <c r="Y175" s="48" t="s">
        <v>42</v>
      </c>
      <c r="Z175" s="48" t="s">
        <v>42</v>
      </c>
      <c r="AB175" s="52" t="s">
        <v>470</v>
      </c>
      <c r="AC175" s="52">
        <v>6.6666666666666671E-3</v>
      </c>
      <c r="AD175" s="52">
        <v>0.02</v>
      </c>
      <c r="AE175" s="52">
        <v>3.3333333333333333E-2</v>
      </c>
      <c r="AF175" s="52">
        <v>0.69000000000000006</v>
      </c>
      <c r="AG175" s="52">
        <v>0.91</v>
      </c>
      <c r="AH175" s="52">
        <v>1.1300000000000001</v>
      </c>
      <c r="AI175" s="52">
        <v>52</v>
      </c>
      <c r="AJ175" s="52">
        <v>74</v>
      </c>
      <c r="AK175" s="52">
        <v>96</v>
      </c>
      <c r="AL175" s="53">
        <v>3.3578826647345339E-3</v>
      </c>
      <c r="AM175" s="53">
        <v>2.5071630384822848E-2</v>
      </c>
      <c r="AN175" s="53">
        <v>8.7179289119895281E-2</v>
      </c>
      <c r="AO175" s="53">
        <v>2.4424021020645783E-3</v>
      </c>
      <c r="AP175" s="53">
        <v>2.1754166749765186E-2</v>
      </c>
      <c r="AQ175" s="53">
        <v>8.2637047071359548E-2</v>
      </c>
      <c r="AR175" s="53" t="s">
        <v>42</v>
      </c>
      <c r="AS175" s="53" t="s">
        <v>42</v>
      </c>
      <c r="AT175" s="53" t="s">
        <v>42</v>
      </c>
      <c r="AV175" s="54">
        <v>5.8314430695743882</v>
      </c>
      <c r="AW175" s="54">
        <v>6.26442809725381</v>
      </c>
      <c r="AX175" s="54">
        <v>6.7522618235267631</v>
      </c>
      <c r="AY175" s="54">
        <v>0.16734435265317793</v>
      </c>
      <c r="AZ175" s="54">
        <v>0.51195501280270383</v>
      </c>
      <c r="BA175" s="54">
        <v>1.9323261410335195</v>
      </c>
      <c r="BC175" s="55">
        <v>1919.5425237183781</v>
      </c>
      <c r="BD175" s="55">
        <v>20419.693691424894</v>
      </c>
      <c r="BE175" s="55">
        <v>575459.69706665864</v>
      </c>
      <c r="BG175" s="54">
        <v>6.4714043783987121</v>
      </c>
      <c r="BH175" s="54">
        <v>6.9043894060781339</v>
      </c>
      <c r="BI175" s="54">
        <v>7.392223132351087</v>
      </c>
      <c r="BJ175" s="54">
        <v>0.33904581023493574</v>
      </c>
      <c r="BK175" s="54">
        <v>1.0372396759588729</v>
      </c>
      <c r="BL175" s="54">
        <v>3.9149637961350994</v>
      </c>
      <c r="BN175" s="55">
        <v>4102.8306582900959</v>
      </c>
      <c r="BO175" s="55">
        <v>47680.04621321884</v>
      </c>
      <c r="BP175" s="55">
        <v>1602915.3401177288</v>
      </c>
      <c r="BR175" s="54" t="s">
        <v>42</v>
      </c>
      <c r="BS175" s="54" t="s">
        <v>42</v>
      </c>
      <c r="BT175" s="54" t="s">
        <v>42</v>
      </c>
      <c r="BU175" s="54" t="s">
        <v>42</v>
      </c>
      <c r="BV175" s="54" t="s">
        <v>42</v>
      </c>
      <c r="BW175" s="54" t="s">
        <v>42</v>
      </c>
      <c r="BY175" s="54" t="s">
        <v>42</v>
      </c>
      <c r="BZ175" s="54" t="s">
        <v>42</v>
      </c>
      <c r="CA175" s="54" t="s">
        <v>42</v>
      </c>
      <c r="CC175">
        <v>360</v>
      </c>
      <c r="CD175">
        <v>145</v>
      </c>
    </row>
    <row r="176" spans="1:83" x14ac:dyDescent="0.2">
      <c r="A176">
        <v>360</v>
      </c>
      <c r="B176">
        <v>146</v>
      </c>
      <c r="C176" s="50" t="s">
        <v>137</v>
      </c>
      <c r="D176" s="50" t="s">
        <v>410</v>
      </c>
      <c r="E176" s="50" t="s">
        <v>414</v>
      </c>
      <c r="F176" s="50" t="s">
        <v>42</v>
      </c>
      <c r="G176" s="51">
        <v>21.6</v>
      </c>
      <c r="H176" s="51">
        <v>35</v>
      </c>
      <c r="I176" s="52">
        <v>37.799999999999997</v>
      </c>
      <c r="J176" s="52">
        <v>28</v>
      </c>
      <c r="K176" s="52" t="s">
        <v>42</v>
      </c>
      <c r="L176" s="52" t="s">
        <v>42</v>
      </c>
      <c r="M176" s="52">
        <v>40</v>
      </c>
      <c r="N176" s="52">
        <v>53</v>
      </c>
      <c r="O176" s="52">
        <v>65</v>
      </c>
      <c r="P176" s="52" t="s">
        <v>13</v>
      </c>
      <c r="Q176" s="52">
        <v>1</v>
      </c>
      <c r="R176" s="52">
        <v>0.5</v>
      </c>
      <c r="S176" s="52" t="s">
        <v>211</v>
      </c>
      <c r="T176" s="48">
        <v>510.89805083495196</v>
      </c>
      <c r="U176" s="48">
        <v>745.05965746763809</v>
      </c>
      <c r="V176" s="48">
        <v>1064.3709392394833</v>
      </c>
      <c r="W176" s="48" t="s">
        <v>42</v>
      </c>
      <c r="X176" s="48" t="s">
        <v>42</v>
      </c>
      <c r="Y176" s="48" t="s">
        <v>42</v>
      </c>
      <c r="Z176" s="48" t="s">
        <v>42</v>
      </c>
      <c r="AB176" s="52" t="s">
        <v>470</v>
      </c>
      <c r="AC176" s="52">
        <v>6.6666666666666671E-3</v>
      </c>
      <c r="AD176" s="52">
        <v>0.02</v>
      </c>
      <c r="AE176" s="52">
        <v>3.3333333333333333E-2</v>
      </c>
      <c r="AF176" s="52">
        <v>0.69000000000000006</v>
      </c>
      <c r="AG176" s="52">
        <v>0.91</v>
      </c>
      <c r="AH176" s="52">
        <v>1.1300000000000001</v>
      </c>
      <c r="AI176" s="52">
        <v>52</v>
      </c>
      <c r="AJ176" s="52">
        <v>74</v>
      </c>
      <c r="AK176" s="52">
        <v>96</v>
      </c>
      <c r="AL176" s="53">
        <v>1.755655110882E-3</v>
      </c>
      <c r="AM176" s="53">
        <v>1.903181322579461E-2</v>
      </c>
      <c r="AN176" s="53">
        <v>7.7952166177642085E-2</v>
      </c>
      <c r="AO176" s="53">
        <v>2.4424021020645783E-3</v>
      </c>
      <c r="AP176" s="53">
        <v>2.1754166749765186E-2</v>
      </c>
      <c r="AQ176" s="53">
        <v>8.2637047071359548E-2</v>
      </c>
      <c r="AR176" s="53" t="s">
        <v>42</v>
      </c>
      <c r="AS176" s="53" t="s">
        <v>42</v>
      </c>
      <c r="AT176" s="53" t="s">
        <v>42</v>
      </c>
      <c r="AV176" s="54">
        <v>6.039674297254888</v>
      </c>
      <c r="AW176" s="54">
        <v>6.4726593249343098</v>
      </c>
      <c r="AX176" s="54">
        <v>6.9604930512072629</v>
      </c>
      <c r="AY176" s="54">
        <v>0.21268001129433256</v>
      </c>
      <c r="AZ176" s="54">
        <v>0.65064996923277707</v>
      </c>
      <c r="BA176" s="54">
        <v>2.455817235440712</v>
      </c>
      <c r="BC176" s="55">
        <v>2728.3399772325065</v>
      </c>
      <c r="BD176" s="55">
        <v>34187.492358895368</v>
      </c>
      <c r="BE176" s="55">
        <v>1398803.9109839557</v>
      </c>
      <c r="BG176" s="54">
        <v>6.4714043783987121</v>
      </c>
      <c r="BH176" s="54">
        <v>6.9043894060781339</v>
      </c>
      <c r="BI176" s="54">
        <v>7.392223132351087</v>
      </c>
      <c r="BJ176" s="54">
        <v>0.33904581023493574</v>
      </c>
      <c r="BK176" s="54">
        <v>1.0372396759588729</v>
      </c>
      <c r="BL176" s="54">
        <v>3.9149637961350994</v>
      </c>
      <c r="BN176" s="55">
        <v>4102.8306582900959</v>
      </c>
      <c r="BO176" s="55">
        <v>47680.04621321884</v>
      </c>
      <c r="BP176" s="55">
        <v>1602915.3401177288</v>
      </c>
      <c r="BR176" s="54" t="s">
        <v>42</v>
      </c>
      <c r="BS176" s="54" t="s">
        <v>42</v>
      </c>
      <c r="BT176" s="54" t="s">
        <v>42</v>
      </c>
      <c r="BU176" s="54" t="s">
        <v>42</v>
      </c>
      <c r="BV176" s="54" t="s">
        <v>42</v>
      </c>
      <c r="BW176" s="54" t="s">
        <v>42</v>
      </c>
      <c r="BY176" s="54" t="s">
        <v>42</v>
      </c>
      <c r="BZ176" s="54" t="s">
        <v>42</v>
      </c>
      <c r="CA176" s="54" t="s">
        <v>42</v>
      </c>
      <c r="CC176">
        <v>360</v>
      </c>
      <c r="CD176">
        <v>146</v>
      </c>
    </row>
    <row r="177" spans="1:83" x14ac:dyDescent="0.2">
      <c r="A177">
        <v>361</v>
      </c>
      <c r="B177" t="s">
        <v>416</v>
      </c>
      <c r="C177" s="50" t="s">
        <v>137</v>
      </c>
      <c r="D177" s="50" t="s">
        <v>407</v>
      </c>
      <c r="E177" s="50" t="s">
        <v>42</v>
      </c>
      <c r="F177" s="50" t="s">
        <v>415</v>
      </c>
      <c r="G177" s="51" t="s">
        <v>42</v>
      </c>
      <c r="H177" s="51" t="s">
        <v>42</v>
      </c>
      <c r="I177" s="52">
        <v>54</v>
      </c>
      <c r="J177" s="52">
        <v>168</v>
      </c>
      <c r="K177" s="52">
        <v>108</v>
      </c>
      <c r="L177" s="52">
        <v>352</v>
      </c>
      <c r="M177" s="52">
        <v>40</v>
      </c>
      <c r="N177" s="52">
        <v>53</v>
      </c>
      <c r="O177" s="52">
        <v>65</v>
      </c>
      <c r="P177" s="52" t="s">
        <v>9</v>
      </c>
      <c r="Q177" s="52">
        <v>2</v>
      </c>
      <c r="R177" s="52">
        <v>0</v>
      </c>
      <c r="S177" s="52" t="s">
        <v>211</v>
      </c>
      <c r="T177" s="48">
        <v>925.77229350785365</v>
      </c>
      <c r="U177" s="48">
        <v>1350.0845946989532</v>
      </c>
      <c r="V177" s="48">
        <v>1928.6922781413618</v>
      </c>
      <c r="W177" s="48" t="s">
        <v>308</v>
      </c>
      <c r="X177" s="48">
        <v>2255.5719125973801</v>
      </c>
      <c r="Y177" s="48">
        <v>3262.1257058711794</v>
      </c>
      <c r="Z177" s="48">
        <v>3560.1257058711794</v>
      </c>
      <c r="AB177" s="52" t="s">
        <v>470</v>
      </c>
      <c r="AC177" s="52">
        <v>6.6666666666666671E-3</v>
      </c>
      <c r="AD177" s="52">
        <v>0.02</v>
      </c>
      <c r="AE177" s="52">
        <v>3.3333333333333333E-2</v>
      </c>
      <c r="AF177" s="52">
        <v>0.69000000000000006</v>
      </c>
      <c r="AG177" s="52">
        <v>0.91</v>
      </c>
      <c r="AH177" s="52">
        <v>1.1300000000000001</v>
      </c>
      <c r="AI177" s="52">
        <v>52</v>
      </c>
      <c r="AJ177" s="52">
        <v>74</v>
      </c>
      <c r="AK177" s="52">
        <v>96</v>
      </c>
      <c r="AL177" s="52"/>
      <c r="AM177" s="52"/>
      <c r="AN177" s="52"/>
      <c r="AO177" s="53">
        <v>5.3971445783779761E-3</v>
      </c>
      <c r="AP177" s="53">
        <v>2.876170904792888E-2</v>
      </c>
      <c r="AQ177" s="53">
        <v>8.8909817585784021E-2</v>
      </c>
      <c r="AR177" s="53">
        <v>5.200373024296827E-3</v>
      </c>
      <c r="AS177" s="53">
        <v>2.9343538361224161E-2</v>
      </c>
      <c r="AT177" s="53">
        <v>8.8259549178729621E-2</v>
      </c>
      <c r="AV177" s="54" t="s">
        <v>42</v>
      </c>
      <c r="AW177" s="54" t="s">
        <v>42</v>
      </c>
      <c r="AX177" s="54" t="s">
        <v>42</v>
      </c>
      <c r="AY177" s="54" t="s">
        <v>42</v>
      </c>
      <c r="AZ177" s="54" t="s">
        <v>42</v>
      </c>
      <c r="BA177" s="54" t="s">
        <v>42</v>
      </c>
      <c r="BC177" s="55" t="s">
        <v>42</v>
      </c>
      <c r="BD177" s="55" t="s">
        <v>42</v>
      </c>
      <c r="BE177" s="55" t="s">
        <v>42</v>
      </c>
      <c r="BG177" s="54">
        <v>6.7295743117082836</v>
      </c>
      <c r="BH177" s="54">
        <v>7.1625593393877054</v>
      </c>
      <c r="BI177" s="54">
        <v>7.6503930656606585</v>
      </c>
      <c r="BJ177" s="54">
        <v>0.45639759644335032</v>
      </c>
      <c r="BK177" s="54">
        <v>1.396252897846693</v>
      </c>
      <c r="BL177" s="54">
        <v>5.2700255032813308</v>
      </c>
      <c r="BN177" s="55">
        <v>5133.26434398539</v>
      </c>
      <c r="BO177" s="55">
        <v>48545.546981229782</v>
      </c>
      <c r="BP177" s="55">
        <v>976446.97612772707</v>
      </c>
      <c r="BR177" s="54">
        <v>7.1163268105408592</v>
      </c>
      <c r="BS177" s="54">
        <v>7.5456990502086825</v>
      </c>
      <c r="BT177" s="54">
        <v>7.9165954568676966</v>
      </c>
      <c r="BU177" s="54">
        <v>0.71239292552243316</v>
      </c>
      <c r="BV177" s="54">
        <v>2.170370825291839</v>
      </c>
      <c r="BW177" s="54">
        <v>7.1600146762799977</v>
      </c>
      <c r="BY177" s="55">
        <v>8071.5676904241254</v>
      </c>
      <c r="BZ177" s="55">
        <v>73964.182457282062</v>
      </c>
      <c r="CA177" s="55">
        <v>1376827.1319821612</v>
      </c>
      <c r="CC177">
        <v>361</v>
      </c>
      <c r="CD177" t="s">
        <v>416</v>
      </c>
      <c r="CE177">
        <v>610</v>
      </c>
    </row>
    <row r="178" spans="1:83" x14ac:dyDescent="0.2">
      <c r="A178">
        <v>362</v>
      </c>
      <c r="B178" t="s">
        <v>416</v>
      </c>
      <c r="C178" s="50" t="s">
        <v>137</v>
      </c>
      <c r="D178" s="50" t="s">
        <v>408</v>
      </c>
      <c r="E178" s="50" t="s">
        <v>42</v>
      </c>
      <c r="F178" s="50" t="s">
        <v>42</v>
      </c>
      <c r="G178" s="51" t="s">
        <v>42</v>
      </c>
      <c r="H178" s="51" t="s">
        <v>42</v>
      </c>
      <c r="I178" s="52">
        <v>54</v>
      </c>
      <c r="J178" s="52">
        <v>168</v>
      </c>
      <c r="K178" s="52" t="s">
        <v>42</v>
      </c>
      <c r="L178" s="52" t="s">
        <v>42</v>
      </c>
      <c r="M178" s="52">
        <v>40</v>
      </c>
      <c r="N178" s="52">
        <v>53</v>
      </c>
      <c r="O178" s="52">
        <v>65</v>
      </c>
      <c r="P178" s="52" t="s">
        <v>9</v>
      </c>
      <c r="Q178" s="52">
        <v>2</v>
      </c>
      <c r="R178" s="52">
        <v>0</v>
      </c>
      <c r="S178" s="52" t="s">
        <v>211</v>
      </c>
      <c r="T178" s="48">
        <v>925.77229350785365</v>
      </c>
      <c r="U178" s="48">
        <v>1350.0845946989532</v>
      </c>
      <c r="V178" s="48">
        <v>1928.6922781413618</v>
      </c>
      <c r="W178" s="48" t="s">
        <v>42</v>
      </c>
      <c r="X178" s="48" t="s">
        <v>42</v>
      </c>
      <c r="Y178" s="48" t="s">
        <v>42</v>
      </c>
      <c r="Z178" s="48" t="s">
        <v>42</v>
      </c>
      <c r="AB178" s="52" t="s">
        <v>470</v>
      </c>
      <c r="AC178" s="52">
        <v>6.6666666666666671E-3</v>
      </c>
      <c r="AD178" s="52">
        <v>0.02</v>
      </c>
      <c r="AE178" s="52">
        <v>3.3333333333333333E-2</v>
      </c>
      <c r="AF178" s="52">
        <v>0.69000000000000006</v>
      </c>
      <c r="AG178" s="52">
        <v>0.91</v>
      </c>
      <c r="AH178" s="52">
        <v>1.1300000000000001</v>
      </c>
      <c r="AI178" s="52">
        <v>52</v>
      </c>
      <c r="AJ178" s="52">
        <v>74</v>
      </c>
      <c r="AK178" s="52">
        <v>96</v>
      </c>
      <c r="AL178" s="52" t="s">
        <v>42</v>
      </c>
      <c r="AM178" s="52" t="s">
        <v>42</v>
      </c>
      <c r="AN178" s="52" t="s">
        <v>42</v>
      </c>
      <c r="AO178" s="53">
        <v>5.3971445783779761E-3</v>
      </c>
      <c r="AP178" s="53">
        <v>2.876170904792888E-2</v>
      </c>
      <c r="AQ178" s="53">
        <v>8.8909817585784021E-2</v>
      </c>
      <c r="AR178" s="53" t="s">
        <v>42</v>
      </c>
      <c r="AS178" s="53" t="s">
        <v>42</v>
      </c>
      <c r="AT178" s="53" t="s">
        <v>42</v>
      </c>
      <c r="AV178" s="54" t="s">
        <v>42</v>
      </c>
      <c r="AW178" s="54" t="s">
        <v>42</v>
      </c>
      <c r="AX178" s="54" t="s">
        <v>42</v>
      </c>
      <c r="AY178" s="54" t="s">
        <v>42</v>
      </c>
      <c r="AZ178" s="54" t="s">
        <v>42</v>
      </c>
      <c r="BA178" s="54" t="s">
        <v>42</v>
      </c>
      <c r="BC178" s="55" t="s">
        <v>42</v>
      </c>
      <c r="BD178" s="55" t="s">
        <v>42</v>
      </c>
      <c r="BE178" s="55" t="s">
        <v>42</v>
      </c>
      <c r="BG178" s="54">
        <v>6.7295743117082836</v>
      </c>
      <c r="BH178" s="54">
        <v>7.1625593393877054</v>
      </c>
      <c r="BI178" s="54">
        <v>7.6503930656606585</v>
      </c>
      <c r="BJ178" s="54">
        <v>0.45639759644335032</v>
      </c>
      <c r="BK178" s="54">
        <v>1.396252897846693</v>
      </c>
      <c r="BL178" s="54">
        <v>5.2700255032813308</v>
      </c>
      <c r="BN178" s="55">
        <v>5133.26434398539</v>
      </c>
      <c r="BO178" s="55">
        <v>48545.546981229782</v>
      </c>
      <c r="BP178" s="55">
        <v>976446.97612772707</v>
      </c>
      <c r="BR178" s="54" t="s">
        <v>42</v>
      </c>
      <c r="BS178" s="54" t="s">
        <v>42</v>
      </c>
      <c r="BT178" s="54" t="s">
        <v>42</v>
      </c>
      <c r="BU178" s="54" t="s">
        <v>42</v>
      </c>
      <c r="BV178" s="54" t="s">
        <v>42</v>
      </c>
      <c r="BW178" s="54" t="s">
        <v>42</v>
      </c>
      <c r="BY178" s="54" t="s">
        <v>42</v>
      </c>
      <c r="BZ178" s="54" t="s">
        <v>42</v>
      </c>
      <c r="CA178" s="54" t="s">
        <v>42</v>
      </c>
      <c r="CC178">
        <v>362</v>
      </c>
      <c r="CD178" t="s">
        <v>416</v>
      </c>
    </row>
    <row r="179" spans="1:83" x14ac:dyDescent="0.2">
      <c r="A179">
        <v>363</v>
      </c>
      <c r="B179">
        <v>147</v>
      </c>
      <c r="C179" s="50" t="s">
        <v>137</v>
      </c>
      <c r="D179" s="50" t="s">
        <v>138</v>
      </c>
      <c r="E179" s="50" t="s">
        <v>202</v>
      </c>
      <c r="F179" s="50" t="s">
        <v>42</v>
      </c>
      <c r="G179" s="51">
        <v>14.8</v>
      </c>
      <c r="H179" s="51">
        <v>326</v>
      </c>
      <c r="I179" s="52">
        <v>32.700000000000003</v>
      </c>
      <c r="J179" s="52">
        <v>343</v>
      </c>
      <c r="K179" s="52" t="s">
        <v>42</v>
      </c>
      <c r="L179" s="52" t="s">
        <v>42</v>
      </c>
      <c r="M179" s="52">
        <v>40</v>
      </c>
      <c r="N179" s="52">
        <v>53</v>
      </c>
      <c r="O179" s="52">
        <v>65</v>
      </c>
      <c r="P179" s="52" t="s">
        <v>13</v>
      </c>
      <c r="Q179" s="52">
        <v>1.5</v>
      </c>
      <c r="R179" s="52">
        <v>0</v>
      </c>
      <c r="S179" s="52" t="s">
        <v>308</v>
      </c>
      <c r="T179" s="48">
        <v>401.2615075556098</v>
      </c>
      <c r="U179" s="48">
        <v>453</v>
      </c>
      <c r="V179" s="48">
        <v>453</v>
      </c>
      <c r="W179" s="48" t="s">
        <v>42</v>
      </c>
      <c r="X179" s="48" t="s">
        <v>42</v>
      </c>
      <c r="Y179" s="48" t="s">
        <v>42</v>
      </c>
      <c r="Z179" s="48" t="s">
        <v>42</v>
      </c>
      <c r="AB179" s="52" t="s">
        <v>470</v>
      </c>
      <c r="AC179" s="52">
        <v>6.6666666666666671E-3</v>
      </c>
      <c r="AD179" s="52">
        <v>0.02</v>
      </c>
      <c r="AE179" s="52">
        <v>3.3333333333333333E-2</v>
      </c>
      <c r="AF179" s="52">
        <v>0.69000000000000006</v>
      </c>
      <c r="AG179" s="52">
        <v>0.91</v>
      </c>
      <c r="AH179" s="52">
        <v>1.1300000000000001</v>
      </c>
      <c r="AI179" s="52">
        <v>52</v>
      </c>
      <c r="AJ179" s="52">
        <v>74</v>
      </c>
      <c r="AK179" s="52">
        <v>96</v>
      </c>
      <c r="AL179" s="53">
        <v>4.5999999999999991E-3</v>
      </c>
      <c r="AM179" s="53">
        <v>2.876170904792888E-2</v>
      </c>
      <c r="AN179" s="53">
        <v>8.8909817585784034E-2</v>
      </c>
      <c r="AO179" s="53">
        <v>5.5275152295877605E-3</v>
      </c>
      <c r="AP179" s="53">
        <v>2.8233199751738772E-2</v>
      </c>
      <c r="AQ179" s="53">
        <v>8.9113351836172847E-2</v>
      </c>
      <c r="AR179" s="53" t="s">
        <v>42</v>
      </c>
      <c r="AS179" s="53" t="s">
        <v>42</v>
      </c>
      <c r="AT179" s="53" t="s">
        <v>42</v>
      </c>
      <c r="AV179" s="54">
        <v>5.7660209043282675</v>
      </c>
      <c r="AW179" s="54">
        <v>6.1990059320076893</v>
      </c>
      <c r="AX179" s="54">
        <v>6.6868396582806424</v>
      </c>
      <c r="AY179" s="54">
        <v>0.15520295230328629</v>
      </c>
      <c r="AZ179" s="54">
        <v>0.4748109402778668</v>
      </c>
      <c r="BA179" s="54">
        <v>1.7921293258265401</v>
      </c>
      <c r="BC179" s="55">
        <v>1745.6222104329454</v>
      </c>
      <c r="BD179" s="55">
        <v>16508.439727508397</v>
      </c>
      <c r="BE179" s="55">
        <v>389593.33170142182</v>
      </c>
      <c r="BG179" s="54">
        <v>6.3664976331038119</v>
      </c>
      <c r="BH179" s="54">
        <v>6.6882965596759618</v>
      </c>
      <c r="BI179" s="54">
        <v>7.0212283259631718</v>
      </c>
      <c r="BJ179" s="54">
        <v>0.3004726929356677</v>
      </c>
      <c r="BK179" s="54">
        <v>0.80878427284412446</v>
      </c>
      <c r="BL179" s="54">
        <v>2.5540555984551321</v>
      </c>
      <c r="BN179" s="55">
        <v>3371.8032903538474</v>
      </c>
      <c r="BO179" s="55">
        <v>28646.567868890404</v>
      </c>
      <c r="BP179" s="55">
        <v>462062.1549414731</v>
      </c>
      <c r="BR179" s="54" t="s">
        <v>42</v>
      </c>
      <c r="BS179" s="54" t="s">
        <v>42</v>
      </c>
      <c r="BT179" s="54" t="s">
        <v>42</v>
      </c>
      <c r="BU179" s="54" t="s">
        <v>42</v>
      </c>
      <c r="BV179" s="54" t="s">
        <v>42</v>
      </c>
      <c r="BW179" s="54" t="s">
        <v>42</v>
      </c>
      <c r="BY179" s="54" t="s">
        <v>42</v>
      </c>
      <c r="BZ179" s="54" t="s">
        <v>42</v>
      </c>
      <c r="CA179" s="54" t="s">
        <v>42</v>
      </c>
      <c r="CC179">
        <v>363</v>
      </c>
      <c r="CD179">
        <v>147</v>
      </c>
    </row>
    <row r="180" spans="1:83" x14ac:dyDescent="0.2">
      <c r="A180">
        <v>363</v>
      </c>
      <c r="B180">
        <v>148</v>
      </c>
      <c r="C180" s="50" t="s">
        <v>137</v>
      </c>
      <c r="D180" s="50" t="s">
        <v>138</v>
      </c>
      <c r="E180" s="50" t="s">
        <v>203</v>
      </c>
      <c r="F180" s="50" t="s">
        <v>42</v>
      </c>
      <c r="G180" s="51">
        <v>17.899999999999999</v>
      </c>
      <c r="H180" s="51">
        <v>357</v>
      </c>
      <c r="I180" s="52">
        <v>32.700000000000003</v>
      </c>
      <c r="J180" s="52">
        <v>343</v>
      </c>
      <c r="K180" s="52" t="s">
        <v>42</v>
      </c>
      <c r="L180" s="52" t="s">
        <v>42</v>
      </c>
      <c r="M180" s="52">
        <v>40</v>
      </c>
      <c r="N180" s="52">
        <v>53</v>
      </c>
      <c r="O180" s="52">
        <v>65</v>
      </c>
      <c r="P180" s="52" t="s">
        <v>13</v>
      </c>
      <c r="Q180" s="52">
        <v>1.5</v>
      </c>
      <c r="R180" s="52">
        <v>0</v>
      </c>
      <c r="S180" s="52" t="s">
        <v>308</v>
      </c>
      <c r="T180" s="48">
        <v>401.2615075556098</v>
      </c>
      <c r="U180" s="48">
        <v>453</v>
      </c>
      <c r="V180" s="48">
        <v>453</v>
      </c>
      <c r="W180" s="48" t="s">
        <v>42</v>
      </c>
      <c r="X180" s="48" t="s">
        <v>42</v>
      </c>
      <c r="Y180" s="48" t="s">
        <v>42</v>
      </c>
      <c r="Z180" s="48" t="s">
        <v>42</v>
      </c>
      <c r="AB180" s="52" t="s">
        <v>470</v>
      </c>
      <c r="AC180" s="52">
        <v>6.6666666666666671E-3</v>
      </c>
      <c r="AD180" s="52">
        <v>0.02</v>
      </c>
      <c r="AE180" s="52">
        <v>3.3333333333333333E-2</v>
      </c>
      <c r="AF180" s="52">
        <v>0.69000000000000006</v>
      </c>
      <c r="AG180" s="52">
        <v>0.91</v>
      </c>
      <c r="AH180" s="52">
        <v>1.1300000000000001</v>
      </c>
      <c r="AI180" s="52">
        <v>52</v>
      </c>
      <c r="AJ180" s="52">
        <v>74</v>
      </c>
      <c r="AK180" s="52">
        <v>96</v>
      </c>
      <c r="AL180" s="53">
        <v>4.9189044285569234E-3</v>
      </c>
      <c r="AM180" s="53">
        <v>2.9466753897585757E-2</v>
      </c>
      <c r="AN180" s="53">
        <v>8.8029625938351716E-2</v>
      </c>
      <c r="AO180" s="53">
        <v>5.5275152295877605E-3</v>
      </c>
      <c r="AP180" s="53">
        <v>2.8233199751738772E-2</v>
      </c>
      <c r="AQ180" s="53">
        <v>8.9113351836172847E-2</v>
      </c>
      <c r="AR180" s="53" t="s">
        <v>42</v>
      </c>
      <c r="AS180" s="53" t="s">
        <v>42</v>
      </c>
      <c r="AT180" s="53" t="s">
        <v>42</v>
      </c>
      <c r="AV180" s="54">
        <v>5.9036730969698255</v>
      </c>
      <c r="AW180" s="54">
        <v>6.3366581246492473</v>
      </c>
      <c r="AX180" s="54">
        <v>6.8244918509222003</v>
      </c>
      <c r="AY180" s="54">
        <v>0.18185534685141883</v>
      </c>
      <c r="AZ180" s="54">
        <v>0.55634836162360579</v>
      </c>
      <c r="BA180" s="54">
        <v>2.0998846691647932</v>
      </c>
      <c r="BC180" s="55">
        <v>2065.8425491751432</v>
      </c>
      <c r="BD180" s="55">
        <v>18880.544615034371</v>
      </c>
      <c r="BE180" s="55">
        <v>426900.88812740846</v>
      </c>
      <c r="BG180" s="54">
        <v>6.3664976331038119</v>
      </c>
      <c r="BH180" s="54">
        <v>6.6882965596759618</v>
      </c>
      <c r="BI180" s="54">
        <v>7.0212283259631718</v>
      </c>
      <c r="BJ180" s="54">
        <v>0.3004726929356677</v>
      </c>
      <c r="BK180" s="54">
        <v>0.80878427284412446</v>
      </c>
      <c r="BL180" s="54">
        <v>2.5540555984551321</v>
      </c>
      <c r="BN180" s="55">
        <v>3371.8032903538474</v>
      </c>
      <c r="BO180" s="55">
        <v>28646.567868890404</v>
      </c>
      <c r="BP180" s="55">
        <v>462062.1549414731</v>
      </c>
      <c r="BR180" s="54" t="s">
        <v>42</v>
      </c>
      <c r="BS180" s="54" t="s">
        <v>42</v>
      </c>
      <c r="BT180" s="54" t="s">
        <v>42</v>
      </c>
      <c r="BU180" s="54" t="s">
        <v>42</v>
      </c>
      <c r="BV180" s="54" t="s">
        <v>42</v>
      </c>
      <c r="BW180" s="54" t="s">
        <v>42</v>
      </c>
      <c r="BY180" s="54" t="s">
        <v>42</v>
      </c>
      <c r="BZ180" s="54" t="s">
        <v>42</v>
      </c>
      <c r="CA180" s="54" t="s">
        <v>42</v>
      </c>
      <c r="CC180">
        <v>363</v>
      </c>
      <c r="CD180">
        <v>148</v>
      </c>
    </row>
    <row r="181" spans="1:83" x14ac:dyDescent="0.2">
      <c r="A181">
        <v>364</v>
      </c>
      <c r="B181" t="s">
        <v>416</v>
      </c>
      <c r="C181" s="50" t="s">
        <v>137</v>
      </c>
      <c r="D181" s="50" t="s">
        <v>179</v>
      </c>
      <c r="E181" s="50" t="s">
        <v>42</v>
      </c>
      <c r="F181" s="50" t="s">
        <v>42</v>
      </c>
      <c r="G181" s="51" t="s">
        <v>42</v>
      </c>
      <c r="H181" s="51" t="s">
        <v>42</v>
      </c>
      <c r="I181" s="52">
        <v>16.3</v>
      </c>
      <c r="J181" s="52">
        <v>10</v>
      </c>
      <c r="K181" s="52" t="s">
        <v>42</v>
      </c>
      <c r="L181" s="52" t="s">
        <v>42</v>
      </c>
      <c r="M181" s="52">
        <v>40</v>
      </c>
      <c r="N181" s="52">
        <v>53</v>
      </c>
      <c r="O181" s="52">
        <v>65</v>
      </c>
      <c r="P181" s="52" t="s">
        <v>13</v>
      </c>
      <c r="Q181" s="52">
        <v>1</v>
      </c>
      <c r="R181" s="52">
        <v>0</v>
      </c>
      <c r="S181" s="52" t="s">
        <v>308</v>
      </c>
      <c r="T181" s="48">
        <v>125.74592503273237</v>
      </c>
      <c r="U181" s="48">
        <v>148</v>
      </c>
      <c r="V181" s="48">
        <v>148</v>
      </c>
      <c r="W181" s="48" t="s">
        <v>42</v>
      </c>
      <c r="X181" s="48" t="s">
        <v>42</v>
      </c>
      <c r="Y181" s="48" t="s">
        <v>42</v>
      </c>
      <c r="Z181" s="48" t="s">
        <v>42</v>
      </c>
      <c r="AB181" s="52" t="s">
        <v>470</v>
      </c>
      <c r="AC181" s="52">
        <v>6.6666666666666671E-3</v>
      </c>
      <c r="AD181" s="52">
        <v>0.02</v>
      </c>
      <c r="AE181" s="52">
        <v>3.3333333333333333E-2</v>
      </c>
      <c r="AF181" s="52">
        <v>0.69000000000000006</v>
      </c>
      <c r="AG181" s="52">
        <v>0.91</v>
      </c>
      <c r="AH181" s="52">
        <v>1.1300000000000001</v>
      </c>
      <c r="AI181" s="52">
        <v>52</v>
      </c>
      <c r="AJ181" s="52">
        <v>74</v>
      </c>
      <c r="AK181" s="52">
        <v>96</v>
      </c>
      <c r="AL181" s="52" t="s">
        <v>42</v>
      </c>
      <c r="AM181" s="52" t="s">
        <v>42</v>
      </c>
      <c r="AN181" s="52" t="s">
        <v>42</v>
      </c>
      <c r="AO181" s="53">
        <v>4.0180446668584341E-3</v>
      </c>
      <c r="AP181" s="53">
        <v>2.7181195239973244E-2</v>
      </c>
      <c r="AQ181" s="53">
        <v>8.8909817585784021E-2</v>
      </c>
      <c r="AR181" s="53" t="s">
        <v>42</v>
      </c>
      <c r="AS181" s="53" t="s">
        <v>42</v>
      </c>
      <c r="AT181" s="53" t="s">
        <v>42</v>
      </c>
      <c r="AV181" s="54" t="s">
        <v>42</v>
      </c>
      <c r="AW181" s="54" t="s">
        <v>42</v>
      </c>
      <c r="AX181" s="54" t="s">
        <v>42</v>
      </c>
      <c r="AY181" s="54" t="s">
        <v>42</v>
      </c>
      <c r="AZ181" s="54" t="s">
        <v>42</v>
      </c>
      <c r="BA181" s="54" t="s">
        <v>42</v>
      </c>
      <c r="BC181" s="55" t="s">
        <v>42</v>
      </c>
      <c r="BD181" s="55" t="s">
        <v>42</v>
      </c>
      <c r="BE181" s="55" t="s">
        <v>42</v>
      </c>
      <c r="BG181" s="54">
        <v>5.862564052676599</v>
      </c>
      <c r="BH181" s="54">
        <v>6.2024600730580888</v>
      </c>
      <c r="BI181" s="54">
        <v>6.5353918393452988</v>
      </c>
      <c r="BJ181" s="54">
        <v>0.16820473576081243</v>
      </c>
      <c r="BK181" s="54">
        <v>0.46228995230266468</v>
      </c>
      <c r="BL181" s="54">
        <v>1.4598630072715739</v>
      </c>
      <c r="BN181" s="55">
        <v>1891.8578434661758</v>
      </c>
      <c r="BO181" s="55">
        <v>17007.712435794994</v>
      </c>
      <c r="BP181" s="55">
        <v>363326.72439228726</v>
      </c>
      <c r="BR181" s="54" t="s">
        <v>42</v>
      </c>
      <c r="BS181" s="54" t="s">
        <v>42</v>
      </c>
      <c r="BT181" s="54" t="s">
        <v>42</v>
      </c>
      <c r="BU181" s="54" t="s">
        <v>42</v>
      </c>
      <c r="BV181" s="54" t="s">
        <v>42</v>
      </c>
      <c r="BW181" s="54" t="s">
        <v>42</v>
      </c>
      <c r="BY181" s="54" t="s">
        <v>42</v>
      </c>
      <c r="BZ181" s="54" t="s">
        <v>42</v>
      </c>
      <c r="CA181" s="54" t="s">
        <v>42</v>
      </c>
      <c r="CC181">
        <v>364</v>
      </c>
      <c r="CD181" t="s">
        <v>416</v>
      </c>
    </row>
    <row r="182" spans="1:83" x14ac:dyDescent="0.2">
      <c r="A182">
        <v>365</v>
      </c>
      <c r="B182" t="s">
        <v>416</v>
      </c>
      <c r="C182" s="50" t="s">
        <v>137</v>
      </c>
      <c r="D182" s="50" t="s">
        <v>180</v>
      </c>
      <c r="E182" s="50" t="s">
        <v>42</v>
      </c>
      <c r="F182" s="50" t="s">
        <v>42</v>
      </c>
      <c r="G182" s="51" t="s">
        <v>42</v>
      </c>
      <c r="H182" s="51" t="s">
        <v>42</v>
      </c>
      <c r="I182" s="52">
        <v>35.1</v>
      </c>
      <c r="J182" s="52">
        <v>153</v>
      </c>
      <c r="K182" s="52" t="s">
        <v>42</v>
      </c>
      <c r="L182" s="52" t="s">
        <v>42</v>
      </c>
      <c r="M182" s="52">
        <v>40</v>
      </c>
      <c r="N182" s="52">
        <v>53</v>
      </c>
      <c r="O182" s="52">
        <v>65</v>
      </c>
      <c r="P182" s="52" t="s">
        <v>10</v>
      </c>
      <c r="Q182" s="52">
        <v>1.5</v>
      </c>
      <c r="R182" s="52">
        <v>0</v>
      </c>
      <c r="S182" s="52" t="s">
        <v>211</v>
      </c>
      <c r="T182" s="48">
        <v>451.5367542234635</v>
      </c>
      <c r="U182" s="48">
        <v>658.49109990921761</v>
      </c>
      <c r="V182" s="48">
        <v>940.70157129888219</v>
      </c>
      <c r="W182" s="48" t="s">
        <v>42</v>
      </c>
      <c r="X182" s="48" t="s">
        <v>42</v>
      </c>
      <c r="Y182" s="48" t="s">
        <v>42</v>
      </c>
      <c r="Z182" s="48" t="s">
        <v>42</v>
      </c>
      <c r="AB182" s="52" t="s">
        <v>470</v>
      </c>
      <c r="AC182" s="52">
        <v>6.6666666666666671E-3</v>
      </c>
      <c r="AD182" s="52">
        <v>0.02</v>
      </c>
      <c r="AE182" s="52">
        <v>3.3333333333333333E-2</v>
      </c>
      <c r="AF182" s="52">
        <v>0.69000000000000006</v>
      </c>
      <c r="AG182" s="52">
        <v>0.91</v>
      </c>
      <c r="AH182" s="52">
        <v>1.1300000000000001</v>
      </c>
      <c r="AI182" s="52">
        <v>52</v>
      </c>
      <c r="AJ182" s="52">
        <v>74</v>
      </c>
      <c r="AK182" s="52">
        <v>96</v>
      </c>
      <c r="AL182" s="52" t="s">
        <v>42</v>
      </c>
      <c r="AM182" s="52" t="s">
        <v>42</v>
      </c>
      <c r="AN182" s="52" t="s">
        <v>42</v>
      </c>
      <c r="AO182" s="53">
        <v>5.0361106946242339E-3</v>
      </c>
      <c r="AP182" s="53">
        <v>2.9686222595732281E-2</v>
      </c>
      <c r="AQ182" s="53">
        <v>8.7489413631983717E-2</v>
      </c>
      <c r="AR182" s="53" t="s">
        <v>42</v>
      </c>
      <c r="AS182" s="53" t="s">
        <v>42</v>
      </c>
      <c r="AT182" s="53" t="s">
        <v>42</v>
      </c>
      <c r="AV182" s="54" t="s">
        <v>42</v>
      </c>
      <c r="AW182" s="54" t="s">
        <v>42</v>
      </c>
      <c r="AX182" s="54" t="s">
        <v>42</v>
      </c>
      <c r="AY182" s="54" t="s">
        <v>42</v>
      </c>
      <c r="AZ182" s="54" t="s">
        <v>42</v>
      </c>
      <c r="BA182" s="54" t="s">
        <v>42</v>
      </c>
      <c r="BC182" s="55" t="s">
        <v>42</v>
      </c>
      <c r="BD182" s="55" t="s">
        <v>42</v>
      </c>
      <c r="BE182" s="55" t="s">
        <v>42</v>
      </c>
      <c r="BG182" s="54">
        <v>6.4177632394463773</v>
      </c>
      <c r="BH182" s="54">
        <v>6.8507482671257991</v>
      </c>
      <c r="BI182" s="54">
        <v>7.3385819933987522</v>
      </c>
      <c r="BJ182" s="54">
        <v>0.31874091312581665</v>
      </c>
      <c r="BK182" s="54">
        <v>0.97512109415646953</v>
      </c>
      <c r="BL182" s="54">
        <v>3.6805030398987482</v>
      </c>
      <c r="BN182" s="55">
        <v>3643.1940722173699</v>
      </c>
      <c r="BO182" s="55">
        <v>32847.597602284834</v>
      </c>
      <c r="BP182" s="55">
        <v>730822.50630977575</v>
      </c>
      <c r="BR182" s="54" t="s">
        <v>42</v>
      </c>
      <c r="BS182" s="54" t="s">
        <v>42</v>
      </c>
      <c r="BT182" s="54" t="s">
        <v>42</v>
      </c>
      <c r="BU182" s="54" t="s">
        <v>42</v>
      </c>
      <c r="BV182" s="54" t="s">
        <v>42</v>
      </c>
      <c r="BW182" s="54" t="s">
        <v>42</v>
      </c>
      <c r="BY182" s="54" t="s">
        <v>42</v>
      </c>
      <c r="BZ182" s="54" t="s">
        <v>42</v>
      </c>
      <c r="CA182" s="54" t="s">
        <v>42</v>
      </c>
      <c r="CC182">
        <v>365</v>
      </c>
      <c r="CD182" t="s">
        <v>416</v>
      </c>
    </row>
    <row r="183" spans="1:83" x14ac:dyDescent="0.2">
      <c r="A183">
        <v>366</v>
      </c>
      <c r="B183">
        <v>149</v>
      </c>
      <c r="C183" s="50" t="s">
        <v>137</v>
      </c>
      <c r="D183" s="50" t="s">
        <v>212</v>
      </c>
      <c r="E183" s="50" t="s">
        <v>213</v>
      </c>
      <c r="F183" s="50" t="s">
        <v>42</v>
      </c>
      <c r="G183" s="51">
        <v>33.4</v>
      </c>
      <c r="H183" s="51">
        <v>181</v>
      </c>
      <c r="I183" s="52">
        <v>58.2</v>
      </c>
      <c r="J183" s="52">
        <v>172</v>
      </c>
      <c r="K183" s="52" t="s">
        <v>42</v>
      </c>
      <c r="L183" s="52" t="s">
        <v>42</v>
      </c>
      <c r="M183" s="52">
        <v>40</v>
      </c>
      <c r="N183" s="52">
        <v>53</v>
      </c>
      <c r="O183" s="52">
        <v>65</v>
      </c>
      <c r="P183" s="52" t="s">
        <v>9</v>
      </c>
      <c r="Q183" s="52">
        <v>1</v>
      </c>
      <c r="R183" s="52">
        <v>0</v>
      </c>
      <c r="S183" s="52" t="s">
        <v>211</v>
      </c>
      <c r="T183" s="48">
        <v>1048.8649041016208</v>
      </c>
      <c r="U183" s="48">
        <v>1529.5946518148637</v>
      </c>
      <c r="V183" s="48">
        <v>2185.1352168783769</v>
      </c>
      <c r="W183" s="48" t="s">
        <v>42</v>
      </c>
      <c r="X183" s="48" t="s">
        <v>42</v>
      </c>
      <c r="Y183" s="48" t="s">
        <v>42</v>
      </c>
      <c r="Z183" s="48" t="s">
        <v>42</v>
      </c>
      <c r="AB183" s="52" t="s">
        <v>470</v>
      </c>
      <c r="AC183" s="52">
        <v>6.6666666666666671E-3</v>
      </c>
      <c r="AD183" s="52">
        <v>0.02</v>
      </c>
      <c r="AE183" s="52">
        <v>3.3333333333333333E-2</v>
      </c>
      <c r="AF183" s="52">
        <v>0.69000000000000006</v>
      </c>
      <c r="AG183" s="52">
        <v>0.91</v>
      </c>
      <c r="AH183" s="52">
        <v>1.1300000000000001</v>
      </c>
      <c r="AI183" s="52">
        <v>52</v>
      </c>
      <c r="AJ183" s="52">
        <v>74</v>
      </c>
      <c r="AK183" s="52">
        <v>96</v>
      </c>
      <c r="AL183" s="53">
        <v>4.6666632136209306E-3</v>
      </c>
      <c r="AM183" s="53">
        <v>2.8920425527712269E-2</v>
      </c>
      <c r="AN183" s="53">
        <v>8.8787771436022636E-2</v>
      </c>
      <c r="AO183" s="53">
        <v>5.200373024296827E-3</v>
      </c>
      <c r="AP183" s="53">
        <v>2.9343538361224161E-2</v>
      </c>
      <c r="AQ183" s="53">
        <v>8.8259549178729607E-2</v>
      </c>
      <c r="AR183" s="53" t="s">
        <v>42</v>
      </c>
      <c r="AS183" s="53" t="s">
        <v>42</v>
      </c>
      <c r="AT183" s="53" t="s">
        <v>42</v>
      </c>
      <c r="AV183" s="54">
        <v>6.3551621566892793</v>
      </c>
      <c r="AW183" s="54">
        <v>6.7881471843687011</v>
      </c>
      <c r="AX183" s="54">
        <v>7.2759809106416542</v>
      </c>
      <c r="AY183" s="54">
        <v>0.30582332404844892</v>
      </c>
      <c r="AZ183" s="54">
        <v>0.93560243471780991</v>
      </c>
      <c r="BA183" s="54">
        <v>3.5313435692767632</v>
      </c>
      <c r="BC183" s="55">
        <v>3444.4306811869301</v>
      </c>
      <c r="BD183" s="55">
        <v>32350.922147438407</v>
      </c>
      <c r="BE183" s="55">
        <v>756717.0390547089</v>
      </c>
      <c r="BG183" s="54">
        <v>6.7837896864198184</v>
      </c>
      <c r="BH183" s="54">
        <v>7.2167747140992402</v>
      </c>
      <c r="BI183" s="54">
        <v>7.7046084403721933</v>
      </c>
      <c r="BJ183" s="54">
        <v>0.48579275768877522</v>
      </c>
      <c r="BK183" s="54">
        <v>1.4861812396947638</v>
      </c>
      <c r="BL183" s="54">
        <v>5.6094515884397014</v>
      </c>
      <c r="BN183" s="55">
        <v>5504.1382174411829</v>
      </c>
      <c r="BO183" s="55">
        <v>50647.649284813888</v>
      </c>
      <c r="BP183" s="55">
        <v>1078663.3116954507</v>
      </c>
      <c r="BR183" s="54" t="s">
        <v>42</v>
      </c>
      <c r="BS183" s="54" t="s">
        <v>42</v>
      </c>
      <c r="BT183" s="54" t="s">
        <v>42</v>
      </c>
      <c r="BU183" s="54" t="s">
        <v>42</v>
      </c>
      <c r="BV183" s="54" t="s">
        <v>42</v>
      </c>
      <c r="BW183" s="54" t="s">
        <v>42</v>
      </c>
      <c r="BY183" s="54" t="s">
        <v>42</v>
      </c>
      <c r="BZ183" s="54" t="s">
        <v>42</v>
      </c>
      <c r="CA183" s="54" t="s">
        <v>42</v>
      </c>
      <c r="CC183">
        <v>366</v>
      </c>
      <c r="CD183">
        <v>149</v>
      </c>
    </row>
    <row r="184" spans="1:83" x14ac:dyDescent="0.2">
      <c r="A184">
        <v>366</v>
      </c>
      <c r="B184">
        <v>150</v>
      </c>
      <c r="C184" s="50" t="s">
        <v>137</v>
      </c>
      <c r="D184" s="50" t="s">
        <v>212</v>
      </c>
      <c r="E184" s="50" t="s">
        <v>214</v>
      </c>
      <c r="F184" s="50" t="s">
        <v>42</v>
      </c>
      <c r="G184" s="51">
        <v>24.8</v>
      </c>
      <c r="H184" s="51">
        <v>161</v>
      </c>
      <c r="I184" s="52">
        <v>58.2</v>
      </c>
      <c r="J184" s="52">
        <v>172</v>
      </c>
      <c r="K184" s="52" t="s">
        <v>42</v>
      </c>
      <c r="L184" s="52" t="s">
        <v>42</v>
      </c>
      <c r="M184" s="52">
        <v>40</v>
      </c>
      <c r="N184" s="52">
        <v>53</v>
      </c>
      <c r="O184" s="52">
        <v>65</v>
      </c>
      <c r="P184" s="52" t="s">
        <v>9</v>
      </c>
      <c r="Q184" s="52">
        <v>1</v>
      </c>
      <c r="R184" s="52">
        <v>0</v>
      </c>
      <c r="S184" s="52" t="s">
        <v>211</v>
      </c>
      <c r="T184" s="48">
        <v>1048.8649041016208</v>
      </c>
      <c r="U184" s="48">
        <v>1529.5946518148637</v>
      </c>
      <c r="V184" s="48">
        <v>2185.1352168783769</v>
      </c>
      <c r="W184" s="48" t="s">
        <v>42</v>
      </c>
      <c r="X184" s="48" t="s">
        <v>42</v>
      </c>
      <c r="Y184" s="48" t="s">
        <v>42</v>
      </c>
      <c r="Z184" s="48" t="s">
        <v>42</v>
      </c>
      <c r="AB184" s="52" t="s">
        <v>470</v>
      </c>
      <c r="AC184" s="52">
        <v>6.6666666666666671E-3</v>
      </c>
      <c r="AD184" s="52">
        <v>0.02</v>
      </c>
      <c r="AE184" s="52">
        <v>3.3333333333333333E-2</v>
      </c>
      <c r="AF184" s="52">
        <v>0.69000000000000006</v>
      </c>
      <c r="AG184" s="52">
        <v>0.91</v>
      </c>
      <c r="AH184" s="52">
        <v>1.1300000000000001</v>
      </c>
      <c r="AI184" s="52">
        <v>52</v>
      </c>
      <c r="AJ184" s="52">
        <v>74</v>
      </c>
      <c r="AK184" s="52">
        <v>96</v>
      </c>
      <c r="AL184" s="53">
        <v>5.4422636412507479E-3</v>
      </c>
      <c r="AM184" s="53">
        <v>2.859423147294856E-2</v>
      </c>
      <c r="AN184" s="53">
        <v>8.9004780943820028E-2</v>
      </c>
      <c r="AO184" s="53">
        <v>5.200373024296827E-3</v>
      </c>
      <c r="AP184" s="53">
        <v>2.9343538361224161E-2</v>
      </c>
      <c r="AQ184" s="53">
        <v>8.8259549178729607E-2</v>
      </c>
      <c r="AR184" s="53" t="s">
        <v>42</v>
      </c>
      <c r="AS184" s="53" t="s">
        <v>42</v>
      </c>
      <c r="AT184" s="53" t="s">
        <v>42</v>
      </c>
      <c r="AV184" s="54">
        <v>6.1396708467136962</v>
      </c>
      <c r="AW184" s="54">
        <v>6.572655874393118</v>
      </c>
      <c r="AX184" s="54">
        <v>7.0604896006660711</v>
      </c>
      <c r="AY184" s="54">
        <v>0.2386299495543811</v>
      </c>
      <c r="AZ184" s="54">
        <v>0.73003837262686211</v>
      </c>
      <c r="BA184" s="54">
        <v>2.7554613122385816</v>
      </c>
      <c r="BC184" s="55">
        <v>2681.0913641257625</v>
      </c>
      <c r="BD184" s="55">
        <v>25530.966737732106</v>
      </c>
      <c r="BE184" s="55">
        <v>506307.94350957207</v>
      </c>
      <c r="BG184" s="54">
        <v>6.7837896864198184</v>
      </c>
      <c r="BH184" s="54">
        <v>7.2167747140992402</v>
      </c>
      <c r="BI184" s="54">
        <v>7.7046084403721933</v>
      </c>
      <c r="BJ184" s="54">
        <v>0.48579275768877522</v>
      </c>
      <c r="BK184" s="54">
        <v>1.4861812396947638</v>
      </c>
      <c r="BL184" s="54">
        <v>5.6094515884397014</v>
      </c>
      <c r="BN184" s="55">
        <v>5504.1382174411829</v>
      </c>
      <c r="BO184" s="55">
        <v>50647.649284813888</v>
      </c>
      <c r="BP184" s="55">
        <v>1078663.3116954507</v>
      </c>
      <c r="BR184" s="54" t="s">
        <v>42</v>
      </c>
      <c r="BS184" s="54" t="s">
        <v>42</v>
      </c>
      <c r="BT184" s="54" t="s">
        <v>42</v>
      </c>
      <c r="BU184" s="54" t="s">
        <v>42</v>
      </c>
      <c r="BV184" s="54" t="s">
        <v>42</v>
      </c>
      <c r="BW184" s="54" t="s">
        <v>42</v>
      </c>
      <c r="BY184" s="54" t="s">
        <v>42</v>
      </c>
      <c r="BZ184" s="54" t="s">
        <v>42</v>
      </c>
      <c r="CA184" s="54" t="s">
        <v>42</v>
      </c>
      <c r="CC184">
        <v>366</v>
      </c>
      <c r="CD184">
        <v>150</v>
      </c>
    </row>
    <row r="185" spans="1:83" x14ac:dyDescent="0.2">
      <c r="A185">
        <v>367</v>
      </c>
      <c r="B185" t="s">
        <v>416</v>
      </c>
      <c r="C185" s="11" t="s">
        <v>135</v>
      </c>
      <c r="D185" s="11" t="s">
        <v>96</v>
      </c>
      <c r="E185" s="11" t="s">
        <v>42</v>
      </c>
      <c r="F185" s="91" t="s">
        <v>42</v>
      </c>
      <c r="G185" s="78" t="s">
        <v>42</v>
      </c>
      <c r="H185" s="78" t="s">
        <v>42</v>
      </c>
      <c r="I185" s="79">
        <v>21.1</v>
      </c>
      <c r="J185" s="79">
        <v>200</v>
      </c>
      <c r="K185" s="79" t="s">
        <v>42</v>
      </c>
      <c r="L185" s="79" t="s">
        <v>42</v>
      </c>
      <c r="M185" s="79">
        <v>40</v>
      </c>
      <c r="N185" s="79">
        <v>53</v>
      </c>
      <c r="O185" s="79">
        <v>65</v>
      </c>
      <c r="P185" s="79" t="s">
        <v>9</v>
      </c>
      <c r="Q185" s="79">
        <v>0</v>
      </c>
      <c r="R185" s="79">
        <v>0</v>
      </c>
      <c r="S185" s="79" t="s">
        <v>211</v>
      </c>
      <c r="T185" s="80">
        <v>193.33864544424907</v>
      </c>
      <c r="U185" s="80">
        <v>281.95219127286316</v>
      </c>
      <c r="V185" s="80">
        <v>402.78884467551882</v>
      </c>
      <c r="W185" s="80" t="s">
        <v>42</v>
      </c>
      <c r="X185" s="80" t="s">
        <v>42</v>
      </c>
      <c r="Y185" s="80" t="s">
        <v>42</v>
      </c>
      <c r="Z185" s="80" t="s">
        <v>42</v>
      </c>
      <c r="AB185" s="79" t="s">
        <v>470</v>
      </c>
      <c r="AC185" s="79">
        <v>8.3333333333333332E-3</v>
      </c>
      <c r="AD185" s="79">
        <v>2.4999999999999998E-2</v>
      </c>
      <c r="AE185" s="79">
        <v>4.1666666666666664E-2</v>
      </c>
      <c r="AF185" s="79">
        <v>0.81</v>
      </c>
      <c r="AG185" s="79">
        <v>1.1100000000000001</v>
      </c>
      <c r="AH185" s="79">
        <v>1.4100000000000001</v>
      </c>
      <c r="AI185" s="79">
        <v>59</v>
      </c>
      <c r="AJ185" s="79">
        <v>76</v>
      </c>
      <c r="AK185" s="79">
        <v>93</v>
      </c>
      <c r="AL185" s="79" t="s">
        <v>42</v>
      </c>
      <c r="AM185" s="79" t="s">
        <v>42</v>
      </c>
      <c r="AN185" s="79" t="s">
        <v>42</v>
      </c>
      <c r="AO185" s="81">
        <v>5.5452561241628139E-3</v>
      </c>
      <c r="AP185" s="81">
        <v>3.8227348526309567E-2</v>
      </c>
      <c r="AQ185" s="81">
        <v>0.13294007736773988</v>
      </c>
      <c r="AR185" s="81" t="s">
        <v>42</v>
      </c>
      <c r="AS185" s="81" t="s">
        <v>42</v>
      </c>
      <c r="AT185" s="81" t="s">
        <v>42</v>
      </c>
      <c r="AV185" s="82" t="s">
        <v>42</v>
      </c>
      <c r="AW185" s="82" t="s">
        <v>42</v>
      </c>
      <c r="AX185" s="82" t="s">
        <v>42</v>
      </c>
      <c r="AY185" s="82" t="s">
        <v>42</v>
      </c>
      <c r="AZ185" s="82" t="s">
        <v>42</v>
      </c>
      <c r="BA185" s="82" t="s">
        <v>42</v>
      </c>
      <c r="BC185" s="92" t="s">
        <v>42</v>
      </c>
      <c r="BD185" s="92" t="s">
        <v>42</v>
      </c>
      <c r="BE185" s="92" t="s">
        <v>42</v>
      </c>
      <c r="BG185" s="82">
        <v>6.0493888041661563</v>
      </c>
      <c r="BH185" s="82">
        <v>6.4823738318455808</v>
      </c>
      <c r="BI185" s="82">
        <v>6.9702075581185339</v>
      </c>
      <c r="BJ185" s="82">
        <v>0.20856940145897709</v>
      </c>
      <c r="BK185" s="82">
        <v>0.63807441901240247</v>
      </c>
      <c r="BL185" s="22">
        <v>2.4083520015411968</v>
      </c>
      <c r="BN185" s="18">
        <v>1568.8978492319573</v>
      </c>
      <c r="BO185" s="18">
        <v>16691.568827308402</v>
      </c>
      <c r="BP185" s="18">
        <v>434308.52382941893</v>
      </c>
      <c r="BR185" s="22" t="s">
        <v>42</v>
      </c>
      <c r="BS185" s="22" t="s">
        <v>42</v>
      </c>
      <c r="BT185" s="22" t="s">
        <v>42</v>
      </c>
      <c r="BU185" s="22" t="s">
        <v>42</v>
      </c>
      <c r="BV185" s="22" t="s">
        <v>42</v>
      </c>
      <c r="BW185" s="22" t="s">
        <v>42</v>
      </c>
      <c r="BY185" s="22" t="s">
        <v>42</v>
      </c>
      <c r="BZ185" s="22" t="s">
        <v>42</v>
      </c>
      <c r="CA185" s="22" t="s">
        <v>42</v>
      </c>
      <c r="CC185">
        <v>367</v>
      </c>
      <c r="CD185" t="s">
        <v>416</v>
      </c>
    </row>
    <row r="186" spans="1:83" x14ac:dyDescent="0.2">
      <c r="A186">
        <v>368</v>
      </c>
      <c r="B186">
        <v>151</v>
      </c>
      <c r="C186" s="11" t="s">
        <v>135</v>
      </c>
      <c r="D186" s="11" t="s">
        <v>204</v>
      </c>
      <c r="E186" s="11" t="s">
        <v>205</v>
      </c>
      <c r="F186" s="91" t="s">
        <v>42</v>
      </c>
      <c r="G186" s="78">
        <v>17</v>
      </c>
      <c r="H186" s="78">
        <v>208</v>
      </c>
      <c r="I186" s="79">
        <v>37.199999999999996</v>
      </c>
      <c r="J186" s="79">
        <v>195</v>
      </c>
      <c r="K186" s="79" t="s">
        <v>42</v>
      </c>
      <c r="L186" s="79" t="s">
        <v>42</v>
      </c>
      <c r="M186" s="79">
        <v>40</v>
      </c>
      <c r="N186" s="79">
        <v>53</v>
      </c>
      <c r="O186" s="79">
        <v>65</v>
      </c>
      <c r="P186" s="79" t="s">
        <v>9</v>
      </c>
      <c r="Q186" s="79">
        <v>0</v>
      </c>
      <c r="R186" s="79">
        <v>0</v>
      </c>
      <c r="S186" s="79" t="s">
        <v>211</v>
      </c>
      <c r="T186" s="80">
        <v>497.4538684633643</v>
      </c>
      <c r="U186" s="80">
        <v>725.45355817573966</v>
      </c>
      <c r="V186" s="80">
        <v>1036.3622259653423</v>
      </c>
      <c r="W186" s="80" t="s">
        <v>42</v>
      </c>
      <c r="X186" s="80" t="s">
        <v>42</v>
      </c>
      <c r="Y186" s="80" t="s">
        <v>42</v>
      </c>
      <c r="Z186" s="80" t="s">
        <v>42</v>
      </c>
      <c r="AB186" s="79" t="s">
        <v>470</v>
      </c>
      <c r="AC186" s="79">
        <v>8.3333333333333332E-3</v>
      </c>
      <c r="AD186" s="79">
        <v>2.4999999999999998E-2</v>
      </c>
      <c r="AE186" s="79">
        <v>4.1666666666666664E-2</v>
      </c>
      <c r="AF186" s="79">
        <v>0.81</v>
      </c>
      <c r="AG186" s="79">
        <v>1.1100000000000001</v>
      </c>
      <c r="AH186" s="79">
        <v>1.4100000000000001</v>
      </c>
      <c r="AI186" s="79">
        <v>59</v>
      </c>
      <c r="AJ186" s="79">
        <v>76</v>
      </c>
      <c r="AK186" s="79">
        <v>93</v>
      </c>
      <c r="AL186" s="81">
        <v>4.5382575865809318E-3</v>
      </c>
      <c r="AM186" s="81">
        <v>3.4266789816889444E-2</v>
      </c>
      <c r="AN186" s="81">
        <v>0.12598978157993659</v>
      </c>
      <c r="AO186" s="81">
        <v>6.1209816776517873E-3</v>
      </c>
      <c r="AP186" s="81">
        <v>4.0329164177389194E-2</v>
      </c>
      <c r="AQ186" s="81">
        <v>0.13597654608302251</v>
      </c>
      <c r="AR186" s="81" t="s">
        <v>42</v>
      </c>
      <c r="AS186" s="81" t="s">
        <v>42</v>
      </c>
      <c r="AT186" s="81" t="s">
        <v>42</v>
      </c>
      <c r="AV186" s="82">
        <v>5.8663329143004619</v>
      </c>
      <c r="AW186" s="82">
        <v>6.2993179419798837</v>
      </c>
      <c r="AX186" s="82">
        <v>6.7871516682528368</v>
      </c>
      <c r="AY186" s="82">
        <v>0.17420314174756438</v>
      </c>
      <c r="AZ186" s="82">
        <v>0.53293804212491247</v>
      </c>
      <c r="BA186" s="82">
        <v>2.0115246156326969</v>
      </c>
      <c r="BC186" s="92">
        <v>1382.6767501540426</v>
      </c>
      <c r="BD186" s="92">
        <v>15552.610704789089</v>
      </c>
      <c r="BE186" s="92">
        <v>443237.20662761125</v>
      </c>
      <c r="BG186" s="82">
        <v>6.4598229451398339</v>
      </c>
      <c r="BH186" s="82">
        <v>6.8928079728192557</v>
      </c>
      <c r="BI186" s="82">
        <v>7.3806416990922088</v>
      </c>
      <c r="BJ186" s="82">
        <v>0.33455510817241624</v>
      </c>
      <c r="BK186" s="82">
        <v>1.0235013131431578</v>
      </c>
      <c r="BL186" s="22">
        <v>3.8631096352421794</v>
      </c>
      <c r="BN186" s="18">
        <v>2460.3883376192584</v>
      </c>
      <c r="BO186" s="18">
        <v>25378.688946819049</v>
      </c>
      <c r="BP186" s="18">
        <v>631125.82894124871</v>
      </c>
      <c r="BR186" s="22" t="s">
        <v>42</v>
      </c>
      <c r="BS186" s="22" t="s">
        <v>42</v>
      </c>
      <c r="BT186" s="22" t="s">
        <v>42</v>
      </c>
      <c r="BU186" s="22" t="s">
        <v>42</v>
      </c>
      <c r="BV186" s="22" t="s">
        <v>42</v>
      </c>
      <c r="BW186" s="22" t="s">
        <v>42</v>
      </c>
      <c r="BY186" s="22" t="s">
        <v>42</v>
      </c>
      <c r="BZ186" s="22" t="s">
        <v>42</v>
      </c>
      <c r="CA186" s="22" t="s">
        <v>42</v>
      </c>
      <c r="CC186">
        <v>368</v>
      </c>
      <c r="CD186">
        <v>151</v>
      </c>
    </row>
    <row r="187" spans="1:83" x14ac:dyDescent="0.2">
      <c r="A187">
        <v>368</v>
      </c>
      <c r="B187">
        <v>152</v>
      </c>
      <c r="C187" s="11" t="s">
        <v>135</v>
      </c>
      <c r="D187" s="11" t="s">
        <v>204</v>
      </c>
      <c r="E187" s="11" t="s">
        <v>206</v>
      </c>
      <c r="F187" s="91" t="s">
        <v>42</v>
      </c>
      <c r="G187" s="78">
        <v>2.4</v>
      </c>
      <c r="H187" s="78">
        <v>145</v>
      </c>
      <c r="I187" s="79">
        <v>37.199999999999996</v>
      </c>
      <c r="J187" s="79">
        <v>195</v>
      </c>
      <c r="K187" s="79" t="s">
        <v>42</v>
      </c>
      <c r="L187" s="79" t="s">
        <v>42</v>
      </c>
      <c r="M187" s="79">
        <v>40</v>
      </c>
      <c r="N187" s="79">
        <v>53</v>
      </c>
      <c r="O187" s="79">
        <v>65</v>
      </c>
      <c r="P187" s="79" t="s">
        <v>9</v>
      </c>
      <c r="Q187" s="79">
        <v>0</v>
      </c>
      <c r="R187" s="79">
        <v>0</v>
      </c>
      <c r="S187" s="79" t="s">
        <v>211</v>
      </c>
      <c r="T187" s="80">
        <v>497.4538684633643</v>
      </c>
      <c r="U187" s="80">
        <v>725.45355817573966</v>
      </c>
      <c r="V187" s="80">
        <v>1036.3622259653423</v>
      </c>
      <c r="W187" s="80" t="s">
        <v>42</v>
      </c>
      <c r="X187" s="80" t="s">
        <v>42</v>
      </c>
      <c r="Y187" s="80" t="s">
        <v>42</v>
      </c>
      <c r="Z187" s="80" t="s">
        <v>42</v>
      </c>
      <c r="AB187" s="79" t="s">
        <v>470</v>
      </c>
      <c r="AC187" s="79">
        <v>8.3333333333333332E-3</v>
      </c>
      <c r="AD187" s="79">
        <v>2.4999999999999998E-2</v>
      </c>
      <c r="AE187" s="79">
        <v>4.1666666666666664E-2</v>
      </c>
      <c r="AF187" s="79">
        <v>0.81</v>
      </c>
      <c r="AG187" s="79">
        <v>1.1100000000000001</v>
      </c>
      <c r="AH187" s="79">
        <v>1.4100000000000001</v>
      </c>
      <c r="AI187" s="79">
        <v>59</v>
      </c>
      <c r="AJ187" s="79">
        <v>76</v>
      </c>
      <c r="AK187" s="79">
        <v>93</v>
      </c>
      <c r="AL187" s="79" t="s">
        <v>42</v>
      </c>
      <c r="AM187" s="79" t="s">
        <v>42</v>
      </c>
      <c r="AN187" s="79" t="s">
        <v>42</v>
      </c>
      <c r="AO187" s="81">
        <v>6.1209816776517873E-3</v>
      </c>
      <c r="AP187" s="81">
        <v>4.0329164177389194E-2</v>
      </c>
      <c r="AQ187" s="81">
        <v>0.13597654608302251</v>
      </c>
      <c r="AR187" s="81" t="s">
        <v>42</v>
      </c>
      <c r="AS187" s="81" t="s">
        <v>42</v>
      </c>
      <c r="AT187" s="81" t="s">
        <v>42</v>
      </c>
      <c r="AV187" s="82" t="s">
        <v>42</v>
      </c>
      <c r="AW187" s="82" t="s">
        <v>42</v>
      </c>
      <c r="AX187" s="82" t="s">
        <v>42</v>
      </c>
      <c r="AY187" s="82" t="s">
        <v>42</v>
      </c>
      <c r="AZ187" s="82" t="s">
        <v>42</v>
      </c>
      <c r="BA187" s="82" t="s">
        <v>42</v>
      </c>
      <c r="BC187" s="92" t="s">
        <v>42</v>
      </c>
      <c r="BD187" s="92" t="s">
        <v>42</v>
      </c>
      <c r="BE187" s="92" t="s">
        <v>42</v>
      </c>
      <c r="BG187" s="82">
        <v>6.4598229451398339</v>
      </c>
      <c r="BH187" s="82">
        <v>6.8928079728192557</v>
      </c>
      <c r="BI187" s="82">
        <v>7.3806416990922088</v>
      </c>
      <c r="BJ187" s="82">
        <v>0.33455510817241624</v>
      </c>
      <c r="BK187" s="82">
        <v>1.0235013131431578</v>
      </c>
      <c r="BL187" s="22">
        <v>3.8631096352421794</v>
      </c>
      <c r="BN187" s="18">
        <v>2460.3883376192584</v>
      </c>
      <c r="BO187" s="18">
        <v>25378.688946819049</v>
      </c>
      <c r="BP187" s="18">
        <v>631125.82894124871</v>
      </c>
      <c r="BR187" s="22" t="s">
        <v>42</v>
      </c>
      <c r="BS187" s="22" t="s">
        <v>42</v>
      </c>
      <c r="BT187" s="22" t="s">
        <v>42</v>
      </c>
      <c r="BU187" s="22" t="s">
        <v>42</v>
      </c>
      <c r="BV187" s="22" t="s">
        <v>42</v>
      </c>
      <c r="BW187" s="22" t="s">
        <v>42</v>
      </c>
      <c r="BY187" s="22" t="s">
        <v>42</v>
      </c>
      <c r="BZ187" s="22" t="s">
        <v>42</v>
      </c>
      <c r="CA187" s="22" t="s">
        <v>42</v>
      </c>
      <c r="CC187">
        <v>368</v>
      </c>
      <c r="CD187">
        <v>152</v>
      </c>
    </row>
    <row r="188" spans="1:83" x14ac:dyDescent="0.2">
      <c r="A188">
        <v>368</v>
      </c>
      <c r="B188">
        <v>153</v>
      </c>
      <c r="C188" s="11" t="s">
        <v>135</v>
      </c>
      <c r="D188" s="11" t="s">
        <v>204</v>
      </c>
      <c r="E188" s="11" t="s">
        <v>207</v>
      </c>
      <c r="F188" s="91" t="s">
        <v>42</v>
      </c>
      <c r="G188" s="78">
        <v>11.7</v>
      </c>
      <c r="H188" s="78">
        <v>209</v>
      </c>
      <c r="I188" s="79">
        <v>37.199999999999996</v>
      </c>
      <c r="J188" s="79">
        <v>195</v>
      </c>
      <c r="K188" s="79" t="s">
        <v>42</v>
      </c>
      <c r="L188" s="79" t="s">
        <v>42</v>
      </c>
      <c r="M188" s="79">
        <v>40</v>
      </c>
      <c r="N188" s="79">
        <v>53</v>
      </c>
      <c r="O188" s="79">
        <v>65</v>
      </c>
      <c r="P188" s="79" t="s">
        <v>9</v>
      </c>
      <c r="Q188" s="79">
        <v>0</v>
      </c>
      <c r="R188" s="79">
        <v>0</v>
      </c>
      <c r="S188" s="79" t="s">
        <v>211</v>
      </c>
      <c r="T188" s="80">
        <v>497.4538684633643</v>
      </c>
      <c r="U188" s="80">
        <v>725.45355817573966</v>
      </c>
      <c r="V188" s="80">
        <v>1036.3622259653423</v>
      </c>
      <c r="W188" s="80" t="s">
        <v>42</v>
      </c>
      <c r="X188" s="80" t="s">
        <v>42</v>
      </c>
      <c r="Y188" s="80" t="s">
        <v>42</v>
      </c>
      <c r="Z188" s="80" t="s">
        <v>42</v>
      </c>
      <c r="AB188" s="79" t="s">
        <v>470</v>
      </c>
      <c r="AC188" s="79">
        <v>8.3333333333333332E-3</v>
      </c>
      <c r="AD188" s="79">
        <v>2.4999999999999998E-2</v>
      </c>
      <c r="AE188" s="79">
        <v>4.1666666666666664E-2</v>
      </c>
      <c r="AF188" s="79">
        <v>0.81</v>
      </c>
      <c r="AG188" s="79">
        <v>1.1100000000000001</v>
      </c>
      <c r="AH188" s="79">
        <v>1.4100000000000001</v>
      </c>
      <c r="AI188" s="79">
        <v>59</v>
      </c>
      <c r="AJ188" s="79">
        <v>76</v>
      </c>
      <c r="AK188" s="79">
        <v>93</v>
      </c>
      <c r="AL188" s="81">
        <v>4.4057496014964443E-3</v>
      </c>
      <c r="AM188" s="81">
        <v>3.3723095036137782E-2</v>
      </c>
      <c r="AN188" s="81">
        <v>0.12494526384776633</v>
      </c>
      <c r="AO188" s="81">
        <v>6.1209816776517873E-3</v>
      </c>
      <c r="AP188" s="81">
        <v>4.0329164177389194E-2</v>
      </c>
      <c r="AQ188" s="81">
        <v>0.13597654608302251</v>
      </c>
      <c r="AR188" s="81" t="s">
        <v>42</v>
      </c>
      <c r="AS188" s="81" t="s">
        <v>42</v>
      </c>
      <c r="AT188" s="81" t="s">
        <v>42</v>
      </c>
      <c r="AV188" s="82">
        <v>5.5958944815802738</v>
      </c>
      <c r="AW188" s="82">
        <v>6.0288795092596956</v>
      </c>
      <c r="AX188" s="82">
        <v>6.5167132355326487</v>
      </c>
      <c r="AY188" s="82">
        <v>0.12759591389977895</v>
      </c>
      <c r="AZ188" s="82">
        <v>0.39035298591472023</v>
      </c>
      <c r="BA188" s="82">
        <v>1.4733507047506753</v>
      </c>
      <c r="BC188" s="92">
        <v>1021.2144900125401</v>
      </c>
      <c r="BD188" s="92">
        <v>11575.241996513567</v>
      </c>
      <c r="BE188" s="92">
        <v>334415.44300435076</v>
      </c>
      <c r="BG188" s="82">
        <v>6.4598229451398339</v>
      </c>
      <c r="BH188" s="82">
        <v>6.8928079728192557</v>
      </c>
      <c r="BI188" s="82">
        <v>7.3806416990922088</v>
      </c>
      <c r="BJ188" s="82">
        <v>0.33455510817241624</v>
      </c>
      <c r="BK188" s="82">
        <v>1.0235013131431578</v>
      </c>
      <c r="BL188" s="22">
        <v>3.8631096352421794</v>
      </c>
      <c r="BN188" s="18">
        <v>2460.3883376192584</v>
      </c>
      <c r="BO188" s="18">
        <v>25378.688946819049</v>
      </c>
      <c r="BP188" s="18">
        <v>631125.82894124871</v>
      </c>
      <c r="BR188" s="22" t="s">
        <v>42</v>
      </c>
      <c r="BS188" s="22" t="s">
        <v>42</v>
      </c>
      <c r="BT188" s="22" t="s">
        <v>42</v>
      </c>
      <c r="BU188" s="22" t="s">
        <v>42</v>
      </c>
      <c r="BV188" s="22" t="s">
        <v>42</v>
      </c>
      <c r="BW188" s="22" t="s">
        <v>42</v>
      </c>
      <c r="BY188" s="22" t="s">
        <v>42</v>
      </c>
      <c r="BZ188" s="22" t="s">
        <v>42</v>
      </c>
      <c r="CA188" s="22" t="s">
        <v>42</v>
      </c>
      <c r="CC188">
        <v>368</v>
      </c>
      <c r="CD188">
        <v>153</v>
      </c>
    </row>
    <row r="189" spans="1:83" x14ac:dyDescent="0.2">
      <c r="A189">
        <v>368</v>
      </c>
      <c r="B189">
        <v>154</v>
      </c>
      <c r="C189" s="11" t="s">
        <v>135</v>
      </c>
      <c r="D189" s="11" t="s">
        <v>204</v>
      </c>
      <c r="E189" s="11" t="s">
        <v>208</v>
      </c>
      <c r="F189" s="91" t="s">
        <v>42</v>
      </c>
      <c r="G189" s="78">
        <v>6.1</v>
      </c>
      <c r="H189" s="78">
        <v>145</v>
      </c>
      <c r="I189" s="79">
        <v>37.199999999999996</v>
      </c>
      <c r="J189" s="79">
        <v>195</v>
      </c>
      <c r="K189" s="79" t="s">
        <v>42</v>
      </c>
      <c r="L189" s="79" t="s">
        <v>42</v>
      </c>
      <c r="M189" s="79">
        <v>40</v>
      </c>
      <c r="N189" s="79">
        <v>53</v>
      </c>
      <c r="O189" s="79">
        <v>65</v>
      </c>
      <c r="P189" s="79" t="s">
        <v>9</v>
      </c>
      <c r="Q189" s="79">
        <v>0</v>
      </c>
      <c r="R189" s="79">
        <v>0</v>
      </c>
      <c r="S189" s="79" t="s">
        <v>211</v>
      </c>
      <c r="T189" s="80">
        <v>497.4538684633643</v>
      </c>
      <c r="U189" s="80">
        <v>725.45355817573966</v>
      </c>
      <c r="V189" s="80">
        <v>1036.3622259653423</v>
      </c>
      <c r="W189" s="80" t="s">
        <v>42</v>
      </c>
      <c r="X189" s="80" t="s">
        <v>42</v>
      </c>
      <c r="Y189" s="80" t="s">
        <v>42</v>
      </c>
      <c r="Z189" s="80" t="s">
        <v>42</v>
      </c>
      <c r="AB189" s="79" t="s">
        <v>470</v>
      </c>
      <c r="AC189" s="79">
        <v>8.3333333333333332E-3</v>
      </c>
      <c r="AD189" s="79">
        <v>2.4999999999999998E-2</v>
      </c>
      <c r="AE189" s="79">
        <v>4.1666666666666664E-2</v>
      </c>
      <c r="AF189" s="79">
        <v>0.81</v>
      </c>
      <c r="AG189" s="79">
        <v>1.1100000000000001</v>
      </c>
      <c r="AH189" s="79">
        <v>1.4100000000000001</v>
      </c>
      <c r="AI189" s="79">
        <v>59</v>
      </c>
      <c r="AJ189" s="79">
        <v>76</v>
      </c>
      <c r="AK189" s="79">
        <v>93</v>
      </c>
      <c r="AL189" s="81">
        <v>6.9435561273554491E-3</v>
      </c>
      <c r="AM189" s="81">
        <v>4.3047873247843454E-2</v>
      </c>
      <c r="AN189" s="81">
        <v>0.13867571105747287</v>
      </c>
      <c r="AO189" s="81">
        <v>6.1209816776517873E-3</v>
      </c>
      <c r="AP189" s="81">
        <v>4.0329164177389194E-2</v>
      </c>
      <c r="AQ189" s="81">
        <v>0.13597654608302251</v>
      </c>
      <c r="AR189" s="81" t="s">
        <v>42</v>
      </c>
      <c r="AS189" s="81" t="s">
        <v>42</v>
      </c>
      <c r="AT189" s="81" t="s">
        <v>42</v>
      </c>
      <c r="AV189" s="82">
        <v>5.1244677703546158</v>
      </c>
      <c r="AW189" s="82">
        <v>5.5574527980340376</v>
      </c>
      <c r="AX189" s="82">
        <v>6.0452865243069906</v>
      </c>
      <c r="AY189" s="82">
        <v>7.4152092559677169E-2</v>
      </c>
      <c r="AZ189" s="82">
        <v>0.22685280318012502</v>
      </c>
      <c r="BA189" s="82">
        <v>0.85623461200607343</v>
      </c>
      <c r="BC189" s="92">
        <v>534.71579120979243</v>
      </c>
      <c r="BD189" s="92">
        <v>5269.7795748013996</v>
      </c>
      <c r="BE189" s="92">
        <v>123313.55811077492</v>
      </c>
      <c r="BG189" s="82">
        <v>6.4598229451398339</v>
      </c>
      <c r="BH189" s="82">
        <v>6.8928079728192557</v>
      </c>
      <c r="BI189" s="82">
        <v>7.3806416990922088</v>
      </c>
      <c r="BJ189" s="82">
        <v>0.33455510817241624</v>
      </c>
      <c r="BK189" s="82">
        <v>1.0235013131431578</v>
      </c>
      <c r="BL189" s="22">
        <v>3.8631096352421794</v>
      </c>
      <c r="BN189" s="18">
        <v>2460.3883376192584</v>
      </c>
      <c r="BO189" s="18">
        <v>25378.688946819049</v>
      </c>
      <c r="BP189" s="18">
        <v>631125.82894124871</v>
      </c>
      <c r="BR189" s="22" t="s">
        <v>42</v>
      </c>
      <c r="BS189" s="22" t="s">
        <v>42</v>
      </c>
      <c r="BT189" s="22" t="s">
        <v>42</v>
      </c>
      <c r="BU189" s="22" t="s">
        <v>42</v>
      </c>
      <c r="BV189" s="22" t="s">
        <v>42</v>
      </c>
      <c r="BW189" s="22" t="s">
        <v>42</v>
      </c>
      <c r="BY189" s="22" t="s">
        <v>42</v>
      </c>
      <c r="BZ189" s="22" t="s">
        <v>42</v>
      </c>
      <c r="CA189" s="22" t="s">
        <v>42</v>
      </c>
      <c r="CC189">
        <v>368</v>
      </c>
      <c r="CD189">
        <v>154</v>
      </c>
    </row>
    <row r="190" spans="1:83" x14ac:dyDescent="0.2">
      <c r="A190">
        <v>369</v>
      </c>
      <c r="B190">
        <v>155</v>
      </c>
      <c r="C190" s="11" t="s">
        <v>135</v>
      </c>
      <c r="D190" s="11" t="s">
        <v>219</v>
      </c>
      <c r="E190" s="11" t="s">
        <v>164</v>
      </c>
      <c r="F190" s="91" t="s">
        <v>136</v>
      </c>
      <c r="G190" s="78">
        <v>50.9</v>
      </c>
      <c r="H190" s="78">
        <v>340</v>
      </c>
      <c r="I190" s="79">
        <v>120.9</v>
      </c>
      <c r="J190" s="79">
        <v>347</v>
      </c>
      <c r="K190" s="79">
        <v>214.20000000000002</v>
      </c>
      <c r="L190" s="79">
        <v>2</v>
      </c>
      <c r="M190" s="79">
        <v>40</v>
      </c>
      <c r="N190" s="79">
        <v>53</v>
      </c>
      <c r="O190" s="79">
        <v>65</v>
      </c>
      <c r="P190" s="79" t="s">
        <v>13</v>
      </c>
      <c r="Q190" s="79">
        <v>0</v>
      </c>
      <c r="R190" s="79">
        <v>0</v>
      </c>
      <c r="S190" s="79" t="s">
        <v>211</v>
      </c>
      <c r="T190" s="80">
        <v>3547.2495924485843</v>
      </c>
      <c r="U190" s="80">
        <v>5173.0723223208506</v>
      </c>
      <c r="V190" s="80">
        <v>5298.4120374880695</v>
      </c>
      <c r="W190" s="80" t="s">
        <v>308</v>
      </c>
      <c r="X190" s="80">
        <v>6913.377755197529</v>
      </c>
      <c r="Y190" s="80">
        <v>8077.6538210014196</v>
      </c>
      <c r="Z190" s="80">
        <v>8237.248087318043</v>
      </c>
      <c r="AB190" s="79" t="s">
        <v>471</v>
      </c>
      <c r="AC190" s="79">
        <v>0.5</v>
      </c>
      <c r="AD190" s="79">
        <v>0.7</v>
      </c>
      <c r="AE190" s="79">
        <v>0.9</v>
      </c>
      <c r="AF190" s="79">
        <v>0.81</v>
      </c>
      <c r="AG190" s="79">
        <v>1.1100000000000001</v>
      </c>
      <c r="AH190" s="79">
        <v>1.4100000000000001</v>
      </c>
      <c r="AI190" s="79">
        <v>59</v>
      </c>
      <c r="AJ190" s="79">
        <v>76</v>
      </c>
      <c r="AK190" s="79">
        <v>93</v>
      </c>
      <c r="AL190" s="81">
        <v>0.48666166695283536</v>
      </c>
      <c r="AM190" s="81">
        <v>1.2673733492793398</v>
      </c>
      <c r="AN190" s="81">
        <v>2.9862606505079943</v>
      </c>
      <c r="AO190" s="81">
        <v>0.50281402412015597</v>
      </c>
      <c r="AP190" s="81">
        <v>1.2410795826134933</v>
      </c>
      <c r="AQ190" s="81">
        <v>3.0022524817726559</v>
      </c>
      <c r="AR190" s="81">
        <v>0.44339670246148144</v>
      </c>
      <c r="AS190" s="81">
        <v>1.2410795826134933</v>
      </c>
      <c r="AT190" s="81">
        <v>3.0022524817726559</v>
      </c>
      <c r="AV190" s="82">
        <v>6.6601143492312689</v>
      </c>
      <c r="AW190" s="82">
        <v>7.0930993769106907</v>
      </c>
      <c r="AX190" s="82">
        <v>7.5809331031836438</v>
      </c>
      <c r="AY190" s="82">
        <v>0.43445690165990558</v>
      </c>
      <c r="AZ190" s="82">
        <v>1.3291299355197934</v>
      </c>
      <c r="BA190" s="82">
        <v>5.0166761824927457</v>
      </c>
      <c r="BC190" s="92">
        <v>145.4852581558813</v>
      </c>
      <c r="BD190" s="92">
        <v>1048.7280139475633</v>
      </c>
      <c r="BE190" s="92">
        <v>10308.344632738323</v>
      </c>
      <c r="BG190" s="82">
        <v>7.3129618801046234</v>
      </c>
      <c r="BH190" s="82">
        <v>7.7459469077840453</v>
      </c>
      <c r="BI190" s="82">
        <v>8.0892758526660398</v>
      </c>
      <c r="BJ190" s="82">
        <v>0.89338186588990631</v>
      </c>
      <c r="BK190" s="82">
        <v>2.733114785996249</v>
      </c>
      <c r="BL190" s="22">
        <v>8.7348230285351711</v>
      </c>
      <c r="BN190" s="18">
        <v>297.57053123074314</v>
      </c>
      <c r="BO190" s="18">
        <v>2202.2075169754985</v>
      </c>
      <c r="BP190" s="18">
        <v>17371.876299233525</v>
      </c>
      <c r="BR190" s="22">
        <v>7.6027604205210979</v>
      </c>
      <c r="BS190" s="22">
        <v>7.9394835946067346</v>
      </c>
      <c r="BT190" s="22">
        <v>8.2809122701004387</v>
      </c>
      <c r="BU190" s="22">
        <v>1.247200863902622</v>
      </c>
      <c r="BV190" s="22">
        <v>3.4152792151632401</v>
      </c>
      <c r="BW190" s="22">
        <v>10.891114380878575</v>
      </c>
      <c r="BY190" s="18">
        <v>415.42171135660851</v>
      </c>
      <c r="BZ190" s="18">
        <v>2751.8615752031537</v>
      </c>
      <c r="CA190" s="18">
        <v>24562.912444809404</v>
      </c>
      <c r="CC190">
        <v>369</v>
      </c>
      <c r="CD190">
        <v>155</v>
      </c>
      <c r="CE190">
        <v>612</v>
      </c>
    </row>
    <row r="191" spans="1:83" x14ac:dyDescent="0.2">
      <c r="A191">
        <v>369</v>
      </c>
      <c r="B191">
        <v>156</v>
      </c>
      <c r="C191" s="11" t="s">
        <v>135</v>
      </c>
      <c r="D191" s="11" t="s">
        <v>219</v>
      </c>
      <c r="E191" s="11" t="s">
        <v>296</v>
      </c>
      <c r="F191" s="91" t="s">
        <v>136</v>
      </c>
      <c r="G191" s="78">
        <v>3.5</v>
      </c>
      <c r="H191" s="78">
        <v>294</v>
      </c>
      <c r="I191" s="79">
        <v>120.9</v>
      </c>
      <c r="J191" s="79">
        <v>347</v>
      </c>
      <c r="K191" s="79">
        <v>214.20000000000002</v>
      </c>
      <c r="L191" s="79">
        <v>2</v>
      </c>
      <c r="M191" s="79">
        <v>40</v>
      </c>
      <c r="N191" s="79">
        <v>53</v>
      </c>
      <c r="O191" s="79">
        <v>65</v>
      </c>
      <c r="P191" s="79" t="s">
        <v>13</v>
      </c>
      <c r="Q191" s="79">
        <v>0</v>
      </c>
      <c r="R191" s="79">
        <v>0</v>
      </c>
      <c r="S191" s="79" t="s">
        <v>211</v>
      </c>
      <c r="T191" s="80">
        <v>3547.2495924485843</v>
      </c>
      <c r="U191" s="80">
        <v>5173.0723223208506</v>
      </c>
      <c r="V191" s="80">
        <v>5298.4120374880695</v>
      </c>
      <c r="W191" s="80" t="s">
        <v>308</v>
      </c>
      <c r="X191" s="80">
        <v>6913.377755197529</v>
      </c>
      <c r="Y191" s="80">
        <v>8077.6538210014196</v>
      </c>
      <c r="Z191" s="80">
        <v>8237.248087318043</v>
      </c>
      <c r="AB191" s="79" t="s">
        <v>471</v>
      </c>
      <c r="AC191" s="79">
        <v>0.5</v>
      </c>
      <c r="AD191" s="79">
        <v>0.7</v>
      </c>
      <c r="AE191" s="79">
        <v>0.9</v>
      </c>
      <c r="AF191" s="79">
        <v>0.81</v>
      </c>
      <c r="AG191" s="79">
        <v>1.1100000000000001</v>
      </c>
      <c r="AH191" s="79">
        <v>1.4100000000000001</v>
      </c>
      <c r="AI191" s="79">
        <v>59</v>
      </c>
      <c r="AJ191" s="79">
        <v>76</v>
      </c>
      <c r="AK191" s="79">
        <v>93</v>
      </c>
      <c r="AL191" s="79" t="s">
        <v>42</v>
      </c>
      <c r="AM191" s="79" t="s">
        <v>42</v>
      </c>
      <c r="AN191" s="79" t="s">
        <v>42</v>
      </c>
      <c r="AO191" s="81">
        <v>0.50281402412015597</v>
      </c>
      <c r="AP191" s="81">
        <v>1.2410795826134933</v>
      </c>
      <c r="AQ191" s="81">
        <v>3.0022524817726559</v>
      </c>
      <c r="AR191" s="81" t="s">
        <v>42</v>
      </c>
      <c r="AS191" s="81" t="s">
        <v>42</v>
      </c>
      <c r="AT191" s="81" t="s">
        <v>42</v>
      </c>
      <c r="AV191" s="82" t="s">
        <v>42</v>
      </c>
      <c r="AW191" s="82" t="s">
        <v>42</v>
      </c>
      <c r="AX191" s="82" t="s">
        <v>42</v>
      </c>
      <c r="AY191" s="82" t="s">
        <v>42</v>
      </c>
      <c r="AZ191" s="82" t="s">
        <v>42</v>
      </c>
      <c r="BA191" s="82" t="s">
        <v>42</v>
      </c>
      <c r="BB191" s="2"/>
      <c r="BC191" s="92" t="s">
        <v>42</v>
      </c>
      <c r="BD191" s="92" t="s">
        <v>42</v>
      </c>
      <c r="BE191" s="92" t="s">
        <v>42</v>
      </c>
      <c r="BG191" s="82">
        <v>7.3129618801046234</v>
      </c>
      <c r="BH191" s="82">
        <v>7.7459469077840453</v>
      </c>
      <c r="BI191" s="82">
        <v>8.0892758526660398</v>
      </c>
      <c r="BJ191" s="82">
        <v>0.89338186588990631</v>
      </c>
      <c r="BK191" s="82">
        <v>2.733114785996249</v>
      </c>
      <c r="BL191" s="22">
        <v>8.7348230285351711</v>
      </c>
      <c r="BM191" s="2"/>
      <c r="BN191" s="18">
        <v>297.57053123074314</v>
      </c>
      <c r="BO191" s="18">
        <v>2202.2075169754985</v>
      </c>
      <c r="BP191" s="18">
        <v>17371.876299233525</v>
      </c>
      <c r="BR191" s="22">
        <v>7.6027604205210979</v>
      </c>
      <c r="BS191" s="22">
        <v>7.9394835946067346</v>
      </c>
      <c r="BT191" s="22">
        <v>8.2809122701004387</v>
      </c>
      <c r="BU191" s="22">
        <v>1.247200863902622</v>
      </c>
      <c r="BV191" s="22">
        <v>3.4152792151632401</v>
      </c>
      <c r="BW191" s="22">
        <v>10.891114380878575</v>
      </c>
      <c r="BX191" s="2"/>
      <c r="BY191" s="22" t="s">
        <v>42</v>
      </c>
      <c r="BZ191" s="22" t="s">
        <v>42</v>
      </c>
      <c r="CA191" s="22" t="s">
        <v>42</v>
      </c>
      <c r="CC191">
        <v>369</v>
      </c>
      <c r="CD191">
        <v>156</v>
      </c>
      <c r="CE191">
        <v>612</v>
      </c>
    </row>
    <row r="192" spans="1:83" x14ac:dyDescent="0.2">
      <c r="A192">
        <v>369</v>
      </c>
      <c r="B192">
        <v>157</v>
      </c>
      <c r="C192" s="11" t="s">
        <v>135</v>
      </c>
      <c r="D192" s="11" t="s">
        <v>219</v>
      </c>
      <c r="E192" s="11" t="s">
        <v>165</v>
      </c>
      <c r="F192" s="91" t="s">
        <v>136</v>
      </c>
      <c r="G192" s="78">
        <v>66.5</v>
      </c>
      <c r="H192" s="78">
        <v>355</v>
      </c>
      <c r="I192" s="79">
        <v>120.9</v>
      </c>
      <c r="J192" s="79">
        <v>347</v>
      </c>
      <c r="K192" s="79">
        <v>214.20000000000002</v>
      </c>
      <c r="L192" s="79">
        <v>2</v>
      </c>
      <c r="M192" s="79">
        <v>40</v>
      </c>
      <c r="N192" s="79">
        <v>53</v>
      </c>
      <c r="O192" s="79">
        <v>65</v>
      </c>
      <c r="P192" s="79" t="s">
        <v>13</v>
      </c>
      <c r="Q192" s="79">
        <v>0</v>
      </c>
      <c r="R192" s="79">
        <v>0</v>
      </c>
      <c r="S192" s="79" t="s">
        <v>211</v>
      </c>
      <c r="T192" s="80">
        <v>3547.2495924485843</v>
      </c>
      <c r="U192" s="80">
        <v>5173.0723223208506</v>
      </c>
      <c r="V192" s="80">
        <v>5298.4120374880695</v>
      </c>
      <c r="W192" s="80" t="s">
        <v>308</v>
      </c>
      <c r="X192" s="80">
        <v>6913.377755197529</v>
      </c>
      <c r="Y192" s="80">
        <v>8077.6538210014196</v>
      </c>
      <c r="Z192" s="80">
        <v>8237.248087318043</v>
      </c>
      <c r="AB192" s="79" t="s">
        <v>471</v>
      </c>
      <c r="AC192" s="79">
        <v>0.5</v>
      </c>
      <c r="AD192" s="79">
        <v>0.7</v>
      </c>
      <c r="AE192" s="79">
        <v>0.9</v>
      </c>
      <c r="AF192" s="79">
        <v>0.81</v>
      </c>
      <c r="AG192" s="79">
        <v>1.1100000000000001</v>
      </c>
      <c r="AH192" s="79">
        <v>1.4100000000000001</v>
      </c>
      <c r="AI192" s="79">
        <v>59</v>
      </c>
      <c r="AJ192" s="79">
        <v>76</v>
      </c>
      <c r="AK192" s="79">
        <v>93</v>
      </c>
      <c r="AL192" s="81">
        <v>0.47518338135719146</v>
      </c>
      <c r="AM192" s="81">
        <v>1.2751988752672434</v>
      </c>
      <c r="AN192" s="81">
        <v>2.9734876435701203</v>
      </c>
      <c r="AO192" s="81">
        <v>0.50281402412015597</v>
      </c>
      <c r="AP192" s="81">
        <v>1.2410795826134933</v>
      </c>
      <c r="AQ192" s="81">
        <v>3.0022524817726559</v>
      </c>
      <c r="AR192" s="81">
        <v>0.44339670246148144</v>
      </c>
      <c r="AS192" s="81">
        <v>1.2410795826134933</v>
      </c>
      <c r="AT192" s="81">
        <v>3.0022524817726559</v>
      </c>
      <c r="AV192" s="82">
        <v>6.8536207875085111</v>
      </c>
      <c r="AW192" s="82">
        <v>7.2866058151879329</v>
      </c>
      <c r="AX192" s="82">
        <v>7.774439541460886</v>
      </c>
      <c r="AY192" s="82">
        <v>0.54287509682848401</v>
      </c>
      <c r="AZ192" s="82">
        <v>1.6608127059005215</v>
      </c>
      <c r="BA192" s="82">
        <v>6.2685816658053897</v>
      </c>
      <c r="BC192" s="92">
        <v>182.57183546815773</v>
      </c>
      <c r="BD192" s="92">
        <v>1302.3950523422984</v>
      </c>
      <c r="BE192" s="92">
        <v>13191.921080870774</v>
      </c>
      <c r="BG192" s="82">
        <v>7.3129618801046234</v>
      </c>
      <c r="BH192" s="82">
        <v>7.7459469077840453</v>
      </c>
      <c r="BI192" s="82">
        <v>8.0892758526660398</v>
      </c>
      <c r="BJ192" s="82">
        <v>0.89338186588990631</v>
      </c>
      <c r="BK192" s="82">
        <v>2.733114785996249</v>
      </c>
      <c r="BL192" s="22">
        <v>8.7348230285351711</v>
      </c>
      <c r="BN192" s="18">
        <v>297.57053123074314</v>
      </c>
      <c r="BO192" s="18">
        <v>2202.2075169754985</v>
      </c>
      <c r="BP192" s="18">
        <v>17371.876299233525</v>
      </c>
      <c r="BR192" s="22">
        <v>7.6027604205210979</v>
      </c>
      <c r="BS192" s="22">
        <v>7.9394835946067346</v>
      </c>
      <c r="BT192" s="22">
        <v>8.2809122701004387</v>
      </c>
      <c r="BU192" s="22">
        <v>1.247200863902622</v>
      </c>
      <c r="BV192" s="22">
        <v>3.4152792151632401</v>
      </c>
      <c r="BW192" s="22">
        <v>10.891114380878575</v>
      </c>
      <c r="BY192" s="18">
        <v>415.42171135660851</v>
      </c>
      <c r="BZ192" s="18">
        <v>2751.8615752031537</v>
      </c>
      <c r="CA192" s="18">
        <v>24562.912444809404</v>
      </c>
      <c r="CC192">
        <v>369</v>
      </c>
      <c r="CD192">
        <v>157</v>
      </c>
      <c r="CE192">
        <v>612</v>
      </c>
    </row>
    <row r="193" spans="1:83" x14ac:dyDescent="0.2">
      <c r="A193">
        <v>370</v>
      </c>
      <c r="B193" t="s">
        <v>416</v>
      </c>
      <c r="C193" s="11" t="s">
        <v>135</v>
      </c>
      <c r="D193" s="11" t="s">
        <v>148</v>
      </c>
      <c r="E193" s="11" t="s">
        <v>42</v>
      </c>
      <c r="F193" s="91" t="s">
        <v>136</v>
      </c>
      <c r="G193" s="78" t="s">
        <v>42</v>
      </c>
      <c r="H193" s="78" t="s">
        <v>42</v>
      </c>
      <c r="I193" s="79">
        <v>40.6</v>
      </c>
      <c r="J193" s="79">
        <v>356</v>
      </c>
      <c r="K193" s="79">
        <v>214.20000000000002</v>
      </c>
      <c r="L193" s="79">
        <v>2</v>
      </c>
      <c r="M193" s="79">
        <v>40</v>
      </c>
      <c r="N193" s="79">
        <v>53</v>
      </c>
      <c r="O193" s="79">
        <v>65</v>
      </c>
      <c r="P193" s="79" t="s">
        <v>13</v>
      </c>
      <c r="Q193" s="79">
        <v>1.5</v>
      </c>
      <c r="R193" s="79">
        <v>0.5</v>
      </c>
      <c r="S193" s="79" t="s">
        <v>211</v>
      </c>
      <c r="T193" s="80">
        <v>575.51675092604296</v>
      </c>
      <c r="U193" s="80">
        <v>839.29526176714614</v>
      </c>
      <c r="V193" s="80">
        <v>1198.9932310959227</v>
      </c>
      <c r="W193" s="80" t="s">
        <v>308</v>
      </c>
      <c r="X193" s="80">
        <v>6913.377755197529</v>
      </c>
      <c r="Y193" s="80">
        <v>8077.6538210014196</v>
      </c>
      <c r="Z193" s="80">
        <v>8237.248087318043</v>
      </c>
      <c r="AB193" s="79" t="s">
        <v>471</v>
      </c>
      <c r="AC193" s="79">
        <v>0.5</v>
      </c>
      <c r="AD193" s="79">
        <v>0.7</v>
      </c>
      <c r="AE193" s="79">
        <v>0.9</v>
      </c>
      <c r="AF193" s="79">
        <v>0.81</v>
      </c>
      <c r="AG193" s="79">
        <v>1.1100000000000001</v>
      </c>
      <c r="AH193" s="79">
        <v>1.4100000000000001</v>
      </c>
      <c r="AI193" s="79">
        <v>59</v>
      </c>
      <c r="AJ193" s="79">
        <v>76</v>
      </c>
      <c r="AK193" s="79">
        <v>93</v>
      </c>
      <c r="AL193" s="79" t="s">
        <v>42</v>
      </c>
      <c r="AM193" s="79" t="s">
        <v>42</v>
      </c>
      <c r="AN193" s="79" t="s">
        <v>42</v>
      </c>
      <c r="AO193" s="81">
        <v>0.47106619666483573</v>
      </c>
      <c r="AP193" s="81">
        <v>1.2714797648000213</v>
      </c>
      <c r="AQ193" s="81">
        <v>2.9803280654389672</v>
      </c>
      <c r="AR193" s="81">
        <v>0.44339670246148144</v>
      </c>
      <c r="AS193" s="81">
        <v>1.2410795826134933</v>
      </c>
      <c r="AT193" s="81">
        <v>3.0022524817726559</v>
      </c>
      <c r="AV193" s="82" t="s">
        <v>42</v>
      </c>
      <c r="AW193" s="82" t="s">
        <v>42</v>
      </c>
      <c r="AX193" s="82" t="s">
        <v>42</v>
      </c>
      <c r="AY193" s="82" t="s">
        <v>42</v>
      </c>
      <c r="AZ193" s="82" t="s">
        <v>42</v>
      </c>
      <c r="BA193" s="82" t="s">
        <v>42</v>
      </c>
      <c r="BC193" s="92" t="s">
        <v>42</v>
      </c>
      <c r="BD193" s="92" t="s">
        <v>42</v>
      </c>
      <c r="BE193" s="92" t="s">
        <v>42</v>
      </c>
      <c r="BG193" s="82">
        <v>6.5231281012986599</v>
      </c>
      <c r="BH193" s="82">
        <v>6.9561131289780818</v>
      </c>
      <c r="BI193" s="82">
        <v>7.4439468552510348</v>
      </c>
      <c r="BJ193" s="82">
        <v>0.35984895297660646</v>
      </c>
      <c r="BK193" s="82">
        <v>1.1008825359645595</v>
      </c>
      <c r="BL193" s="22">
        <v>4.1551777973729749</v>
      </c>
      <c r="BN193" s="18">
        <v>120.74138989917037</v>
      </c>
      <c r="BO193" s="18">
        <v>865.8278066562126</v>
      </c>
      <c r="BP193" s="18">
        <v>8820.7938221671848</v>
      </c>
      <c r="BR193" s="22">
        <v>7.6027604205210979</v>
      </c>
      <c r="BS193" s="22">
        <v>7.9394835946067346</v>
      </c>
      <c r="BT193" s="22">
        <v>8.2809122701004387</v>
      </c>
      <c r="BU193" s="22">
        <v>1.247200863902622</v>
      </c>
      <c r="BV193" s="22">
        <v>3.4152792151632401</v>
      </c>
      <c r="BW193" s="22">
        <v>10.891114380878575</v>
      </c>
      <c r="BY193" s="18">
        <v>415.42171135660851</v>
      </c>
      <c r="BZ193" s="18">
        <v>2751.8615752031537</v>
      </c>
      <c r="CA193" s="18">
        <v>24562.912444809404</v>
      </c>
      <c r="CC193">
        <v>370</v>
      </c>
      <c r="CD193" t="s">
        <v>416</v>
      </c>
      <c r="CE193">
        <v>612</v>
      </c>
    </row>
    <row r="194" spans="1:83" x14ac:dyDescent="0.2">
      <c r="A194">
        <v>371</v>
      </c>
      <c r="B194" t="s">
        <v>416</v>
      </c>
      <c r="C194" s="11" t="s">
        <v>135</v>
      </c>
      <c r="D194" s="11" t="s">
        <v>166</v>
      </c>
      <c r="E194" s="11" t="s">
        <v>42</v>
      </c>
      <c r="F194" s="91" t="s">
        <v>136</v>
      </c>
      <c r="G194" s="78" t="s">
        <v>42</v>
      </c>
      <c r="H194" s="78" t="s">
        <v>42</v>
      </c>
      <c r="I194" s="79">
        <v>14.9</v>
      </c>
      <c r="J194" s="79">
        <v>2</v>
      </c>
      <c r="K194" s="79">
        <v>214.20000000000002</v>
      </c>
      <c r="L194" s="79">
        <v>2</v>
      </c>
      <c r="M194" s="79">
        <v>40</v>
      </c>
      <c r="N194" s="79">
        <v>53</v>
      </c>
      <c r="O194" s="79">
        <v>65</v>
      </c>
      <c r="P194" s="79" t="s">
        <v>13</v>
      </c>
      <c r="Q194" s="79">
        <v>1</v>
      </c>
      <c r="R194" s="79">
        <v>0</v>
      </c>
      <c r="S194" s="79" t="s">
        <v>211</v>
      </c>
      <c r="T194" s="80">
        <v>108.26590072892802</v>
      </c>
      <c r="U194" s="80">
        <v>157.88777189635334</v>
      </c>
      <c r="V194" s="80">
        <v>225.55395985193337</v>
      </c>
      <c r="W194" s="80" t="s">
        <v>308</v>
      </c>
      <c r="X194" s="80">
        <v>6913.377755197529</v>
      </c>
      <c r="Y194" s="80">
        <v>8077.6538210014196</v>
      </c>
      <c r="Z194" s="80">
        <v>8237.248087318043</v>
      </c>
      <c r="AB194" s="79" t="s">
        <v>471</v>
      </c>
      <c r="AC194" s="79">
        <v>0.5</v>
      </c>
      <c r="AD194" s="79">
        <v>0.7</v>
      </c>
      <c r="AE194" s="79">
        <v>0.9</v>
      </c>
      <c r="AF194" s="79">
        <v>0.81</v>
      </c>
      <c r="AG194" s="79">
        <v>1.1100000000000001</v>
      </c>
      <c r="AH194" s="79">
        <v>1.4100000000000001</v>
      </c>
      <c r="AI194" s="79">
        <v>59</v>
      </c>
      <c r="AJ194" s="79">
        <v>76</v>
      </c>
      <c r="AK194" s="79">
        <v>93</v>
      </c>
      <c r="AL194" s="79" t="s">
        <v>42</v>
      </c>
      <c r="AM194" s="79" t="s">
        <v>42</v>
      </c>
      <c r="AN194" s="79" t="s">
        <v>42</v>
      </c>
      <c r="AO194" s="81">
        <v>0.44339670246148144</v>
      </c>
      <c r="AP194" s="81">
        <v>1.2410795826134933</v>
      </c>
      <c r="AQ194" s="81">
        <v>3.0022524817726559</v>
      </c>
      <c r="AR194" s="81">
        <v>0.44339670246148144</v>
      </c>
      <c r="AS194" s="81">
        <v>1.2410795826134933</v>
      </c>
      <c r="AT194" s="81">
        <v>3.0022524817726559</v>
      </c>
      <c r="AV194" s="82" t="s">
        <v>42</v>
      </c>
      <c r="AW194" s="82" t="s">
        <v>42</v>
      </c>
      <c r="AX194" s="82" t="s">
        <v>42</v>
      </c>
      <c r="AY194" s="82" t="s">
        <v>42</v>
      </c>
      <c r="AZ194" s="82" t="s">
        <v>42</v>
      </c>
      <c r="BA194" s="82" t="s">
        <v>42</v>
      </c>
      <c r="BC194" s="92" t="s">
        <v>42</v>
      </c>
      <c r="BD194" s="92" t="s">
        <v>42</v>
      </c>
      <c r="BE194" s="92" t="s">
        <v>42</v>
      </c>
      <c r="BG194" s="82">
        <v>5.7975618260237951</v>
      </c>
      <c r="BH194" s="82">
        <v>6.2305468537032169</v>
      </c>
      <c r="BI194" s="82">
        <v>6.71838057997617</v>
      </c>
      <c r="BJ194" s="82">
        <v>0.15607635203325601</v>
      </c>
      <c r="BK194" s="82">
        <v>0.47748292390234692</v>
      </c>
      <c r="BL194" s="22">
        <v>1.8022144772107034</v>
      </c>
      <c r="BN194" s="18">
        <v>51.986417858201577</v>
      </c>
      <c r="BO194" s="18">
        <v>384.73191452948782</v>
      </c>
      <c r="BP194" s="18">
        <v>4064.5644570783979</v>
      </c>
      <c r="BR194" s="22">
        <v>7.6027604205210979</v>
      </c>
      <c r="BS194" s="22">
        <v>7.9394835946067346</v>
      </c>
      <c r="BT194" s="22">
        <v>8.2809122701004387</v>
      </c>
      <c r="BU194" s="22">
        <v>1.247200863902622</v>
      </c>
      <c r="BV194" s="22">
        <v>3.4152792151632401</v>
      </c>
      <c r="BW194" s="22">
        <v>10.891114380878575</v>
      </c>
      <c r="BY194" s="18">
        <v>415.42171135660851</v>
      </c>
      <c r="BZ194" s="18">
        <v>2751.8615752031537</v>
      </c>
      <c r="CA194" s="18">
        <v>24562.912444809404</v>
      </c>
      <c r="CC194">
        <v>371</v>
      </c>
      <c r="CD194" t="s">
        <v>416</v>
      </c>
      <c r="CE194">
        <v>612</v>
      </c>
    </row>
    <row r="195" spans="1:83" x14ac:dyDescent="0.2">
      <c r="A195">
        <v>372</v>
      </c>
      <c r="B195" t="s">
        <v>416</v>
      </c>
      <c r="C195" s="11" t="s">
        <v>135</v>
      </c>
      <c r="D195" s="11" t="s">
        <v>167</v>
      </c>
      <c r="E195" s="11" t="s">
        <v>42</v>
      </c>
      <c r="F195" s="91" t="s">
        <v>136</v>
      </c>
      <c r="G195" s="78" t="s">
        <v>42</v>
      </c>
      <c r="H195" s="78" t="s">
        <v>42</v>
      </c>
      <c r="I195" s="79">
        <v>13.3</v>
      </c>
      <c r="J195" s="79">
        <v>17</v>
      </c>
      <c r="K195" s="79">
        <v>214.20000000000002</v>
      </c>
      <c r="L195" s="79">
        <v>2</v>
      </c>
      <c r="M195" s="79">
        <v>40</v>
      </c>
      <c r="N195" s="79">
        <v>53</v>
      </c>
      <c r="O195" s="79">
        <v>65</v>
      </c>
      <c r="P195" s="79" t="s">
        <v>13</v>
      </c>
      <c r="Q195" s="79">
        <v>0.5</v>
      </c>
      <c r="R195" s="79">
        <v>0</v>
      </c>
      <c r="S195" s="79" t="s">
        <v>308</v>
      </c>
      <c r="T195" s="80">
        <v>89.591604472477528</v>
      </c>
      <c r="U195" s="80">
        <v>130.65442318902976</v>
      </c>
      <c r="V195" s="80">
        <v>186.64917598432822</v>
      </c>
      <c r="W195" s="80" t="s">
        <v>308</v>
      </c>
      <c r="X195" s="80">
        <v>6913.377755197529</v>
      </c>
      <c r="Y195" s="80">
        <v>8077.6538210014196</v>
      </c>
      <c r="Z195" s="80">
        <v>8237.248087318043</v>
      </c>
      <c r="AB195" s="79" t="s">
        <v>471</v>
      </c>
      <c r="AC195" s="79">
        <v>0.5</v>
      </c>
      <c r="AD195" s="79">
        <v>0.7</v>
      </c>
      <c r="AE195" s="79">
        <v>0.9</v>
      </c>
      <c r="AF195" s="79">
        <v>0.81</v>
      </c>
      <c r="AG195" s="79">
        <v>1.1100000000000001</v>
      </c>
      <c r="AH195" s="79">
        <v>1.4100000000000001</v>
      </c>
      <c r="AI195" s="79">
        <v>59</v>
      </c>
      <c r="AJ195" s="79">
        <v>76</v>
      </c>
      <c r="AK195" s="79">
        <v>93</v>
      </c>
      <c r="AL195" s="79" t="s">
        <v>42</v>
      </c>
      <c r="AM195" s="79" t="s">
        <v>42</v>
      </c>
      <c r="AN195" s="79" t="s">
        <v>42</v>
      </c>
      <c r="AO195" s="81">
        <v>0.35376262827775334</v>
      </c>
      <c r="AP195" s="81">
        <v>1.1066838929297913</v>
      </c>
      <c r="AQ195" s="81">
        <v>2.9135164949396248</v>
      </c>
      <c r="AR195" s="81">
        <v>0.44339670246148144</v>
      </c>
      <c r="AS195" s="81">
        <v>1.2410795826134933</v>
      </c>
      <c r="AT195" s="81">
        <v>3.0022524817726559</v>
      </c>
      <c r="AV195" s="82" t="s">
        <v>42</v>
      </c>
      <c r="AW195" s="82" t="s">
        <v>42</v>
      </c>
      <c r="AX195" s="82" t="s">
        <v>42</v>
      </c>
      <c r="AY195" s="82" t="s">
        <v>42</v>
      </c>
      <c r="AZ195" s="82" t="s">
        <v>42</v>
      </c>
      <c r="BA195" s="82" t="s">
        <v>42</v>
      </c>
      <c r="BC195" s="92" t="s">
        <v>42</v>
      </c>
      <c r="BD195" s="92" t="s">
        <v>42</v>
      </c>
      <c r="BE195" s="92" t="s">
        <v>42</v>
      </c>
      <c r="BG195" s="82">
        <v>5.715337446948479</v>
      </c>
      <c r="BH195" s="82">
        <v>6.1483224746279035</v>
      </c>
      <c r="BI195" s="82">
        <v>6.6361562009008566</v>
      </c>
      <c r="BJ195" s="82">
        <v>0.14197926259249075</v>
      </c>
      <c r="BK195" s="82">
        <v>0.43435583003449957</v>
      </c>
      <c r="BL195" s="22">
        <v>1.6394353095423839</v>
      </c>
      <c r="BN195" s="18">
        <v>48.731236922491803</v>
      </c>
      <c r="BO195" s="18">
        <v>392.48409849410842</v>
      </c>
      <c r="BP195" s="18">
        <v>4634.2806687177736</v>
      </c>
      <c r="BR195" s="22">
        <v>7.6027604205210979</v>
      </c>
      <c r="BS195" s="22">
        <v>7.9394835946067346</v>
      </c>
      <c r="BT195" s="22">
        <v>8.2809122701004387</v>
      </c>
      <c r="BU195" s="22">
        <v>1.247200863902622</v>
      </c>
      <c r="BV195" s="22">
        <v>3.4152792151632401</v>
      </c>
      <c r="BW195" s="22">
        <v>10.891114380878575</v>
      </c>
      <c r="BY195" s="18">
        <v>415.42171135660851</v>
      </c>
      <c r="BZ195" s="18">
        <v>2751.8615752031537</v>
      </c>
      <c r="CA195" s="18">
        <v>24562.912444809404</v>
      </c>
      <c r="CC195">
        <v>372</v>
      </c>
      <c r="CD195" t="s">
        <v>416</v>
      </c>
      <c r="CE195">
        <v>612</v>
      </c>
    </row>
    <row r="196" spans="1:83" x14ac:dyDescent="0.2">
      <c r="A196">
        <v>373</v>
      </c>
      <c r="B196" t="s">
        <v>416</v>
      </c>
      <c r="C196" s="11" t="s">
        <v>135</v>
      </c>
      <c r="D196" s="11" t="s">
        <v>168</v>
      </c>
      <c r="E196" s="11" t="s">
        <v>42</v>
      </c>
      <c r="F196" s="91" t="s">
        <v>136</v>
      </c>
      <c r="G196" s="78" t="s">
        <v>42</v>
      </c>
      <c r="H196" s="78" t="s">
        <v>42</v>
      </c>
      <c r="I196" s="79">
        <v>16.3</v>
      </c>
      <c r="J196" s="79">
        <v>19</v>
      </c>
      <c r="K196" s="79">
        <v>214.20000000000002</v>
      </c>
      <c r="L196" s="79">
        <v>2</v>
      </c>
      <c r="M196" s="79">
        <v>40</v>
      </c>
      <c r="N196" s="79">
        <v>53</v>
      </c>
      <c r="O196" s="79">
        <v>65</v>
      </c>
      <c r="P196" s="79" t="s">
        <v>13</v>
      </c>
      <c r="Q196" s="79">
        <v>2</v>
      </c>
      <c r="R196" s="79">
        <v>0</v>
      </c>
      <c r="S196" s="79" t="s">
        <v>308</v>
      </c>
      <c r="T196" s="80">
        <v>125.74592503273237</v>
      </c>
      <c r="U196" s="80">
        <v>183.37947400606802</v>
      </c>
      <c r="V196" s="80">
        <v>261.97067715152582</v>
      </c>
      <c r="W196" s="80" t="s">
        <v>308</v>
      </c>
      <c r="X196" s="80">
        <v>6913.377755197529</v>
      </c>
      <c r="Y196" s="80">
        <v>8077.6538210014196</v>
      </c>
      <c r="Z196" s="80">
        <v>8237.248087318043</v>
      </c>
      <c r="AB196" s="79" t="s">
        <v>471</v>
      </c>
      <c r="AC196" s="79">
        <v>0.5</v>
      </c>
      <c r="AD196" s="79">
        <v>0.7</v>
      </c>
      <c r="AE196" s="79">
        <v>0.9</v>
      </c>
      <c r="AF196" s="79">
        <v>0.81</v>
      </c>
      <c r="AG196" s="79">
        <v>1.1100000000000001</v>
      </c>
      <c r="AH196" s="79">
        <v>1.4100000000000001</v>
      </c>
      <c r="AI196" s="79">
        <v>59</v>
      </c>
      <c r="AJ196" s="79">
        <v>76</v>
      </c>
      <c r="AK196" s="79">
        <v>93</v>
      </c>
      <c r="AL196" s="79" t="s">
        <v>42</v>
      </c>
      <c r="AM196" s="79" t="s">
        <v>42</v>
      </c>
      <c r="AN196" s="79" t="s">
        <v>42</v>
      </c>
      <c r="AO196" s="81">
        <v>0.33983535062679848</v>
      </c>
      <c r="AP196" s="81">
        <v>1.0828028650407355</v>
      </c>
      <c r="AQ196" s="81">
        <v>2.8863899234296917</v>
      </c>
      <c r="AR196" s="81">
        <v>0.44339670246148144</v>
      </c>
      <c r="AS196" s="81">
        <v>1.2410795826134933</v>
      </c>
      <c r="AT196" s="81">
        <v>3.0022524817726559</v>
      </c>
      <c r="AV196" s="82" t="s">
        <v>42</v>
      </c>
      <c r="AW196" s="82" t="s">
        <v>42</v>
      </c>
      <c r="AX196" s="82" t="s">
        <v>42</v>
      </c>
      <c r="AY196" s="82" t="s">
        <v>42</v>
      </c>
      <c r="AZ196" s="82" t="s">
        <v>42</v>
      </c>
      <c r="BA196" s="82" t="s">
        <v>42</v>
      </c>
      <c r="BC196" s="92" t="s">
        <v>42</v>
      </c>
      <c r="BD196" s="92" t="s">
        <v>42</v>
      </c>
      <c r="BE196" s="92" t="s">
        <v>42</v>
      </c>
      <c r="BG196" s="82">
        <v>5.862564052676599</v>
      </c>
      <c r="BH196" s="82">
        <v>6.2955490803560226</v>
      </c>
      <c r="BI196" s="82">
        <v>6.7833828066289756</v>
      </c>
      <c r="BJ196" s="82">
        <v>0.16820473576081243</v>
      </c>
      <c r="BK196" s="82">
        <v>0.51458717479622684</v>
      </c>
      <c r="BL196" s="22">
        <v>1.9422609894095029</v>
      </c>
      <c r="BN196" s="18">
        <v>58.275125753261612</v>
      </c>
      <c r="BO196" s="18">
        <v>475.23625159309842</v>
      </c>
      <c r="BP196" s="18">
        <v>5715.3000293440973</v>
      </c>
      <c r="BR196" s="22">
        <v>7.6027604205210979</v>
      </c>
      <c r="BS196" s="22">
        <v>7.9394835946067346</v>
      </c>
      <c r="BT196" s="22">
        <v>8.2809122701004387</v>
      </c>
      <c r="BU196" s="22">
        <v>1.247200863902622</v>
      </c>
      <c r="BV196" s="22">
        <v>3.4152792151632401</v>
      </c>
      <c r="BW196" s="22">
        <v>10.891114380878575</v>
      </c>
      <c r="BY196" s="18">
        <v>415.42171135660851</v>
      </c>
      <c r="BZ196" s="18">
        <v>2751.8615752031537</v>
      </c>
      <c r="CA196" s="18">
        <v>24562.912444809404</v>
      </c>
      <c r="CC196">
        <v>373</v>
      </c>
      <c r="CD196" t="s">
        <v>416</v>
      </c>
      <c r="CE196">
        <v>612</v>
      </c>
    </row>
    <row r="197" spans="1:83" x14ac:dyDescent="0.2">
      <c r="A197">
        <v>374</v>
      </c>
      <c r="B197" t="s">
        <v>416</v>
      </c>
      <c r="C197" s="11" t="s">
        <v>135</v>
      </c>
      <c r="D197" s="11" t="s">
        <v>169</v>
      </c>
      <c r="E197" s="11" t="s">
        <v>42</v>
      </c>
      <c r="F197" s="91" t="s">
        <v>136</v>
      </c>
      <c r="G197" s="78" t="s">
        <v>42</v>
      </c>
      <c r="H197" s="78" t="s">
        <v>42</v>
      </c>
      <c r="I197" s="79">
        <v>8.1999999999999993</v>
      </c>
      <c r="J197" s="79">
        <v>8</v>
      </c>
      <c r="K197" s="79">
        <v>214.20000000000002</v>
      </c>
      <c r="L197" s="79">
        <v>2</v>
      </c>
      <c r="M197" s="79">
        <v>40</v>
      </c>
      <c r="N197" s="79">
        <v>53</v>
      </c>
      <c r="O197" s="79">
        <v>65</v>
      </c>
      <c r="P197" s="79" t="s">
        <v>13</v>
      </c>
      <c r="Q197" s="79">
        <v>3.5</v>
      </c>
      <c r="R197" s="79">
        <v>0.5</v>
      </c>
      <c r="S197" s="79" t="s">
        <v>308</v>
      </c>
      <c r="T197" s="80">
        <v>40.013296601386671</v>
      </c>
      <c r="U197" s="80">
        <v>58.352724210355568</v>
      </c>
      <c r="V197" s="80">
        <v>83.361034586222232</v>
      </c>
      <c r="W197" s="80" t="s">
        <v>308</v>
      </c>
      <c r="X197" s="80">
        <v>6913.377755197529</v>
      </c>
      <c r="Y197" s="80">
        <v>8077.6538210014196</v>
      </c>
      <c r="Z197" s="80">
        <v>8237.248087318043</v>
      </c>
      <c r="AB197" s="79" t="s">
        <v>471</v>
      </c>
      <c r="AC197" s="79">
        <v>0.5</v>
      </c>
      <c r="AD197" s="79">
        <v>0.7</v>
      </c>
      <c r="AE197" s="79">
        <v>0.9</v>
      </c>
      <c r="AF197" s="79">
        <v>0.81</v>
      </c>
      <c r="AG197" s="79">
        <v>1.1100000000000001</v>
      </c>
      <c r="AH197" s="79">
        <v>1.4100000000000001</v>
      </c>
      <c r="AI197" s="79">
        <v>59</v>
      </c>
      <c r="AJ197" s="79">
        <v>76</v>
      </c>
      <c r="AK197" s="79">
        <v>93</v>
      </c>
      <c r="AL197" s="79" t="s">
        <v>42</v>
      </c>
      <c r="AM197" s="79" t="s">
        <v>42</v>
      </c>
      <c r="AN197" s="79" t="s">
        <v>42</v>
      </c>
      <c r="AO197" s="81">
        <v>0.41086926119923411</v>
      </c>
      <c r="AP197" s="81">
        <v>1.1970818728072523</v>
      </c>
      <c r="AQ197" s="81">
        <v>2.9912835916543203</v>
      </c>
      <c r="AR197" s="81">
        <v>0.44339670246148144</v>
      </c>
      <c r="AS197" s="81">
        <v>1.2410795826134933</v>
      </c>
      <c r="AT197" s="81">
        <v>3.0022524817726559</v>
      </c>
      <c r="AV197" s="82" t="s">
        <v>42</v>
      </c>
      <c r="AW197" s="82" t="s">
        <v>42</v>
      </c>
      <c r="AX197" s="82" t="s">
        <v>42</v>
      </c>
      <c r="AY197" s="82" t="s">
        <v>42</v>
      </c>
      <c r="AZ197" s="82" t="s">
        <v>42</v>
      </c>
      <c r="BA197" s="82" t="s">
        <v>42</v>
      </c>
      <c r="BC197" s="92" t="s">
        <v>42</v>
      </c>
      <c r="BD197" s="92" t="s">
        <v>42</v>
      </c>
      <c r="BE197" s="92" t="s">
        <v>42</v>
      </c>
      <c r="BG197" s="82">
        <v>5.3652744659761966</v>
      </c>
      <c r="BH197" s="82">
        <v>5.7982594936556211</v>
      </c>
      <c r="BI197" s="82">
        <v>6.2860932199285742</v>
      </c>
      <c r="BJ197" s="82">
        <v>9.4884096324473671E-2</v>
      </c>
      <c r="BK197" s="82">
        <v>0.29027802837926509</v>
      </c>
      <c r="BL197" s="22">
        <v>1.0956271710949863</v>
      </c>
      <c r="BN197" s="18">
        <v>31.720194163201462</v>
      </c>
      <c r="BO197" s="18">
        <v>242.48803275129379</v>
      </c>
      <c r="BP197" s="18">
        <v>2666.6077863724809</v>
      </c>
      <c r="BR197" s="22">
        <v>7.6027604205210979</v>
      </c>
      <c r="BS197" s="22">
        <v>7.9394835946067346</v>
      </c>
      <c r="BT197" s="22">
        <v>8.2809122701004387</v>
      </c>
      <c r="BU197" s="22">
        <v>1.247200863902622</v>
      </c>
      <c r="BV197" s="22">
        <v>3.4152792151632401</v>
      </c>
      <c r="BW197" s="22">
        <v>10.891114380878575</v>
      </c>
      <c r="BY197" s="18">
        <v>415.42171135660851</v>
      </c>
      <c r="BZ197" s="18">
        <v>2751.8615752031537</v>
      </c>
      <c r="CA197" s="18">
        <v>24562.912444809404</v>
      </c>
      <c r="CC197">
        <v>374</v>
      </c>
      <c r="CD197" t="s">
        <v>416</v>
      </c>
      <c r="CE197">
        <v>612</v>
      </c>
    </row>
    <row r="198" spans="1:83" x14ac:dyDescent="0.2">
      <c r="A198">
        <v>375</v>
      </c>
      <c r="B198" t="s">
        <v>416</v>
      </c>
      <c r="C198" s="11" t="s">
        <v>135</v>
      </c>
      <c r="D198" s="11" t="s">
        <v>146</v>
      </c>
      <c r="E198" s="11" t="s">
        <v>42</v>
      </c>
      <c r="F198" s="91" t="s">
        <v>242</v>
      </c>
      <c r="G198" s="78" t="s">
        <v>42</v>
      </c>
      <c r="H198" s="78" t="s">
        <v>42</v>
      </c>
      <c r="I198" s="79">
        <v>34.799999999999997</v>
      </c>
      <c r="J198" s="79">
        <v>344</v>
      </c>
      <c r="K198" s="79">
        <v>50.199999999999996</v>
      </c>
      <c r="L198" s="79">
        <v>353</v>
      </c>
      <c r="M198" s="79">
        <v>40</v>
      </c>
      <c r="N198" s="79">
        <v>53</v>
      </c>
      <c r="O198" s="79">
        <v>65</v>
      </c>
      <c r="P198" s="79" t="s">
        <v>13</v>
      </c>
      <c r="Q198" s="79">
        <v>1</v>
      </c>
      <c r="R198" s="79">
        <v>0.5</v>
      </c>
      <c r="S198" s="79" t="s">
        <v>211</v>
      </c>
      <c r="T198" s="80">
        <v>445.12294938657919</v>
      </c>
      <c r="U198" s="80">
        <v>649.13763452209469</v>
      </c>
      <c r="V198" s="80">
        <v>927.33947788870648</v>
      </c>
      <c r="W198" s="80" t="s">
        <v>211</v>
      </c>
      <c r="X198" s="80">
        <v>819.76135544583303</v>
      </c>
      <c r="Y198" s="80">
        <v>1195.4853100251732</v>
      </c>
      <c r="Z198" s="80">
        <v>1707.8361571788191</v>
      </c>
      <c r="AB198" s="79" t="s">
        <v>470</v>
      </c>
      <c r="AC198" s="79">
        <v>8.3333333333333332E-3</v>
      </c>
      <c r="AD198" s="79">
        <v>2.4999999999999998E-2</v>
      </c>
      <c r="AE198" s="79">
        <v>4.1666666666666664E-2</v>
      </c>
      <c r="AF198" s="79">
        <v>0.81</v>
      </c>
      <c r="AG198" s="79">
        <v>1.1100000000000001</v>
      </c>
      <c r="AH198" s="79">
        <v>1.4100000000000001</v>
      </c>
      <c r="AI198" s="79">
        <v>59</v>
      </c>
      <c r="AJ198" s="79">
        <v>76</v>
      </c>
      <c r="AK198" s="79">
        <v>93</v>
      </c>
      <c r="AL198" s="79" t="s">
        <v>42</v>
      </c>
      <c r="AM198" s="79" t="s">
        <v>42</v>
      </c>
      <c r="AN198" s="79" t="s">
        <v>42</v>
      </c>
      <c r="AO198" s="81">
        <v>8.3314361753083436E-3</v>
      </c>
      <c r="AP198" s="81">
        <v>4.4539336255069721E-2</v>
      </c>
      <c r="AQ198" s="81">
        <v>0.13892965922848932</v>
      </c>
      <c r="AR198" s="81">
        <v>8.049705071915542E-3</v>
      </c>
      <c r="AS198" s="81">
        <v>4.5409991600000754E-2</v>
      </c>
      <c r="AT198" s="81">
        <v>0.13797815117772994</v>
      </c>
      <c r="AV198" s="82" t="s">
        <v>42</v>
      </c>
      <c r="AW198" s="82" t="s">
        <v>42</v>
      </c>
      <c r="AX198" s="82" t="s">
        <v>42</v>
      </c>
      <c r="AY198" s="82" t="s">
        <v>42</v>
      </c>
      <c r="AZ198" s="82" t="s">
        <v>42</v>
      </c>
      <c r="BA198" s="82" t="s">
        <v>42</v>
      </c>
      <c r="BC198" s="92" t="s">
        <v>42</v>
      </c>
      <c r="BD198" s="92" t="s">
        <v>42</v>
      </c>
      <c r="BE198" s="92" t="s">
        <v>42</v>
      </c>
      <c r="BG198" s="82">
        <v>6.4115501185809718</v>
      </c>
      <c r="BH198" s="82">
        <v>6.8445351462603936</v>
      </c>
      <c r="BI198" s="82">
        <v>7.3323688725333467</v>
      </c>
      <c r="BJ198" s="82">
        <v>0.316469056326176</v>
      </c>
      <c r="BK198" s="82">
        <v>0.96817082389932818</v>
      </c>
      <c r="BL198" s="22">
        <v>3.6542698972020915</v>
      </c>
      <c r="BN198" s="18">
        <v>2277.9085335961145</v>
      </c>
      <c r="BO198" s="18">
        <v>21737.432689943274</v>
      </c>
      <c r="BP198" s="18">
        <v>438612.2416723487</v>
      </c>
      <c r="BR198" s="22">
        <v>6.6767575739117007</v>
      </c>
      <c r="BS198" s="22">
        <v>7.1097426015911251</v>
      </c>
      <c r="BT198" s="22">
        <v>7.5975763278640782</v>
      </c>
      <c r="BU198" s="22">
        <v>0.42947212363005843</v>
      </c>
      <c r="BV198" s="22">
        <v>1.3138800507186157</v>
      </c>
      <c r="BW198" s="22">
        <v>4.9591169237450998</v>
      </c>
      <c r="BY198" s="18">
        <v>3112.6096411949638</v>
      </c>
      <c r="BZ198" s="18">
        <v>28933.721509840441</v>
      </c>
      <c r="CA198" s="18">
        <v>616061.94008857105</v>
      </c>
      <c r="CC198">
        <v>375</v>
      </c>
      <c r="CD198" t="s">
        <v>416</v>
      </c>
      <c r="CE198">
        <v>613</v>
      </c>
    </row>
    <row r="199" spans="1:83" x14ac:dyDescent="0.2">
      <c r="A199">
        <v>376</v>
      </c>
      <c r="B199" t="s">
        <v>416</v>
      </c>
      <c r="C199" s="11" t="s">
        <v>135</v>
      </c>
      <c r="D199" s="11" t="s">
        <v>149</v>
      </c>
      <c r="E199" s="11" t="s">
        <v>42</v>
      </c>
      <c r="F199" s="91" t="s">
        <v>242</v>
      </c>
      <c r="G199" s="78" t="s">
        <v>42</v>
      </c>
      <c r="H199" s="78" t="s">
        <v>42</v>
      </c>
      <c r="I199" s="79">
        <v>15.4</v>
      </c>
      <c r="J199" s="79">
        <v>360</v>
      </c>
      <c r="K199" s="79">
        <v>50.199999999999996</v>
      </c>
      <c r="L199" s="79">
        <v>353</v>
      </c>
      <c r="M199" s="79">
        <v>40</v>
      </c>
      <c r="N199" s="79">
        <v>53</v>
      </c>
      <c r="O199" s="79">
        <v>65</v>
      </c>
      <c r="P199" s="79" t="s">
        <v>13</v>
      </c>
      <c r="Q199" s="79">
        <v>0.5</v>
      </c>
      <c r="R199" s="79">
        <v>0</v>
      </c>
      <c r="S199" s="79" t="s">
        <v>211</v>
      </c>
      <c r="T199" s="80">
        <v>114.38852170438238</v>
      </c>
      <c r="U199" s="80">
        <v>166.81659415222433</v>
      </c>
      <c r="V199" s="80">
        <v>238.30942021746333</v>
      </c>
      <c r="W199" s="80" t="s">
        <v>211</v>
      </c>
      <c r="X199" s="80">
        <v>819.76135544583303</v>
      </c>
      <c r="Y199" s="80">
        <v>1195.4853100251732</v>
      </c>
      <c r="Z199" s="80">
        <v>1707.8361571788191</v>
      </c>
      <c r="AB199" s="79" t="s">
        <v>470</v>
      </c>
      <c r="AC199" s="79">
        <v>8.3333333333333332E-3</v>
      </c>
      <c r="AD199" s="79">
        <v>2.4999999999999998E-2</v>
      </c>
      <c r="AE199" s="79">
        <v>4.1666666666666664E-2</v>
      </c>
      <c r="AF199" s="79">
        <v>0.81</v>
      </c>
      <c r="AG199" s="79">
        <v>1.1100000000000001</v>
      </c>
      <c r="AH199" s="79">
        <v>1.4100000000000001</v>
      </c>
      <c r="AI199" s="79">
        <v>59</v>
      </c>
      <c r="AJ199" s="79">
        <v>76</v>
      </c>
      <c r="AK199" s="79">
        <v>93</v>
      </c>
      <c r="AL199" s="79" t="s">
        <v>42</v>
      </c>
      <c r="AM199" s="79" t="s">
        <v>42</v>
      </c>
      <c r="AN199" s="79" t="s">
        <v>42</v>
      </c>
      <c r="AO199" s="81">
        <v>7.552928986968222E-3</v>
      </c>
      <c r="AP199" s="81">
        <v>4.4740834589229152E-2</v>
      </c>
      <c r="AQ199" s="81">
        <v>0.13882382868449805</v>
      </c>
      <c r="AR199" s="81">
        <v>8.049705071915542E-3</v>
      </c>
      <c r="AS199" s="81">
        <v>4.5409991600000754E-2</v>
      </c>
      <c r="AT199" s="81">
        <v>0.13797815117772994</v>
      </c>
      <c r="AV199" s="82" t="s">
        <v>42</v>
      </c>
      <c r="AW199" s="82" t="s">
        <v>42</v>
      </c>
      <c r="AX199" s="82" t="s">
        <v>42</v>
      </c>
      <c r="AY199" s="82" t="s">
        <v>42</v>
      </c>
      <c r="AZ199" s="82" t="s">
        <v>42</v>
      </c>
      <c r="BA199" s="82" t="s">
        <v>42</v>
      </c>
      <c r="BC199" s="92" t="s">
        <v>42</v>
      </c>
      <c r="BD199" s="92" t="s">
        <v>42</v>
      </c>
      <c r="BE199" s="92" t="s">
        <v>42</v>
      </c>
      <c r="BG199" s="82">
        <v>5.8214525800641086</v>
      </c>
      <c r="BH199" s="82">
        <v>6.2544376077435304</v>
      </c>
      <c r="BI199" s="82">
        <v>6.7422713340164835</v>
      </c>
      <c r="BJ199" s="82">
        <v>0.16042885458509645</v>
      </c>
      <c r="BK199" s="82">
        <v>0.49079849424770189</v>
      </c>
      <c r="BL199" s="22">
        <v>1.8524728476097758</v>
      </c>
      <c r="BN199" s="18">
        <v>1155.6290883584522</v>
      </c>
      <c r="BO199" s="18">
        <v>10969.810884257759</v>
      </c>
      <c r="BP199" s="18">
        <v>245265.4924739821</v>
      </c>
      <c r="BR199" s="22">
        <v>6.6767575739117007</v>
      </c>
      <c r="BS199" s="22">
        <v>7.1097426015911251</v>
      </c>
      <c r="BT199" s="22">
        <v>7.5975763278640782</v>
      </c>
      <c r="BU199" s="22">
        <v>0.42947212363005843</v>
      </c>
      <c r="BV199" s="22">
        <v>1.3138800507186157</v>
      </c>
      <c r="BW199" s="22">
        <v>4.9591169237450998</v>
      </c>
      <c r="BY199" s="18">
        <v>3112.6096411949638</v>
      </c>
      <c r="BZ199" s="18">
        <v>28933.721509840441</v>
      </c>
      <c r="CA199" s="18">
        <v>616061.94008857105</v>
      </c>
      <c r="CC199">
        <v>376</v>
      </c>
      <c r="CD199" t="s">
        <v>416</v>
      </c>
      <c r="CE199">
        <v>613</v>
      </c>
    </row>
    <row r="200" spans="1:83" x14ac:dyDescent="0.2">
      <c r="A200">
        <v>377</v>
      </c>
      <c r="B200" t="s">
        <v>416</v>
      </c>
      <c r="C200" s="11" t="s">
        <v>135</v>
      </c>
      <c r="D200" s="11" t="s">
        <v>147</v>
      </c>
      <c r="E200" s="11" t="s">
        <v>42</v>
      </c>
      <c r="F200" s="91" t="s">
        <v>42</v>
      </c>
      <c r="G200" s="78" t="s">
        <v>42</v>
      </c>
      <c r="H200" s="78" t="s">
        <v>42</v>
      </c>
      <c r="I200" s="79">
        <v>32</v>
      </c>
      <c r="J200" s="79">
        <v>337</v>
      </c>
      <c r="K200" s="79" t="s">
        <v>42</v>
      </c>
      <c r="L200" s="79" t="s">
        <v>42</v>
      </c>
      <c r="M200" s="79">
        <v>40</v>
      </c>
      <c r="N200" s="79">
        <v>53</v>
      </c>
      <c r="O200" s="79">
        <v>65</v>
      </c>
      <c r="P200" s="79" t="s">
        <v>13</v>
      </c>
      <c r="Q200" s="79">
        <v>2</v>
      </c>
      <c r="R200" s="79">
        <v>0.5</v>
      </c>
      <c r="S200" s="79" t="s">
        <v>308</v>
      </c>
      <c r="T200" s="80">
        <v>387.04774652770487</v>
      </c>
      <c r="U200" s="80">
        <v>457</v>
      </c>
      <c r="V200" s="80">
        <v>457</v>
      </c>
      <c r="W200" s="80" t="s">
        <v>42</v>
      </c>
      <c r="X200" s="80" t="s">
        <v>42</v>
      </c>
      <c r="Y200" s="80" t="s">
        <v>42</v>
      </c>
      <c r="Z200" s="80" t="s">
        <v>42</v>
      </c>
      <c r="AB200" s="79" t="s">
        <v>470</v>
      </c>
      <c r="AC200" s="79">
        <v>8.3333333333333332E-3</v>
      </c>
      <c r="AD200" s="79">
        <v>2.4999999999999998E-2</v>
      </c>
      <c r="AE200" s="79">
        <v>4.1666666666666664E-2</v>
      </c>
      <c r="AF200" s="79">
        <v>0.81</v>
      </c>
      <c r="AG200" s="79">
        <v>1.1100000000000001</v>
      </c>
      <c r="AH200" s="79">
        <v>1.4100000000000001</v>
      </c>
      <c r="AI200" s="79">
        <v>59</v>
      </c>
      <c r="AJ200" s="79">
        <v>76</v>
      </c>
      <c r="AK200" s="79">
        <v>93</v>
      </c>
      <c r="AL200" s="79" t="s">
        <v>42</v>
      </c>
      <c r="AM200" s="79" t="s">
        <v>42</v>
      </c>
      <c r="AN200" s="79" t="s">
        <v>42</v>
      </c>
      <c r="AO200" s="81">
        <v>7.9197230226198539E-3</v>
      </c>
      <c r="AP200" s="81">
        <v>4.5542816973830121E-2</v>
      </c>
      <c r="AQ200" s="81">
        <v>0.13766146498009818</v>
      </c>
      <c r="AR200" s="81" t="s">
        <v>42</v>
      </c>
      <c r="AS200" s="81" t="s">
        <v>42</v>
      </c>
      <c r="AT200" s="81" t="s">
        <v>42</v>
      </c>
      <c r="AV200" s="82" t="s">
        <v>42</v>
      </c>
      <c r="AW200" s="82" t="s">
        <v>42</v>
      </c>
      <c r="AX200" s="82" t="s">
        <v>42</v>
      </c>
      <c r="AY200" s="82" t="s">
        <v>42</v>
      </c>
      <c r="AZ200" s="82" t="s">
        <v>42</v>
      </c>
      <c r="BA200" s="82" t="s">
        <v>42</v>
      </c>
      <c r="BC200" s="92" t="s">
        <v>42</v>
      </c>
      <c r="BD200" s="92" t="s">
        <v>42</v>
      </c>
      <c r="BE200" s="92" t="s">
        <v>42</v>
      </c>
      <c r="BG200" s="82">
        <v>6.350834675869848</v>
      </c>
      <c r="BH200" s="82">
        <v>6.6921145577329808</v>
      </c>
      <c r="BI200" s="82">
        <v>7.0250463240201908</v>
      </c>
      <c r="BJ200" s="82">
        <v>0.29510293622519868</v>
      </c>
      <c r="BK200" s="82">
        <v>0.81234721640441343</v>
      </c>
      <c r="BL200" s="22">
        <v>2.5653069991718338</v>
      </c>
      <c r="BN200" s="18">
        <v>2143.6858620374405</v>
      </c>
      <c r="BO200" s="18">
        <v>17836.99978135313</v>
      </c>
      <c r="BP200" s="18">
        <v>323913.72676101839</v>
      </c>
      <c r="BR200" s="22" t="s">
        <v>42</v>
      </c>
      <c r="BS200" s="22" t="s">
        <v>42</v>
      </c>
      <c r="BT200" s="22" t="s">
        <v>42</v>
      </c>
      <c r="BU200" s="22" t="s">
        <v>42</v>
      </c>
      <c r="BV200" s="22" t="s">
        <v>42</v>
      </c>
      <c r="BW200" s="22" t="s">
        <v>42</v>
      </c>
      <c r="BY200" s="22" t="s">
        <v>42</v>
      </c>
      <c r="BZ200" s="22" t="s">
        <v>42</v>
      </c>
      <c r="CA200" s="22" t="s">
        <v>42</v>
      </c>
      <c r="CC200">
        <v>377</v>
      </c>
      <c r="CD200" t="s">
        <v>416</v>
      </c>
    </row>
    <row r="201" spans="1:83" x14ac:dyDescent="0.2">
      <c r="A201">
        <v>378</v>
      </c>
      <c r="B201" t="s">
        <v>416</v>
      </c>
      <c r="C201" s="11" t="s">
        <v>135</v>
      </c>
      <c r="D201" s="11" t="s">
        <v>139</v>
      </c>
      <c r="E201" s="11" t="s">
        <v>42</v>
      </c>
      <c r="F201" s="91" t="s">
        <v>241</v>
      </c>
      <c r="G201" s="78" t="s">
        <v>42</v>
      </c>
      <c r="H201" s="78" t="s">
        <v>42</v>
      </c>
      <c r="I201" s="79">
        <v>30.6</v>
      </c>
      <c r="J201" s="79">
        <v>30</v>
      </c>
      <c r="K201" s="79">
        <v>74.900000000000006</v>
      </c>
      <c r="L201" s="79">
        <v>22</v>
      </c>
      <c r="M201" s="79">
        <v>40</v>
      </c>
      <c r="N201" s="79">
        <v>53</v>
      </c>
      <c r="O201" s="79">
        <v>65</v>
      </c>
      <c r="P201" s="79" t="s">
        <v>14</v>
      </c>
      <c r="Q201" s="79">
        <v>1</v>
      </c>
      <c r="R201" s="79">
        <v>0</v>
      </c>
      <c r="S201" s="79" t="s">
        <v>211</v>
      </c>
      <c r="T201" s="80">
        <v>359.23911971522642</v>
      </c>
      <c r="U201" s="80">
        <v>523.89038291803843</v>
      </c>
      <c r="V201" s="80">
        <v>748.41483274005509</v>
      </c>
      <c r="W201" s="80" t="s">
        <v>211</v>
      </c>
      <c r="X201" s="80">
        <v>1597.0466747918083</v>
      </c>
      <c r="Y201" s="80">
        <v>2329.0264007380538</v>
      </c>
      <c r="Z201" s="80">
        <v>3254.738823028385</v>
      </c>
      <c r="AB201" s="79" t="s">
        <v>470</v>
      </c>
      <c r="AC201" s="79">
        <v>8.3333333333333332E-3</v>
      </c>
      <c r="AD201" s="79">
        <v>2.4999999999999998E-2</v>
      </c>
      <c r="AE201" s="79">
        <v>4.1666666666666664E-2</v>
      </c>
      <c r="AF201" s="79">
        <v>0.81</v>
      </c>
      <c r="AG201" s="79">
        <v>1.1100000000000001</v>
      </c>
      <c r="AH201" s="79">
        <v>1.4100000000000001</v>
      </c>
      <c r="AI201" s="79">
        <v>59</v>
      </c>
      <c r="AJ201" s="79">
        <v>76</v>
      </c>
      <c r="AK201" s="79">
        <v>93</v>
      </c>
      <c r="AL201" s="79" t="s">
        <v>42</v>
      </c>
      <c r="AM201" s="79" t="s">
        <v>42</v>
      </c>
      <c r="AN201" s="79" t="s">
        <v>42</v>
      </c>
      <c r="AO201" s="81">
        <v>4.2718995824038812E-3</v>
      </c>
      <c r="AP201" s="81">
        <v>3.3169127873955158E-2</v>
      </c>
      <c r="AQ201" s="81">
        <v>0.12386268657785612</v>
      </c>
      <c r="AR201" s="81">
        <v>5.3028925968534157E-3</v>
      </c>
      <c r="AS201" s="81">
        <v>3.7304189377526983E-2</v>
      </c>
      <c r="AT201" s="81">
        <v>0.13144064359088795</v>
      </c>
      <c r="AV201" s="82" t="s">
        <v>42</v>
      </c>
      <c r="AW201" s="82" t="s">
        <v>42</v>
      </c>
      <c r="AX201" s="82" t="s">
        <v>42</v>
      </c>
      <c r="AY201" s="82" t="s">
        <v>42</v>
      </c>
      <c r="AZ201" s="82" t="s">
        <v>42</v>
      </c>
      <c r="BA201" s="82" t="s">
        <v>42</v>
      </c>
      <c r="BC201" s="92" t="s">
        <v>42</v>
      </c>
      <c r="BD201" s="92" t="s">
        <v>42</v>
      </c>
      <c r="BE201" s="92" t="s">
        <v>42</v>
      </c>
      <c r="BG201" s="82">
        <v>6.318453756139303</v>
      </c>
      <c r="BH201" s="82">
        <v>6.7514387838187249</v>
      </c>
      <c r="BI201" s="82">
        <v>7.2392725100916806</v>
      </c>
      <c r="BJ201" s="82">
        <v>0.2843040659855674</v>
      </c>
      <c r="BK201" s="82">
        <v>0.8697687698081864</v>
      </c>
      <c r="BL201" s="22">
        <v>3.2828605805694564</v>
      </c>
      <c r="BN201" s="18">
        <v>2295.3164818273412</v>
      </c>
      <c r="BO201" s="18">
        <v>26222.238134007152</v>
      </c>
      <c r="BP201" s="18">
        <v>768477.93756475113</v>
      </c>
      <c r="BR201" s="22">
        <v>6.9663877415024471</v>
      </c>
      <c r="BS201" s="22">
        <v>7.3993727691818689</v>
      </c>
      <c r="BT201" s="22">
        <v>7.877646268231369</v>
      </c>
      <c r="BU201" s="22">
        <v>0.59944599575621227</v>
      </c>
      <c r="BV201" s="22">
        <v>1.8338795278495654</v>
      </c>
      <c r="BW201" s="22">
        <v>6.8460382011502743</v>
      </c>
      <c r="BY201" s="18">
        <v>4560.5832365063716</v>
      </c>
      <c r="BZ201" s="18">
        <v>49160.149528791058</v>
      </c>
      <c r="CA201" s="18">
        <v>1291000.7276429692</v>
      </c>
      <c r="CC201">
        <v>378</v>
      </c>
      <c r="CD201" t="s">
        <v>416</v>
      </c>
      <c r="CE201">
        <v>614</v>
      </c>
    </row>
    <row r="202" spans="1:83" x14ac:dyDescent="0.2">
      <c r="A202">
        <v>379</v>
      </c>
      <c r="B202" t="s">
        <v>416</v>
      </c>
      <c r="C202" s="11" t="s">
        <v>135</v>
      </c>
      <c r="D202" s="11" t="s">
        <v>174</v>
      </c>
      <c r="E202" s="11" t="s">
        <v>42</v>
      </c>
      <c r="F202" s="91" t="s">
        <v>241</v>
      </c>
      <c r="G202" s="78" t="s">
        <v>42</v>
      </c>
      <c r="H202" s="78" t="s">
        <v>42</v>
      </c>
      <c r="I202" s="79">
        <v>44.3</v>
      </c>
      <c r="J202" s="79">
        <v>21</v>
      </c>
      <c r="K202" s="79">
        <v>74.900000000000006</v>
      </c>
      <c r="L202" s="79">
        <v>22</v>
      </c>
      <c r="M202" s="79">
        <v>40</v>
      </c>
      <c r="N202" s="79">
        <v>53</v>
      </c>
      <c r="O202" s="79">
        <v>65</v>
      </c>
      <c r="P202" s="79" t="s">
        <v>14</v>
      </c>
      <c r="Q202" s="79">
        <v>1</v>
      </c>
      <c r="R202" s="79">
        <v>0.5</v>
      </c>
      <c r="S202" s="79" t="s">
        <v>211</v>
      </c>
      <c r="T202" s="80">
        <v>665.56037293453619</v>
      </c>
      <c r="U202" s="80">
        <v>970.6088771961987</v>
      </c>
      <c r="V202" s="80">
        <v>1386.5841102802838</v>
      </c>
      <c r="W202" s="80" t="s">
        <v>211</v>
      </c>
      <c r="X202" s="80">
        <v>1597.0466747918083</v>
      </c>
      <c r="Y202" s="80">
        <v>2329.0264007380538</v>
      </c>
      <c r="Z202" s="80">
        <v>3254.738823028385</v>
      </c>
      <c r="AB202" s="79" t="s">
        <v>470</v>
      </c>
      <c r="AC202" s="79">
        <v>8.3333333333333332E-3</v>
      </c>
      <c r="AD202" s="79">
        <v>2.4999999999999998E-2</v>
      </c>
      <c r="AE202" s="79">
        <v>4.1666666666666664E-2</v>
      </c>
      <c r="AF202" s="79">
        <v>0.81</v>
      </c>
      <c r="AG202" s="79">
        <v>1.1100000000000001</v>
      </c>
      <c r="AH202" s="79">
        <v>1.4100000000000001</v>
      </c>
      <c r="AI202" s="79">
        <v>59</v>
      </c>
      <c r="AJ202" s="79">
        <v>76</v>
      </c>
      <c r="AK202" s="79">
        <v>93</v>
      </c>
      <c r="AL202" s="79" t="s">
        <v>42</v>
      </c>
      <c r="AM202" s="79" t="s">
        <v>42</v>
      </c>
      <c r="AN202" s="79" t="s">
        <v>42</v>
      </c>
      <c r="AO202" s="81">
        <v>5.4249005991454597E-3</v>
      </c>
      <c r="AP202" s="81">
        <v>3.7771521737629384E-2</v>
      </c>
      <c r="AQ202" s="81">
        <v>0.13221049677834917</v>
      </c>
      <c r="AR202" s="81">
        <v>5.3028925968534157E-3</v>
      </c>
      <c r="AS202" s="81">
        <v>3.7304189377526983E-2</v>
      </c>
      <c r="AT202" s="81">
        <v>0.13144064359088795</v>
      </c>
      <c r="AV202" s="82" t="s">
        <v>42</v>
      </c>
      <c r="AW202" s="82" t="s">
        <v>42</v>
      </c>
      <c r="AX202" s="82" t="s">
        <v>42</v>
      </c>
      <c r="AY202" s="82" t="s">
        <v>42</v>
      </c>
      <c r="AZ202" s="82" t="s">
        <v>42</v>
      </c>
      <c r="BA202" s="82" t="s">
        <v>42</v>
      </c>
      <c r="BC202" s="92" t="s">
        <v>42</v>
      </c>
      <c r="BD202" s="92" t="s">
        <v>42</v>
      </c>
      <c r="BE202" s="92" t="s">
        <v>42</v>
      </c>
      <c r="BG202" s="82">
        <v>6.5862575890417858</v>
      </c>
      <c r="BH202" s="82">
        <v>7.0192426167212076</v>
      </c>
      <c r="BI202" s="82">
        <v>7.5070763429941607</v>
      </c>
      <c r="BJ202" s="82">
        <v>0.38697685190495673</v>
      </c>
      <c r="BK202" s="82">
        <v>1.1838746634130282</v>
      </c>
      <c r="BL202" s="22">
        <v>4.4684237923496148</v>
      </c>
      <c r="BN202" s="18">
        <v>2926.9752503367658</v>
      </c>
      <c r="BO202" s="18">
        <v>31343.049179657715</v>
      </c>
      <c r="BP202" s="18">
        <v>823687.68066524377</v>
      </c>
      <c r="BR202" s="22">
        <v>6.9663877415024471</v>
      </c>
      <c r="BS202" s="22">
        <v>7.3993727691818689</v>
      </c>
      <c r="BT202" s="22">
        <v>7.877646268231369</v>
      </c>
      <c r="BU202" s="22">
        <v>0.59944599575621227</v>
      </c>
      <c r="BV202" s="22">
        <v>1.8338795278495654</v>
      </c>
      <c r="BW202" s="22">
        <v>6.8460382011502743</v>
      </c>
      <c r="BY202" s="18">
        <v>4560.5832365063716</v>
      </c>
      <c r="BZ202" s="18">
        <v>49160.149528791058</v>
      </c>
      <c r="CA202" s="18">
        <v>1291000.7276429692</v>
      </c>
      <c r="CC202">
        <v>379</v>
      </c>
      <c r="CD202" t="s">
        <v>416</v>
      </c>
      <c r="CE202">
        <v>614</v>
      </c>
    </row>
    <row r="203" spans="1:83" x14ac:dyDescent="0.2">
      <c r="A203">
        <v>380</v>
      </c>
      <c r="B203" t="s">
        <v>416</v>
      </c>
      <c r="C203" s="11" t="s">
        <v>135</v>
      </c>
      <c r="D203" s="11" t="s">
        <v>140</v>
      </c>
      <c r="E203" s="11" t="s">
        <v>42</v>
      </c>
      <c r="F203" s="91" t="s">
        <v>42</v>
      </c>
      <c r="G203" s="78" t="s">
        <v>42</v>
      </c>
      <c r="H203" s="78" t="s">
        <v>42</v>
      </c>
      <c r="I203" s="79">
        <v>31.2</v>
      </c>
      <c r="J203" s="79">
        <v>17</v>
      </c>
      <c r="K203" s="79" t="s">
        <v>42</v>
      </c>
      <c r="L203" s="79" t="s">
        <v>42</v>
      </c>
      <c r="M203" s="79">
        <v>40</v>
      </c>
      <c r="N203" s="79">
        <v>53</v>
      </c>
      <c r="O203" s="79">
        <v>65</v>
      </c>
      <c r="P203" s="79" t="s">
        <v>14</v>
      </c>
      <c r="Q203" s="79">
        <v>0.5</v>
      </c>
      <c r="R203" s="79">
        <v>0</v>
      </c>
      <c r="S203" s="79" t="s">
        <v>211</v>
      </c>
      <c r="T203" s="80">
        <v>371.05552512536866</v>
      </c>
      <c r="U203" s="80">
        <v>541.12264080782938</v>
      </c>
      <c r="V203" s="80">
        <v>773.03234401118482</v>
      </c>
      <c r="W203" s="80" t="s">
        <v>42</v>
      </c>
      <c r="X203" s="80" t="s">
        <v>42</v>
      </c>
      <c r="Y203" s="80" t="s">
        <v>42</v>
      </c>
      <c r="Z203" s="80" t="s">
        <v>42</v>
      </c>
      <c r="AB203" s="79" t="s">
        <v>470</v>
      </c>
      <c r="AC203" s="79">
        <v>8.3333333333333332E-3</v>
      </c>
      <c r="AD203" s="79">
        <v>2.4999999999999998E-2</v>
      </c>
      <c r="AE203" s="79">
        <v>4.1666666666666664E-2</v>
      </c>
      <c r="AF203" s="79">
        <v>0.81</v>
      </c>
      <c r="AG203" s="79">
        <v>1.1100000000000001</v>
      </c>
      <c r="AH203" s="79">
        <v>1.4100000000000001</v>
      </c>
      <c r="AI203" s="79">
        <v>59</v>
      </c>
      <c r="AJ203" s="79">
        <v>76</v>
      </c>
      <c r="AK203" s="79">
        <v>93</v>
      </c>
      <c r="AL203" s="79" t="s">
        <v>42</v>
      </c>
      <c r="AM203" s="79" t="s">
        <v>42</v>
      </c>
      <c r="AN203" s="79" t="s">
        <v>42</v>
      </c>
      <c r="AO203" s="81">
        <v>5.8960438046292219E-3</v>
      </c>
      <c r="AP203" s="81">
        <v>3.9524424747492549E-2</v>
      </c>
      <c r="AQ203" s="81">
        <v>0.13488502291387153</v>
      </c>
      <c r="AR203" s="81" t="s">
        <v>42</v>
      </c>
      <c r="AS203" s="81" t="s">
        <v>42</v>
      </c>
      <c r="AT203" s="81" t="s">
        <v>42</v>
      </c>
      <c r="AV203" s="82" t="s">
        <v>42</v>
      </c>
      <c r="AW203" s="82" t="s">
        <v>42</v>
      </c>
      <c r="AX203" s="82" t="s">
        <v>42</v>
      </c>
      <c r="AY203" s="82" t="s">
        <v>42</v>
      </c>
      <c r="AZ203" s="82" t="s">
        <v>42</v>
      </c>
      <c r="BA203" s="82" t="s">
        <v>42</v>
      </c>
      <c r="BC203" s="92" t="s">
        <v>42</v>
      </c>
      <c r="BD203" s="92" t="s">
        <v>42</v>
      </c>
      <c r="BE203" s="92" t="s">
        <v>42</v>
      </c>
      <c r="BG203" s="82">
        <v>6.3325090353674085</v>
      </c>
      <c r="BH203" s="82">
        <v>6.7654940630468303</v>
      </c>
      <c r="BI203" s="82">
        <v>7.2533277893197834</v>
      </c>
      <c r="BJ203" s="82">
        <v>0.28894202386154899</v>
      </c>
      <c r="BK203" s="82">
        <v>0.88395763095665647</v>
      </c>
      <c r="BL203" s="22">
        <v>3.336415105133212</v>
      </c>
      <c r="BN203" s="18">
        <v>2142.1357065420661</v>
      </c>
      <c r="BO203" s="18">
        <v>22364.84494344817</v>
      </c>
      <c r="BP203" s="18">
        <v>565873.52734958613</v>
      </c>
      <c r="BR203" s="22" t="s">
        <v>42</v>
      </c>
      <c r="BS203" s="22" t="s">
        <v>42</v>
      </c>
      <c r="BT203" s="22" t="s">
        <v>42</v>
      </c>
      <c r="BU203" s="22" t="s">
        <v>42</v>
      </c>
      <c r="BV203" s="22" t="s">
        <v>42</v>
      </c>
      <c r="BW203" s="22" t="s">
        <v>42</v>
      </c>
      <c r="BY203" s="22" t="s">
        <v>42</v>
      </c>
      <c r="BZ203" s="22" t="s">
        <v>42</v>
      </c>
      <c r="CA203" s="22" t="s">
        <v>42</v>
      </c>
      <c r="CC203">
        <v>380</v>
      </c>
      <c r="CD203" t="s">
        <v>416</v>
      </c>
    </row>
    <row r="204" spans="1:83" x14ac:dyDescent="0.2">
      <c r="A204">
        <v>381</v>
      </c>
      <c r="B204" t="s">
        <v>416</v>
      </c>
      <c r="C204" s="11" t="s">
        <v>135</v>
      </c>
      <c r="D204" s="11" t="s">
        <v>141</v>
      </c>
      <c r="E204" s="11" t="s">
        <v>42</v>
      </c>
      <c r="F204" s="91" t="s">
        <v>243</v>
      </c>
      <c r="G204" s="78" t="s">
        <v>42</v>
      </c>
      <c r="H204" s="78" t="s">
        <v>42</v>
      </c>
      <c r="I204" s="79">
        <v>29</v>
      </c>
      <c r="J204" s="79">
        <v>354</v>
      </c>
      <c r="K204" s="79">
        <v>36.4</v>
      </c>
      <c r="L204" s="79">
        <v>2</v>
      </c>
      <c r="M204" s="79">
        <v>40</v>
      </c>
      <c r="N204" s="79">
        <v>53</v>
      </c>
      <c r="O204" s="79">
        <v>65</v>
      </c>
      <c r="P204" s="79" t="s">
        <v>13</v>
      </c>
      <c r="Q204" s="79">
        <v>2</v>
      </c>
      <c r="R204" s="79">
        <v>0.5</v>
      </c>
      <c r="S204" s="79" t="s">
        <v>211</v>
      </c>
      <c r="T204" s="80">
        <v>328.48174757325427</v>
      </c>
      <c r="U204" s="80">
        <v>479.03588187766246</v>
      </c>
      <c r="V204" s="80">
        <v>684.33697411094636</v>
      </c>
      <c r="W204" s="80" t="s">
        <v>211</v>
      </c>
      <c r="X204" s="80">
        <v>479.75210113879592</v>
      </c>
      <c r="Y204" s="80">
        <v>699.63848082741072</v>
      </c>
      <c r="Z204" s="80">
        <v>999.48354403915812</v>
      </c>
      <c r="AB204" s="79" t="s">
        <v>470</v>
      </c>
      <c r="AC204" s="79">
        <v>8.3333333333333332E-3</v>
      </c>
      <c r="AD204" s="79">
        <v>2.4999999999999998E-2</v>
      </c>
      <c r="AE204" s="79">
        <v>4.1666666666666664E-2</v>
      </c>
      <c r="AF204" s="79">
        <v>0.81</v>
      </c>
      <c r="AG204" s="79">
        <v>1.1100000000000001</v>
      </c>
      <c r="AH204" s="79">
        <v>1.4100000000000001</v>
      </c>
      <c r="AI204" s="79">
        <v>59</v>
      </c>
      <c r="AJ204" s="79">
        <v>76</v>
      </c>
      <c r="AK204" s="79">
        <v>93</v>
      </c>
      <c r="AL204" s="79" t="s">
        <v>42</v>
      </c>
      <c r="AM204" s="79" t="s">
        <v>42</v>
      </c>
      <c r="AN204" s="79" t="s">
        <v>42</v>
      </c>
      <c r="AO204" s="81">
        <v>7.9859303431396821E-3</v>
      </c>
      <c r="AP204" s="81">
        <v>4.5542816973830121E-2</v>
      </c>
      <c r="AQ204" s="81">
        <v>0.13766146498009818</v>
      </c>
      <c r="AR204" s="81">
        <v>7.3899450410246908E-3</v>
      </c>
      <c r="AS204" s="81">
        <v>4.4324270807624758E-2</v>
      </c>
      <c r="AT204" s="81">
        <v>0.13899317045243775</v>
      </c>
      <c r="AV204" s="82" t="s">
        <v>42</v>
      </c>
      <c r="AW204" s="82" t="s">
        <v>42</v>
      </c>
      <c r="AX204" s="82" t="s">
        <v>42</v>
      </c>
      <c r="AY204" s="82" t="s">
        <v>42</v>
      </c>
      <c r="AZ204" s="82" t="s">
        <v>42</v>
      </c>
      <c r="BA204" s="82" t="s">
        <v>42</v>
      </c>
      <c r="BC204" s="92" t="s">
        <v>42</v>
      </c>
      <c r="BD204" s="92" t="s">
        <v>42</v>
      </c>
      <c r="BE204" s="92" t="s">
        <v>42</v>
      </c>
      <c r="BG204" s="82">
        <v>6.279581375168263</v>
      </c>
      <c r="BH204" s="82">
        <v>6.7125664028476848</v>
      </c>
      <c r="BI204" s="82">
        <v>7.2004001291206379</v>
      </c>
      <c r="BJ204" s="82">
        <v>0.2718609813930315</v>
      </c>
      <c r="BK204" s="82">
        <v>0.83170175750165631</v>
      </c>
      <c r="BL204" s="22">
        <v>3.1391802157884525</v>
      </c>
      <c r="BN204" s="18">
        <v>1974.8517236274847</v>
      </c>
      <c r="BO204" s="18">
        <v>18261.974396084675</v>
      </c>
      <c r="BP204" s="18">
        <v>393088.85513698065</v>
      </c>
      <c r="BR204" s="22">
        <v>6.4440870180850967</v>
      </c>
      <c r="BS204" s="22">
        <v>6.8770720457645185</v>
      </c>
      <c r="BT204" s="22">
        <v>7.3649057720374715</v>
      </c>
      <c r="BU204" s="22">
        <v>0.32854866116943626</v>
      </c>
      <c r="BV204" s="22">
        <v>1.0051258460087371</v>
      </c>
      <c r="BW204" s="22">
        <v>3.7937531593613043</v>
      </c>
      <c r="BY204" s="18">
        <v>2363.7755732887808</v>
      </c>
      <c r="BZ204" s="18">
        <v>22676.647076071768</v>
      </c>
      <c r="CA204" s="18">
        <v>513366.89762922272</v>
      </c>
      <c r="CC204">
        <v>381</v>
      </c>
      <c r="CD204" t="s">
        <v>416</v>
      </c>
      <c r="CE204">
        <v>615</v>
      </c>
    </row>
    <row r="205" spans="1:83" x14ac:dyDescent="0.2">
      <c r="A205">
        <v>382</v>
      </c>
      <c r="B205" t="s">
        <v>416</v>
      </c>
      <c r="C205" s="11" t="s">
        <v>135</v>
      </c>
      <c r="D205" s="11" t="s">
        <v>145</v>
      </c>
      <c r="E205" s="11" t="s">
        <v>42</v>
      </c>
      <c r="F205" s="91" t="s">
        <v>243</v>
      </c>
      <c r="G205" s="78" t="s">
        <v>42</v>
      </c>
      <c r="H205" s="78" t="s">
        <v>42</v>
      </c>
      <c r="I205" s="79">
        <v>7.4</v>
      </c>
      <c r="J205" s="79">
        <v>3</v>
      </c>
      <c r="K205" s="79">
        <v>36.4</v>
      </c>
      <c r="L205" s="79">
        <v>2</v>
      </c>
      <c r="M205" s="79">
        <v>40</v>
      </c>
      <c r="N205" s="79">
        <v>53</v>
      </c>
      <c r="O205" s="79">
        <v>65</v>
      </c>
      <c r="P205" s="79" t="s">
        <v>13</v>
      </c>
      <c r="Q205" s="79">
        <v>2.5</v>
      </c>
      <c r="R205" s="79">
        <v>0.5</v>
      </c>
      <c r="S205" s="79" t="s">
        <v>211</v>
      </c>
      <c r="T205" s="80">
        <v>33.721025913240382</v>
      </c>
      <c r="U205" s="80">
        <v>49.176496123475559</v>
      </c>
      <c r="V205" s="80">
        <v>70.252137319250792</v>
      </c>
      <c r="W205" s="80" t="s">
        <v>211</v>
      </c>
      <c r="X205" s="80">
        <v>479.75210113879592</v>
      </c>
      <c r="Y205" s="80">
        <v>699.63848082741072</v>
      </c>
      <c r="Z205" s="80">
        <v>999.48354403915812</v>
      </c>
      <c r="AB205" s="79" t="s">
        <v>470</v>
      </c>
      <c r="AC205" s="79">
        <v>8.3333333333333332E-3</v>
      </c>
      <c r="AD205" s="79">
        <v>2.4999999999999998E-2</v>
      </c>
      <c r="AE205" s="79">
        <v>4.1666666666666664E-2</v>
      </c>
      <c r="AF205" s="79">
        <v>0.81</v>
      </c>
      <c r="AG205" s="79">
        <v>1.1100000000000001</v>
      </c>
      <c r="AH205" s="79">
        <v>1.4100000000000001</v>
      </c>
      <c r="AI205" s="79">
        <v>59</v>
      </c>
      <c r="AJ205" s="79">
        <v>76</v>
      </c>
      <c r="AK205" s="79">
        <v>93</v>
      </c>
      <c r="AL205" s="79" t="s">
        <v>42</v>
      </c>
      <c r="AM205" s="79" t="s">
        <v>42</v>
      </c>
      <c r="AN205" s="79" t="s">
        <v>42</v>
      </c>
      <c r="AO205" s="81">
        <v>7.3050639098199031E-3</v>
      </c>
      <c r="AP205" s="81">
        <v>4.4095703757912934E-2</v>
      </c>
      <c r="AQ205" s="81">
        <v>0.13901434301020929</v>
      </c>
      <c r="AR205" s="81">
        <v>7.3899450410246908E-3</v>
      </c>
      <c r="AS205" s="81">
        <v>4.4324270807624758E-2</v>
      </c>
      <c r="AT205" s="81">
        <v>0.13899317045243775</v>
      </c>
      <c r="AV205" s="82" t="s">
        <v>42</v>
      </c>
      <c r="AW205" s="82" t="s">
        <v>42</v>
      </c>
      <c r="AX205" s="82" t="s">
        <v>42</v>
      </c>
      <c r="AY205" s="82" t="s">
        <v>42</v>
      </c>
      <c r="AZ205" s="82" t="s">
        <v>42</v>
      </c>
      <c r="BA205" s="82" t="s">
        <v>42</v>
      </c>
      <c r="BC205" s="92" t="s">
        <v>42</v>
      </c>
      <c r="BD205" s="92" t="s">
        <v>42</v>
      </c>
      <c r="BE205" s="92" t="s">
        <v>42</v>
      </c>
      <c r="BG205" s="82">
        <v>5.2909709115549646</v>
      </c>
      <c r="BH205" s="82">
        <v>5.7239559392343864</v>
      </c>
      <c r="BI205" s="82">
        <v>6.2117896655073395</v>
      </c>
      <c r="BJ205" s="82">
        <v>8.7104711873004267E-2</v>
      </c>
      <c r="BK205" s="82">
        <v>0.2664786302919967</v>
      </c>
      <c r="BL205" s="22">
        <v>1.0057985769512761</v>
      </c>
      <c r="BN205" s="18">
        <v>626.58794759478337</v>
      </c>
      <c r="BO205" s="18">
        <v>6043.1880564821995</v>
      </c>
      <c r="BP205" s="18">
        <v>137685.11670366381</v>
      </c>
      <c r="BR205" s="22">
        <v>6.4440870180850967</v>
      </c>
      <c r="BS205" s="22">
        <v>6.8770720457645185</v>
      </c>
      <c r="BT205" s="22">
        <v>7.3649057720374715</v>
      </c>
      <c r="BU205" s="22">
        <v>0.32854866116943626</v>
      </c>
      <c r="BV205" s="22">
        <v>1.0051258460087371</v>
      </c>
      <c r="BW205" s="22">
        <v>3.7937531593613043</v>
      </c>
      <c r="BY205" s="18">
        <v>2363.7755732887808</v>
      </c>
      <c r="BZ205" s="18">
        <v>22676.647076071768</v>
      </c>
      <c r="CA205" s="18">
        <v>513366.89762922272</v>
      </c>
      <c r="CC205">
        <v>382</v>
      </c>
      <c r="CD205" t="s">
        <v>416</v>
      </c>
      <c r="CE205">
        <v>615</v>
      </c>
    </row>
    <row r="206" spans="1:83" x14ac:dyDescent="0.2">
      <c r="A206">
        <v>383</v>
      </c>
      <c r="B206" t="s">
        <v>416</v>
      </c>
      <c r="C206" s="11" t="s">
        <v>135</v>
      </c>
      <c r="D206" s="11" t="s">
        <v>171</v>
      </c>
      <c r="E206" s="11" t="s">
        <v>42</v>
      </c>
      <c r="F206" s="91" t="s">
        <v>42</v>
      </c>
      <c r="G206" s="78" t="s">
        <v>42</v>
      </c>
      <c r="H206" s="78" t="s">
        <v>42</v>
      </c>
      <c r="I206" s="79">
        <v>29.9</v>
      </c>
      <c r="J206" s="79">
        <v>342</v>
      </c>
      <c r="K206" s="79" t="s">
        <v>42</v>
      </c>
      <c r="L206" s="79" t="s">
        <v>42</v>
      </c>
      <c r="M206" s="79">
        <v>40</v>
      </c>
      <c r="N206" s="79">
        <v>53</v>
      </c>
      <c r="O206" s="79">
        <v>65</v>
      </c>
      <c r="P206" s="79" t="s">
        <v>13</v>
      </c>
      <c r="Q206" s="79">
        <v>1.5</v>
      </c>
      <c r="R206" s="79">
        <v>0.5</v>
      </c>
      <c r="S206" s="79" t="s">
        <v>308</v>
      </c>
      <c r="T206" s="80">
        <v>300</v>
      </c>
      <c r="U206" s="80">
        <v>300</v>
      </c>
      <c r="V206" s="80">
        <v>300</v>
      </c>
      <c r="W206" s="80" t="s">
        <v>42</v>
      </c>
      <c r="X206" s="80" t="s">
        <v>42</v>
      </c>
      <c r="Y206" s="80" t="s">
        <v>42</v>
      </c>
      <c r="Z206" s="80" t="s">
        <v>42</v>
      </c>
      <c r="AB206" s="79" t="s">
        <v>470</v>
      </c>
      <c r="AC206" s="79">
        <v>8.3333333333333332E-3</v>
      </c>
      <c r="AD206" s="79">
        <v>2.4999999999999998E-2</v>
      </c>
      <c r="AE206" s="79">
        <v>4.1666666666666664E-2</v>
      </c>
      <c r="AF206" s="79">
        <v>0.81</v>
      </c>
      <c r="AG206" s="79">
        <v>1.1100000000000001</v>
      </c>
      <c r="AH206" s="79">
        <v>1.4100000000000001</v>
      </c>
      <c r="AI206" s="79">
        <v>59</v>
      </c>
      <c r="AJ206" s="79">
        <v>76</v>
      </c>
      <c r="AK206" s="79">
        <v>93</v>
      </c>
      <c r="AL206" s="79" t="s">
        <v>42</v>
      </c>
      <c r="AM206" s="79" t="s">
        <v>42</v>
      </c>
      <c r="AN206" s="79" t="s">
        <v>42</v>
      </c>
      <c r="AO206" s="81">
        <v>8.226243184009845E-3</v>
      </c>
      <c r="AP206" s="81">
        <v>4.4928704431758504E-2</v>
      </c>
      <c r="AQ206" s="81">
        <v>0.13867571105747287</v>
      </c>
      <c r="AR206" s="81" t="s">
        <v>42</v>
      </c>
      <c r="AS206" s="81" t="s">
        <v>42</v>
      </c>
      <c r="AT206" s="81" t="s">
        <v>42</v>
      </c>
      <c r="AV206" s="82" t="s">
        <v>42</v>
      </c>
      <c r="AW206" s="82" t="s">
        <v>42</v>
      </c>
      <c r="AX206" s="82" t="s">
        <v>42</v>
      </c>
      <c r="AY206" s="82" t="s">
        <v>42</v>
      </c>
      <c r="AZ206" s="82" t="s">
        <v>42</v>
      </c>
      <c r="BA206" s="82" t="s">
        <v>42</v>
      </c>
      <c r="BC206" s="92" t="s">
        <v>42</v>
      </c>
      <c r="BD206" s="92" t="s">
        <v>42</v>
      </c>
      <c r="BE206" s="92" t="s">
        <v>42</v>
      </c>
      <c r="BG206" s="82">
        <v>6.2401913873420414</v>
      </c>
      <c r="BH206" s="82">
        <v>6.5093196123827939</v>
      </c>
      <c r="BI206" s="82">
        <v>6.8422513786700039</v>
      </c>
      <c r="BJ206" s="82">
        <v>0.25980762113533168</v>
      </c>
      <c r="BK206" s="82">
        <v>0.65817930687617343</v>
      </c>
      <c r="BL206" s="22">
        <v>2.0784609690826548</v>
      </c>
      <c r="BN206" s="18">
        <v>1873.4904559289175</v>
      </c>
      <c r="BO206" s="18">
        <v>14649.416563432662</v>
      </c>
      <c r="BP206" s="18">
        <v>252662.23263649229</v>
      </c>
      <c r="BR206" s="22" t="s">
        <v>42</v>
      </c>
      <c r="BS206" s="22" t="s">
        <v>42</v>
      </c>
      <c r="BT206" s="22" t="s">
        <v>42</v>
      </c>
      <c r="BU206" s="22" t="s">
        <v>42</v>
      </c>
      <c r="BV206" s="22" t="s">
        <v>42</v>
      </c>
      <c r="BW206" s="22" t="s">
        <v>42</v>
      </c>
      <c r="BY206" s="22" t="s">
        <v>42</v>
      </c>
      <c r="BZ206" s="22" t="s">
        <v>42</v>
      </c>
      <c r="CA206" s="22" t="s">
        <v>42</v>
      </c>
      <c r="CC206">
        <v>383</v>
      </c>
      <c r="CD206" t="s">
        <v>416</v>
      </c>
    </row>
    <row r="207" spans="1:83" x14ac:dyDescent="0.2">
      <c r="A207">
        <v>384</v>
      </c>
      <c r="B207">
        <v>158</v>
      </c>
      <c r="C207" s="11" t="s">
        <v>135</v>
      </c>
      <c r="D207" s="11" t="s">
        <v>172</v>
      </c>
      <c r="E207" s="11" t="s">
        <v>209</v>
      </c>
      <c r="F207" s="91" t="s">
        <v>419</v>
      </c>
      <c r="G207" s="78">
        <v>24.3</v>
      </c>
      <c r="H207" s="78">
        <v>178</v>
      </c>
      <c r="I207" s="79">
        <v>42.900000000000006</v>
      </c>
      <c r="J207" s="79">
        <v>169</v>
      </c>
      <c r="K207" s="79">
        <v>72.600000000000009</v>
      </c>
      <c r="L207" s="79">
        <v>171</v>
      </c>
      <c r="M207" s="79">
        <v>40</v>
      </c>
      <c r="N207" s="79">
        <v>53</v>
      </c>
      <c r="O207" s="79">
        <v>65</v>
      </c>
      <c r="P207" s="79" t="s">
        <v>9</v>
      </c>
      <c r="Q207" s="79">
        <v>1.5</v>
      </c>
      <c r="R207" s="79">
        <v>0.5</v>
      </c>
      <c r="S207" s="79" t="s">
        <v>308</v>
      </c>
      <c r="T207" s="80">
        <v>630.87511903990753</v>
      </c>
      <c r="U207" s="80">
        <v>682</v>
      </c>
      <c r="V207" s="80">
        <v>682</v>
      </c>
      <c r="W207" s="80" t="s">
        <v>308</v>
      </c>
      <c r="X207" s="80">
        <v>972.67769250516562</v>
      </c>
      <c r="Y207" s="80">
        <v>1180.4620863035011</v>
      </c>
      <c r="Z207" s="80">
        <v>1312</v>
      </c>
      <c r="AB207" s="79" t="s">
        <v>470</v>
      </c>
      <c r="AC207" s="79">
        <v>8.3333333333333332E-3</v>
      </c>
      <c r="AD207" s="79">
        <v>2.4999999999999998E-2</v>
      </c>
      <c r="AE207" s="79">
        <v>4.1666666666666664E-2</v>
      </c>
      <c r="AF207" s="79">
        <v>0.81</v>
      </c>
      <c r="AG207" s="79">
        <v>1.1100000000000001</v>
      </c>
      <c r="AH207" s="79">
        <v>1.4100000000000001</v>
      </c>
      <c r="AI207" s="79">
        <v>59</v>
      </c>
      <c r="AJ207" s="79">
        <v>76</v>
      </c>
      <c r="AK207" s="79">
        <v>93</v>
      </c>
      <c r="AL207" s="81">
        <v>7.7067108523806533E-3</v>
      </c>
      <c r="AM207" s="81">
        <v>4.5102888555683812E-2</v>
      </c>
      <c r="AN207" s="81">
        <v>0.1384853514654778</v>
      </c>
      <c r="AO207" s="81">
        <v>8.2801007791133245E-3</v>
      </c>
      <c r="AP207" s="81">
        <v>4.4740834589229145E-2</v>
      </c>
      <c r="AQ207" s="81">
        <v>0.13882382868449805</v>
      </c>
      <c r="AR207" s="81">
        <v>8.1698797955431154E-3</v>
      </c>
      <c r="AS207" s="81">
        <v>4.5102888555683812E-2</v>
      </c>
      <c r="AT207" s="81">
        <v>0.1384853514654778</v>
      </c>
      <c r="AV207" s="82">
        <v>6.1249285013338577</v>
      </c>
      <c r="AW207" s="82">
        <v>6.5579135290132795</v>
      </c>
      <c r="AX207" s="82">
        <v>7.0457472552862326</v>
      </c>
      <c r="AY207" s="82">
        <v>0.23461392045916787</v>
      </c>
      <c r="AZ207" s="82">
        <v>0.71775217238013456</v>
      </c>
      <c r="BA207" s="82">
        <v>2.7090882026546863</v>
      </c>
      <c r="BC207" s="92">
        <v>1694.1425066004429</v>
      </c>
      <c r="BD207" s="92">
        <v>15913.663079339167</v>
      </c>
      <c r="BE207" s="92">
        <v>351523.27037387568</v>
      </c>
      <c r="BG207" s="82">
        <v>6.56301353231121</v>
      </c>
      <c r="BH207" s="82">
        <v>6.865982732319611</v>
      </c>
      <c r="BI207" s="82">
        <v>7.198914498606821</v>
      </c>
      <c r="BJ207" s="82">
        <v>0.37675841302349089</v>
      </c>
      <c r="BK207" s="82">
        <v>0.99237492914724601</v>
      </c>
      <c r="BL207" s="22">
        <v>3.1338155657281481</v>
      </c>
      <c r="BN207" s="18">
        <v>2713.9318702968617</v>
      </c>
      <c r="BO207" s="18">
        <v>22180.518943340168</v>
      </c>
      <c r="BP207" s="18">
        <v>378475.53421490279</v>
      </c>
      <c r="BR207" s="22">
        <v>6.7510390884557054</v>
      </c>
      <c r="BS207" s="22">
        <v>7.1042504007732648</v>
      </c>
      <c r="BT207" s="22">
        <v>7.483063958989983</v>
      </c>
      <c r="BU207" s="22">
        <v>0.46781671711650324</v>
      </c>
      <c r="BV207" s="22">
        <v>1.3055984270143162</v>
      </c>
      <c r="BW207" s="22">
        <v>4.3465848663059647</v>
      </c>
      <c r="BY207" s="18">
        <v>3378.0953159737078</v>
      </c>
      <c r="BZ207" s="18">
        <v>28947.113340699467</v>
      </c>
      <c r="CA207" s="18">
        <v>532025.55913700734</v>
      </c>
      <c r="CC207">
        <v>384</v>
      </c>
      <c r="CD207">
        <v>158</v>
      </c>
      <c r="CE207">
        <v>616</v>
      </c>
    </row>
    <row r="208" spans="1:83" x14ac:dyDescent="0.2">
      <c r="A208">
        <v>384</v>
      </c>
      <c r="B208">
        <v>159</v>
      </c>
      <c r="C208" s="11" t="s">
        <v>135</v>
      </c>
      <c r="D208" s="11" t="s">
        <v>172</v>
      </c>
      <c r="E208" s="11" t="s">
        <v>210</v>
      </c>
      <c r="F208" s="91" t="s">
        <v>419</v>
      </c>
      <c r="G208" s="78">
        <v>18.600000000000001</v>
      </c>
      <c r="H208" s="78">
        <v>157</v>
      </c>
      <c r="I208" s="79">
        <v>42.900000000000006</v>
      </c>
      <c r="J208" s="79">
        <v>169</v>
      </c>
      <c r="K208" s="79">
        <v>72.600000000000009</v>
      </c>
      <c r="L208" s="79">
        <v>171</v>
      </c>
      <c r="M208" s="79">
        <v>40</v>
      </c>
      <c r="N208" s="79">
        <v>53</v>
      </c>
      <c r="O208" s="79">
        <v>65</v>
      </c>
      <c r="P208" s="79" t="s">
        <v>9</v>
      </c>
      <c r="Q208" s="79">
        <v>1.5</v>
      </c>
      <c r="R208" s="79">
        <v>0.5</v>
      </c>
      <c r="S208" s="79" t="s">
        <v>308</v>
      </c>
      <c r="T208" s="80">
        <v>630.87511903990753</v>
      </c>
      <c r="U208" s="80">
        <v>682</v>
      </c>
      <c r="V208" s="80">
        <v>682</v>
      </c>
      <c r="W208" s="80" t="s">
        <v>308</v>
      </c>
      <c r="X208" s="80">
        <v>972.67769250516562</v>
      </c>
      <c r="Y208" s="80">
        <v>1180.4620863035011</v>
      </c>
      <c r="Z208" s="80">
        <v>1312</v>
      </c>
      <c r="AB208" s="79" t="s">
        <v>470</v>
      </c>
      <c r="AC208" s="79">
        <v>8.3333333333333332E-3</v>
      </c>
      <c r="AD208" s="79">
        <v>2.4999999999999998E-2</v>
      </c>
      <c r="AE208" s="79">
        <v>4.1666666666666664E-2</v>
      </c>
      <c r="AF208" s="79">
        <v>0.81</v>
      </c>
      <c r="AG208" s="79">
        <v>1.1100000000000001</v>
      </c>
      <c r="AH208" s="79">
        <v>1.4100000000000001</v>
      </c>
      <c r="AI208" s="79">
        <v>59</v>
      </c>
      <c r="AJ208" s="79">
        <v>76</v>
      </c>
      <c r="AK208" s="79">
        <v>93</v>
      </c>
      <c r="AL208" s="81">
        <v>7.9197230226198557E-3</v>
      </c>
      <c r="AM208" s="81">
        <v>4.5542816973830121E-2</v>
      </c>
      <c r="AN208" s="81">
        <v>0.13766146498009815</v>
      </c>
      <c r="AO208" s="81">
        <v>8.2801007791133245E-3</v>
      </c>
      <c r="AP208" s="81">
        <v>4.4740834589229145E-2</v>
      </c>
      <c r="AQ208" s="81">
        <v>0.13882382868449805</v>
      </c>
      <c r="AR208" s="81">
        <v>8.1698797955431154E-3</v>
      </c>
      <c r="AS208" s="81">
        <v>4.5102888555683812E-2</v>
      </c>
      <c r="AT208" s="81">
        <v>0.1384853514654778</v>
      </c>
      <c r="AV208" s="82">
        <v>5.9314396190331964</v>
      </c>
      <c r="AW208" s="82">
        <v>6.3644246467126182</v>
      </c>
      <c r="AX208" s="82">
        <v>6.8522583729855713</v>
      </c>
      <c r="AY208" s="82">
        <v>0.18776270599578695</v>
      </c>
      <c r="AZ208" s="82">
        <v>0.57442069019900055</v>
      </c>
      <c r="BA208" s="82">
        <v>2.1680969770088079</v>
      </c>
      <c r="BC208" s="92">
        <v>1363.9452843461456</v>
      </c>
      <c r="BD208" s="92">
        <v>12612.761536667242</v>
      </c>
      <c r="BE208" s="92">
        <v>273759.19218594063</v>
      </c>
      <c r="BG208" s="82">
        <v>6.56301353231121</v>
      </c>
      <c r="BH208" s="82">
        <v>6.865982732319611</v>
      </c>
      <c r="BI208" s="82">
        <v>7.198914498606821</v>
      </c>
      <c r="BJ208" s="82">
        <v>0.37675841302349089</v>
      </c>
      <c r="BK208" s="82">
        <v>0.99237492914724601</v>
      </c>
      <c r="BL208" s="22">
        <v>3.1338155657281481</v>
      </c>
      <c r="BN208" s="18">
        <v>2713.9318702968617</v>
      </c>
      <c r="BO208" s="18">
        <v>22180.518943340168</v>
      </c>
      <c r="BP208" s="18">
        <v>378475.53421490279</v>
      </c>
      <c r="BR208" s="22">
        <v>6.7510390884557054</v>
      </c>
      <c r="BS208" s="22">
        <v>7.1042504007732648</v>
      </c>
      <c r="BT208" s="22">
        <v>7.483063958989983</v>
      </c>
      <c r="BU208" s="22">
        <v>0.46781671711650324</v>
      </c>
      <c r="BV208" s="22">
        <v>1.3055984270143162</v>
      </c>
      <c r="BW208" s="22">
        <v>4.3465848663059647</v>
      </c>
      <c r="BY208" s="18">
        <v>3378.0953159737078</v>
      </c>
      <c r="BZ208" s="18">
        <v>28947.113340699467</v>
      </c>
      <c r="CA208" s="18">
        <v>532025.55913700734</v>
      </c>
      <c r="CC208">
        <v>384</v>
      </c>
      <c r="CD208">
        <v>159</v>
      </c>
      <c r="CE208">
        <v>616</v>
      </c>
    </row>
    <row r="209" spans="1:83" x14ac:dyDescent="0.2">
      <c r="A209">
        <v>385</v>
      </c>
      <c r="B209">
        <v>160</v>
      </c>
      <c r="C209" s="11" t="s">
        <v>135</v>
      </c>
      <c r="D209" s="11" t="s">
        <v>170</v>
      </c>
      <c r="E209" s="11" t="s">
        <v>417</v>
      </c>
      <c r="F209" s="91" t="s">
        <v>419</v>
      </c>
      <c r="G209" s="78">
        <v>14.2</v>
      </c>
      <c r="H209" s="78">
        <v>345</v>
      </c>
      <c r="I209" s="79">
        <v>29.7</v>
      </c>
      <c r="J209" s="79">
        <v>2</v>
      </c>
      <c r="K209" s="79">
        <v>72.600000000000009</v>
      </c>
      <c r="L209" s="79">
        <v>171</v>
      </c>
      <c r="M209" s="79">
        <v>40</v>
      </c>
      <c r="N209" s="79">
        <v>53</v>
      </c>
      <c r="O209" s="79">
        <v>65</v>
      </c>
      <c r="P209" s="79" t="s">
        <v>13</v>
      </c>
      <c r="Q209" s="79">
        <v>2.5</v>
      </c>
      <c r="R209" s="79">
        <v>0.5</v>
      </c>
      <c r="S209" s="79" t="s">
        <v>308</v>
      </c>
      <c r="T209" s="80">
        <v>341.80257346525804</v>
      </c>
      <c r="U209" s="80">
        <v>498.46208630350122</v>
      </c>
      <c r="V209" s="80">
        <v>630</v>
      </c>
      <c r="W209" s="80" t="s">
        <v>308</v>
      </c>
      <c r="X209" s="80">
        <v>972.67769250516562</v>
      </c>
      <c r="Y209" s="80">
        <v>1180.4620863035011</v>
      </c>
      <c r="Z209" s="80">
        <v>1312</v>
      </c>
      <c r="AB209" s="79" t="s">
        <v>470</v>
      </c>
      <c r="AC209" s="79">
        <v>8.3333333333333332E-3</v>
      </c>
      <c r="AD209" s="79">
        <v>2.4999999999999998E-2</v>
      </c>
      <c r="AE209" s="79">
        <v>4.1666666666666664E-2</v>
      </c>
      <c r="AF209" s="79">
        <v>0.81</v>
      </c>
      <c r="AG209" s="79">
        <v>1.1100000000000001</v>
      </c>
      <c r="AH209" s="79">
        <v>1.4100000000000001</v>
      </c>
      <c r="AI209" s="79">
        <v>59</v>
      </c>
      <c r="AJ209" s="79">
        <v>76</v>
      </c>
      <c r="AK209" s="79">
        <v>93</v>
      </c>
      <c r="AL209" s="81">
        <v>8.3802337353359301E-3</v>
      </c>
      <c r="AM209" s="81">
        <v>4.4324270807624751E-2</v>
      </c>
      <c r="AN209" s="81">
        <v>0.13899317045243775</v>
      </c>
      <c r="AO209" s="81">
        <v>7.3899450410246908E-3</v>
      </c>
      <c r="AP209" s="81">
        <v>4.4324270807624758E-2</v>
      </c>
      <c r="AQ209" s="81">
        <v>0.13899317045243775</v>
      </c>
      <c r="AR209" s="81">
        <v>8.1698797955431154E-3</v>
      </c>
      <c r="AS209" s="81">
        <v>4.5102888555683812E-2</v>
      </c>
      <c r="AT209" s="81">
        <v>0.1384853514654778</v>
      </c>
      <c r="AV209" s="82">
        <v>5.7360652859750987</v>
      </c>
      <c r="AW209" s="82">
        <v>6.1690503136545205</v>
      </c>
      <c r="AX209" s="82">
        <v>6.6568840399274736</v>
      </c>
      <c r="AY209" s="82">
        <v>0.14994160975402798</v>
      </c>
      <c r="AZ209" s="82">
        <v>0.45871496422932151</v>
      </c>
      <c r="BA209" s="82">
        <v>1.7313765750842796</v>
      </c>
      <c r="BC209" s="92">
        <v>1078.7696205932411</v>
      </c>
      <c r="BD209" s="92">
        <v>10349.069615160199</v>
      </c>
      <c r="BE209" s="92">
        <v>206602.42062029734</v>
      </c>
      <c r="BG209" s="82">
        <v>6.2968454608653559</v>
      </c>
      <c r="BH209" s="82">
        <v>6.7298304885447804</v>
      </c>
      <c r="BI209" s="82">
        <v>7.1644706734039234</v>
      </c>
      <c r="BJ209" s="82">
        <v>0.2773185515425951</v>
      </c>
      <c r="BK209" s="82">
        <v>0.84839805081238662</v>
      </c>
      <c r="BL209" s="22">
        <v>3.0119760955226758</v>
      </c>
      <c r="BN209" s="18">
        <v>1995.1955239231779</v>
      </c>
      <c r="BO209" s="18">
        <v>19140.710842025703</v>
      </c>
      <c r="BP209" s="18">
        <v>407577.60427201155</v>
      </c>
      <c r="BR209" s="22">
        <v>6.7510390884557054</v>
      </c>
      <c r="BS209" s="22">
        <v>7.1042504007732648</v>
      </c>
      <c r="BT209" s="22">
        <v>7.483063958989983</v>
      </c>
      <c r="BU209" s="22">
        <v>0.46781671711650324</v>
      </c>
      <c r="BV209" s="22">
        <v>1.3055984270143162</v>
      </c>
      <c r="BW209" s="22">
        <v>4.3465848663059647</v>
      </c>
      <c r="BY209" s="18">
        <v>3378.0953159737078</v>
      </c>
      <c r="BZ209" s="18">
        <v>28947.113340699467</v>
      </c>
      <c r="CA209" s="18">
        <v>532025.55913700734</v>
      </c>
      <c r="CC209">
        <v>385</v>
      </c>
      <c r="CD209">
        <v>160</v>
      </c>
      <c r="CE209">
        <v>616</v>
      </c>
    </row>
    <row r="210" spans="1:83" x14ac:dyDescent="0.2">
      <c r="A210">
        <v>385</v>
      </c>
      <c r="B210">
        <v>161</v>
      </c>
      <c r="C210" s="11" t="s">
        <v>135</v>
      </c>
      <c r="D210" s="11" t="s">
        <v>170</v>
      </c>
      <c r="E210" s="11" t="s">
        <v>418</v>
      </c>
      <c r="F210" s="91" t="s">
        <v>419</v>
      </c>
      <c r="G210" s="78">
        <v>15.5</v>
      </c>
      <c r="H210" s="78">
        <v>17</v>
      </c>
      <c r="I210" s="79">
        <v>29.7</v>
      </c>
      <c r="J210" s="79">
        <v>2</v>
      </c>
      <c r="K210" s="79">
        <v>72.600000000000009</v>
      </c>
      <c r="L210" s="79">
        <v>171</v>
      </c>
      <c r="M210" s="79">
        <v>40</v>
      </c>
      <c r="N210" s="79">
        <v>53</v>
      </c>
      <c r="O210" s="79">
        <v>65</v>
      </c>
      <c r="P210" s="79" t="s">
        <v>13</v>
      </c>
      <c r="Q210" s="79">
        <v>2</v>
      </c>
      <c r="R210" s="79">
        <v>0.5</v>
      </c>
      <c r="S210" s="79" t="s">
        <v>308</v>
      </c>
      <c r="T210" s="80">
        <v>341.80257346525804</v>
      </c>
      <c r="U210" s="80">
        <v>498.46208630350122</v>
      </c>
      <c r="V210" s="80">
        <v>630</v>
      </c>
      <c r="W210" s="80" t="s">
        <v>308</v>
      </c>
      <c r="X210" s="80">
        <v>972.67769250516562</v>
      </c>
      <c r="Y210" s="80">
        <v>1180.4620863035011</v>
      </c>
      <c r="Z210" s="80">
        <v>1312</v>
      </c>
      <c r="AB210" s="79" t="s">
        <v>470</v>
      </c>
      <c r="AC210" s="79">
        <v>8.3333333333333332E-3</v>
      </c>
      <c r="AD210" s="79">
        <v>2.4999999999999998E-2</v>
      </c>
      <c r="AE210" s="79">
        <v>4.1666666666666664E-2</v>
      </c>
      <c r="AF210" s="79">
        <v>0.81</v>
      </c>
      <c r="AG210" s="79">
        <v>1.1100000000000001</v>
      </c>
      <c r="AH210" s="79">
        <v>1.4100000000000001</v>
      </c>
      <c r="AI210" s="79">
        <v>59</v>
      </c>
      <c r="AJ210" s="79">
        <v>76</v>
      </c>
      <c r="AK210" s="79">
        <v>93</v>
      </c>
      <c r="AL210" s="81">
        <v>5.8960438046292219E-3</v>
      </c>
      <c r="AM210" s="81">
        <v>3.9524424747492549E-2</v>
      </c>
      <c r="AN210" s="81">
        <v>0.13488502291387153</v>
      </c>
      <c r="AO210" s="81">
        <v>7.3899450410246908E-3</v>
      </c>
      <c r="AP210" s="81">
        <v>4.4324270807624758E-2</v>
      </c>
      <c r="AQ210" s="81">
        <v>0.13899317045243775</v>
      </c>
      <c r="AR210" s="81">
        <v>8.1698797955431154E-3</v>
      </c>
      <c r="AS210" s="81">
        <v>4.5102888555683812E-2</v>
      </c>
      <c r="AT210" s="81">
        <v>0.1384853514654778</v>
      </c>
      <c r="AV210" s="82">
        <v>5.7994708756204902</v>
      </c>
      <c r="AW210" s="82">
        <v>6.2324559032999121</v>
      </c>
      <c r="AX210" s="82">
        <v>6.7202896295728651</v>
      </c>
      <c r="AY210" s="82">
        <v>0.16129650751198546</v>
      </c>
      <c r="AZ210" s="82">
        <v>0.49345289673127052</v>
      </c>
      <c r="BA210" s="82">
        <v>1.8624916406278262</v>
      </c>
      <c r="BC210" s="92">
        <v>1195.8073923075842</v>
      </c>
      <c r="BD210" s="92">
        <v>12484.7584723564</v>
      </c>
      <c r="BE210" s="92">
        <v>315888.36554530158</v>
      </c>
      <c r="BG210" s="82">
        <v>6.2968454608653559</v>
      </c>
      <c r="BH210" s="82">
        <v>6.7298304885447804</v>
      </c>
      <c r="BI210" s="82">
        <v>7.1644706734039234</v>
      </c>
      <c r="BJ210" s="82">
        <v>0.2773185515425951</v>
      </c>
      <c r="BK210" s="82">
        <v>0.84839805081238662</v>
      </c>
      <c r="BL210" s="22">
        <v>3.0119760955226758</v>
      </c>
      <c r="BN210" s="18">
        <v>1995.1955239231779</v>
      </c>
      <c r="BO210" s="18">
        <v>19140.710842025703</v>
      </c>
      <c r="BP210" s="18">
        <v>407577.60427201155</v>
      </c>
      <c r="BR210" s="22">
        <v>6.7510390884557054</v>
      </c>
      <c r="BS210" s="22">
        <v>7.1042504007732648</v>
      </c>
      <c r="BT210" s="22">
        <v>7.483063958989983</v>
      </c>
      <c r="BU210" s="22">
        <v>0.46781671711650324</v>
      </c>
      <c r="BV210" s="22">
        <v>1.3055984270143162</v>
      </c>
      <c r="BW210" s="22">
        <v>4.3465848663059647</v>
      </c>
      <c r="BY210" s="18">
        <v>3378.0953159737078</v>
      </c>
      <c r="BZ210" s="18">
        <v>28947.113340699467</v>
      </c>
      <c r="CA210" s="18">
        <v>532025.55913700734</v>
      </c>
      <c r="CC210">
        <v>385</v>
      </c>
      <c r="CD210">
        <v>161</v>
      </c>
      <c r="CE210">
        <v>616</v>
      </c>
    </row>
    <row r="211" spans="1:83" x14ac:dyDescent="0.2">
      <c r="A211">
        <v>386</v>
      </c>
      <c r="B211">
        <v>162</v>
      </c>
      <c r="C211" s="11" t="s">
        <v>135</v>
      </c>
      <c r="D211" s="11" t="s">
        <v>276</v>
      </c>
      <c r="E211" s="11" t="s">
        <v>273</v>
      </c>
      <c r="F211" s="79" t="s">
        <v>475</v>
      </c>
      <c r="G211" s="78">
        <v>28.1</v>
      </c>
      <c r="H211" s="78">
        <v>203</v>
      </c>
      <c r="I211" s="78">
        <v>68.3</v>
      </c>
      <c r="J211" s="79">
        <v>190</v>
      </c>
      <c r="K211" s="79">
        <v>97.5</v>
      </c>
      <c r="L211" s="79">
        <v>183</v>
      </c>
      <c r="M211" s="79">
        <v>40</v>
      </c>
      <c r="N211" s="79">
        <v>53</v>
      </c>
      <c r="O211" s="79">
        <v>65</v>
      </c>
      <c r="P211" s="79" t="s">
        <v>9</v>
      </c>
      <c r="Q211" s="79">
        <v>2.5</v>
      </c>
      <c r="R211" s="79">
        <v>0.5</v>
      </c>
      <c r="S211" s="79" t="s">
        <v>308</v>
      </c>
      <c r="T211" s="80">
        <v>1151</v>
      </c>
      <c r="U211" s="80">
        <v>1151</v>
      </c>
      <c r="V211" s="80">
        <v>1151</v>
      </c>
      <c r="W211" s="80" t="s">
        <v>308</v>
      </c>
      <c r="X211" s="80">
        <v>1360.5818436848842</v>
      </c>
      <c r="Y211" s="80">
        <v>3453</v>
      </c>
      <c r="Z211" s="80">
        <v>3453</v>
      </c>
      <c r="AB211" s="79" t="s">
        <v>470</v>
      </c>
      <c r="AC211" s="79">
        <v>8.3333333333333332E-3</v>
      </c>
      <c r="AD211" s="79">
        <v>2.4999999999999998E-2</v>
      </c>
      <c r="AE211" s="79">
        <v>4.1666666666666664E-2</v>
      </c>
      <c r="AF211" s="79">
        <v>0.81</v>
      </c>
      <c r="AG211" s="79">
        <v>1.1100000000000001</v>
      </c>
      <c r="AH211" s="79">
        <v>1.4100000000000001</v>
      </c>
      <c r="AI211" s="79">
        <v>59</v>
      </c>
      <c r="AJ211" s="79">
        <v>76</v>
      </c>
      <c r="AK211" s="79">
        <v>93</v>
      </c>
      <c r="AL211" s="81">
        <v>5.1792692821060965E-3</v>
      </c>
      <c r="AM211" s="81">
        <v>3.6825493799966379E-2</v>
      </c>
      <c r="AN211" s="81">
        <v>0.1306307523100948</v>
      </c>
      <c r="AO211" s="81">
        <v>6.6501228646240482E-3</v>
      </c>
      <c r="AP211" s="81">
        <v>4.2124050537663771E-2</v>
      </c>
      <c r="AQ211" s="81">
        <v>0.13797815117772996</v>
      </c>
      <c r="AR211" s="81">
        <v>7.305063909819904E-3</v>
      </c>
      <c r="AS211" s="81">
        <v>4.4095703757912934E-2</v>
      </c>
      <c r="AT211" s="81">
        <v>0.13901434301020929</v>
      </c>
      <c r="AV211" s="82">
        <v>6.2300952451784708</v>
      </c>
      <c r="AW211" s="82">
        <v>6.6630802728578926</v>
      </c>
      <c r="AX211" s="82">
        <v>7.1509139991308457</v>
      </c>
      <c r="AY211" s="82">
        <v>0.26481168739641564</v>
      </c>
      <c r="AZ211" s="82">
        <v>0.81013591831396037</v>
      </c>
      <c r="BA211" s="82">
        <v>3.057781980057598</v>
      </c>
      <c r="BC211" s="92">
        <v>2027.1772359375113</v>
      </c>
      <c r="BD211" s="92">
        <v>21999.322608260583</v>
      </c>
      <c r="BE211" s="92">
        <v>590388.68487142702</v>
      </c>
      <c r="BG211" s="82">
        <v>6.8241454562521708</v>
      </c>
      <c r="BH211" s="82">
        <v>7.0932736812929233</v>
      </c>
      <c r="BI211" s="82">
        <v>7.4262054475801333</v>
      </c>
      <c r="BJ211" s="82">
        <v>0.50889586361062145</v>
      </c>
      <c r="BK211" s="82">
        <v>1.2892028544802407</v>
      </c>
      <c r="BL211" s="22">
        <v>4.0711669088849742</v>
      </c>
      <c r="BN211" s="18">
        <v>3688.2351246692065</v>
      </c>
      <c r="BO211" s="18">
        <v>30604.911873979079</v>
      </c>
      <c r="BP211" s="18">
        <v>612194.23937893368</v>
      </c>
      <c r="BR211" s="22">
        <v>6.8967948038330817</v>
      </c>
      <c r="BS211" s="22">
        <v>7.570394936012586</v>
      </c>
      <c r="BT211" s="22">
        <v>7.9033267022997959</v>
      </c>
      <c r="BU211" s="22">
        <v>0.55329098567489754</v>
      </c>
      <c r="BV211" s="22">
        <v>2.2329648452226034</v>
      </c>
      <c r="BW211" s="22">
        <v>7.0514679322819118</v>
      </c>
      <c r="BY211" s="18">
        <v>3980.0999932378459</v>
      </c>
      <c r="BZ211" s="18">
        <v>50639.056754409998</v>
      </c>
      <c r="CA211" s="18">
        <v>965284.90637883497</v>
      </c>
      <c r="CC211">
        <v>386</v>
      </c>
      <c r="CD211">
        <v>162</v>
      </c>
      <c r="CE211">
        <v>617</v>
      </c>
    </row>
    <row r="212" spans="1:83" x14ac:dyDescent="0.2">
      <c r="A212">
        <v>386</v>
      </c>
      <c r="B212">
        <v>163</v>
      </c>
      <c r="C212" s="11" t="s">
        <v>135</v>
      </c>
      <c r="D212" s="11" t="s">
        <v>276</v>
      </c>
      <c r="E212" s="11" t="s">
        <v>274</v>
      </c>
      <c r="F212" s="79" t="s">
        <v>475</v>
      </c>
      <c r="G212" s="78">
        <v>15</v>
      </c>
      <c r="H212" s="78">
        <v>166</v>
      </c>
      <c r="I212" s="78">
        <v>68.3</v>
      </c>
      <c r="J212" s="79">
        <v>190</v>
      </c>
      <c r="K212" s="79">
        <v>97.5</v>
      </c>
      <c r="L212" s="79">
        <v>183</v>
      </c>
      <c r="M212" s="79">
        <v>40</v>
      </c>
      <c r="N212" s="79">
        <v>53</v>
      </c>
      <c r="O212" s="79">
        <v>65</v>
      </c>
      <c r="P212" s="79" t="s">
        <v>9</v>
      </c>
      <c r="Q212" s="79">
        <v>2</v>
      </c>
      <c r="R212" s="79">
        <v>0.5</v>
      </c>
      <c r="S212" s="79" t="s">
        <v>308</v>
      </c>
      <c r="T212" s="80">
        <v>1151</v>
      </c>
      <c r="U212" s="80">
        <v>1151</v>
      </c>
      <c r="V212" s="80">
        <v>1151</v>
      </c>
      <c r="W212" s="80" t="s">
        <v>308</v>
      </c>
      <c r="X212" s="80">
        <v>1360.5818436848842</v>
      </c>
      <c r="Y212" s="80">
        <v>3453</v>
      </c>
      <c r="Z212" s="80">
        <v>3453</v>
      </c>
      <c r="AB212" s="79" t="s">
        <v>470</v>
      </c>
      <c r="AC212" s="79">
        <v>8.3333333333333332E-3</v>
      </c>
      <c r="AD212" s="79">
        <v>2.4999999999999998E-2</v>
      </c>
      <c r="AE212" s="79">
        <v>4.1666666666666664E-2</v>
      </c>
      <c r="AF212" s="79">
        <v>0.81</v>
      </c>
      <c r="AG212" s="79">
        <v>1.1100000000000001</v>
      </c>
      <c r="AH212" s="79">
        <v>1.4100000000000001</v>
      </c>
      <c r="AI212" s="79">
        <v>59</v>
      </c>
      <c r="AJ212" s="79">
        <v>76</v>
      </c>
      <c r="AK212" s="79">
        <v>93</v>
      </c>
      <c r="AL212" s="81">
        <v>8.4264785949865872E-3</v>
      </c>
      <c r="AM212" s="81">
        <v>4.4095703757912941E-2</v>
      </c>
      <c r="AN212" s="81">
        <v>0.13901434301020929</v>
      </c>
      <c r="AO212" s="81">
        <v>6.6501228646240482E-3</v>
      </c>
      <c r="AP212" s="81">
        <v>4.2124050537663771E-2</v>
      </c>
      <c r="AQ212" s="81">
        <v>0.13797815117772996</v>
      </c>
      <c r="AR212" s="81">
        <v>7.305063909819904E-3</v>
      </c>
      <c r="AS212" s="81">
        <v>4.4095703757912934E-2</v>
      </c>
      <c r="AT212" s="81">
        <v>0.13901434301020929</v>
      </c>
      <c r="AV212" s="82">
        <v>5.775736810429474</v>
      </c>
      <c r="AW212" s="82">
        <v>6.2087218381088958</v>
      </c>
      <c r="AX212" s="82">
        <v>6.6965555643818488</v>
      </c>
      <c r="AY212" s="82">
        <v>0.15694877534428964</v>
      </c>
      <c r="AZ212" s="82">
        <v>0.48015192037750903</v>
      </c>
      <c r="BA212" s="82">
        <v>1.8122883538801546</v>
      </c>
      <c r="BC212" s="92">
        <v>1129.0113807376208</v>
      </c>
      <c r="BD212" s="92">
        <v>10888.859445663029</v>
      </c>
      <c r="BE212" s="92">
        <v>215070.66486330275</v>
      </c>
      <c r="BG212" s="82">
        <v>6.8241454562521708</v>
      </c>
      <c r="BH212" s="82">
        <v>7.0932736812929233</v>
      </c>
      <c r="BI212" s="82">
        <v>7.4262054475801333</v>
      </c>
      <c r="BJ212" s="82">
        <v>0.50889586361062145</v>
      </c>
      <c r="BK212" s="82">
        <v>1.2892028544802407</v>
      </c>
      <c r="BL212" s="22">
        <v>4.0711669088849742</v>
      </c>
      <c r="BN212" s="18">
        <v>3688.2351246692065</v>
      </c>
      <c r="BO212" s="18">
        <v>30604.911873979079</v>
      </c>
      <c r="BP212" s="18">
        <v>612194.23937893368</v>
      </c>
      <c r="BR212" s="22">
        <v>6.8967948038330817</v>
      </c>
      <c r="BS212" s="22">
        <v>7.570394936012586</v>
      </c>
      <c r="BT212" s="22">
        <v>7.9033267022997959</v>
      </c>
      <c r="BU212" s="22">
        <v>0.55329098567489754</v>
      </c>
      <c r="BV212" s="22">
        <v>2.2329648452226034</v>
      </c>
      <c r="BW212" s="22">
        <v>7.0514679322819118</v>
      </c>
      <c r="BY212" s="18">
        <v>3980.0999932378459</v>
      </c>
      <c r="BZ212" s="18">
        <v>50639.056754409998</v>
      </c>
      <c r="CA212" s="18">
        <v>965284.90637883497</v>
      </c>
      <c r="CC212">
        <v>386</v>
      </c>
      <c r="CD212">
        <v>163</v>
      </c>
      <c r="CE212">
        <v>617</v>
      </c>
    </row>
    <row r="213" spans="1:83" x14ac:dyDescent="0.2">
      <c r="A213">
        <v>386</v>
      </c>
      <c r="B213">
        <v>164</v>
      </c>
      <c r="C213" s="11" t="s">
        <v>135</v>
      </c>
      <c r="D213" s="11" t="s">
        <v>276</v>
      </c>
      <c r="E213" s="11" t="s">
        <v>275</v>
      </c>
      <c r="F213" s="79" t="s">
        <v>475</v>
      </c>
      <c r="G213" s="78">
        <v>25.2</v>
      </c>
      <c r="H213" s="78">
        <v>190</v>
      </c>
      <c r="I213" s="78">
        <v>68.3</v>
      </c>
      <c r="J213" s="79">
        <v>190</v>
      </c>
      <c r="K213" s="79">
        <v>97.5</v>
      </c>
      <c r="L213" s="79">
        <v>183</v>
      </c>
      <c r="M213" s="79">
        <v>40</v>
      </c>
      <c r="N213" s="79">
        <v>53</v>
      </c>
      <c r="O213" s="79">
        <v>65</v>
      </c>
      <c r="P213" s="79" t="s">
        <v>9</v>
      </c>
      <c r="Q213" s="79">
        <v>2</v>
      </c>
      <c r="R213" s="79">
        <v>0.5</v>
      </c>
      <c r="S213" s="79" t="s">
        <v>308</v>
      </c>
      <c r="T213" s="80">
        <v>1151</v>
      </c>
      <c r="U213" s="80">
        <v>1151</v>
      </c>
      <c r="V213" s="80">
        <v>1151</v>
      </c>
      <c r="W213" s="80" t="s">
        <v>308</v>
      </c>
      <c r="X213" s="80">
        <v>1360.5818436848842</v>
      </c>
      <c r="Y213" s="80">
        <v>3453</v>
      </c>
      <c r="Z213" s="80">
        <v>3453</v>
      </c>
      <c r="AB213" s="79" t="s">
        <v>470</v>
      </c>
      <c r="AC213" s="79">
        <v>8.3333333333333332E-3</v>
      </c>
      <c r="AD213" s="79">
        <v>2.4999999999999998E-2</v>
      </c>
      <c r="AE213" s="79">
        <v>4.1666666666666664E-2</v>
      </c>
      <c r="AF213" s="79">
        <v>0.81</v>
      </c>
      <c r="AG213" s="79">
        <v>1.1100000000000001</v>
      </c>
      <c r="AH213" s="79">
        <v>1.4100000000000001</v>
      </c>
      <c r="AI213" s="79">
        <v>59</v>
      </c>
      <c r="AJ213" s="79">
        <v>76</v>
      </c>
      <c r="AK213" s="79">
        <v>93</v>
      </c>
      <c r="AL213" s="81">
        <v>6.6501228646240482E-3</v>
      </c>
      <c r="AM213" s="81">
        <v>4.2124050537663771E-2</v>
      </c>
      <c r="AN213" s="81">
        <v>0.13797815117772996</v>
      </c>
      <c r="AO213" s="81">
        <v>6.6501228646240482E-3</v>
      </c>
      <c r="AP213" s="81">
        <v>4.2124050537663771E-2</v>
      </c>
      <c r="AQ213" s="81">
        <v>0.13797815117772996</v>
      </c>
      <c r="AR213" s="81">
        <v>7.305063909819904E-3</v>
      </c>
      <c r="AS213" s="81">
        <v>4.4095703757912934E-2</v>
      </c>
      <c r="AT213" s="81">
        <v>0.13901434301020929</v>
      </c>
      <c r="AV213" s="82">
        <v>6.1512522799725771</v>
      </c>
      <c r="AW213" s="82">
        <v>6.5842373076519989</v>
      </c>
      <c r="AX213" s="82">
        <v>7.072071033924952</v>
      </c>
      <c r="AY213" s="82">
        <v>0.24183305714552425</v>
      </c>
      <c r="AZ213" s="82">
        <v>0.73983760971991619</v>
      </c>
      <c r="BA213" s="82">
        <v>2.7924476128383784</v>
      </c>
      <c r="BC213" s="92">
        <v>1752.6909520190522</v>
      </c>
      <c r="BD213" s="92">
        <v>17563.306478763618</v>
      </c>
      <c r="BE213" s="92">
        <v>419909.17606847017</v>
      </c>
      <c r="BG213" s="82">
        <v>6.8241454562521708</v>
      </c>
      <c r="BH213" s="82">
        <v>7.0932736812929233</v>
      </c>
      <c r="BI213" s="82">
        <v>7.4262054475801333</v>
      </c>
      <c r="BJ213" s="82">
        <v>0.50889586361062145</v>
      </c>
      <c r="BK213" s="82">
        <v>1.2892028544802407</v>
      </c>
      <c r="BL213" s="22">
        <v>4.0711669088849742</v>
      </c>
      <c r="BN213" s="18">
        <v>3688.2351246692065</v>
      </c>
      <c r="BO213" s="18">
        <v>30604.911873979079</v>
      </c>
      <c r="BP213" s="18">
        <v>612194.23937893368</v>
      </c>
      <c r="BR213" s="22">
        <v>6.8967948038330817</v>
      </c>
      <c r="BS213" s="22">
        <v>7.570394936012586</v>
      </c>
      <c r="BT213" s="22">
        <v>7.9033267022997959</v>
      </c>
      <c r="BU213" s="22">
        <v>0.55329098567489754</v>
      </c>
      <c r="BV213" s="22">
        <v>2.2329648452226034</v>
      </c>
      <c r="BW213" s="22">
        <v>7.0514679322819118</v>
      </c>
      <c r="BY213" s="18">
        <v>3980.0999932378459</v>
      </c>
      <c r="BZ213" s="18">
        <v>50639.056754409998</v>
      </c>
      <c r="CA213" s="18">
        <v>965284.90637883497</v>
      </c>
      <c r="CC213">
        <v>386</v>
      </c>
      <c r="CD213">
        <v>164</v>
      </c>
      <c r="CE213">
        <v>617</v>
      </c>
    </row>
    <row r="214" spans="1:83" x14ac:dyDescent="0.2">
      <c r="A214">
        <v>387</v>
      </c>
      <c r="B214" t="s">
        <v>416</v>
      </c>
      <c r="C214" s="11" t="s">
        <v>135</v>
      </c>
      <c r="D214" s="11" t="s">
        <v>476</v>
      </c>
      <c r="E214" s="11" t="s">
        <v>42</v>
      </c>
      <c r="F214" s="79" t="s">
        <v>475</v>
      </c>
      <c r="G214" s="78" t="s">
        <v>42</v>
      </c>
      <c r="H214" s="78" t="s">
        <v>42</v>
      </c>
      <c r="I214" s="79">
        <v>13.9</v>
      </c>
      <c r="J214" s="79">
        <v>158</v>
      </c>
      <c r="K214" s="79">
        <v>97.5</v>
      </c>
      <c r="L214" s="79">
        <v>183</v>
      </c>
      <c r="M214" s="79">
        <v>40</v>
      </c>
      <c r="N214" s="79">
        <v>53</v>
      </c>
      <c r="O214" s="79">
        <v>65</v>
      </c>
      <c r="P214" s="79" t="s">
        <v>9</v>
      </c>
      <c r="Q214" s="79">
        <v>2</v>
      </c>
      <c r="R214" s="79">
        <v>0.5</v>
      </c>
      <c r="S214" s="79" t="s">
        <v>308</v>
      </c>
      <c r="T214" s="80">
        <v>96.428611466154734</v>
      </c>
      <c r="U214" s="80">
        <v>140.62505838814229</v>
      </c>
      <c r="V214" s="80">
        <v>200.89294055448903</v>
      </c>
      <c r="W214" s="80" t="s">
        <v>308</v>
      </c>
      <c r="X214" s="80">
        <v>1360.5818436848842</v>
      </c>
      <c r="Y214" s="80">
        <v>3453</v>
      </c>
      <c r="Z214" s="80">
        <v>3453</v>
      </c>
      <c r="AB214" s="79" t="s">
        <v>470</v>
      </c>
      <c r="AC214" s="79">
        <v>8.3333333333333332E-3</v>
      </c>
      <c r="AD214" s="79">
        <v>2.4999999999999998E-2</v>
      </c>
      <c r="AE214" s="79">
        <v>4.1666666666666664E-2</v>
      </c>
      <c r="AF214" s="79">
        <v>0.81</v>
      </c>
      <c r="AG214" s="79">
        <v>1.1100000000000001</v>
      </c>
      <c r="AH214" s="79">
        <v>1.4100000000000001</v>
      </c>
      <c r="AI214" s="79">
        <v>59</v>
      </c>
      <c r="AJ214" s="79">
        <v>76</v>
      </c>
      <c r="AK214" s="79">
        <v>93</v>
      </c>
      <c r="AL214" s="79" t="s">
        <v>42</v>
      </c>
      <c r="AM214" s="79" t="s">
        <v>42</v>
      </c>
      <c r="AN214" s="79" t="s">
        <v>42</v>
      </c>
      <c r="AO214" s="81">
        <v>7.9859303431396821E-3</v>
      </c>
      <c r="AP214" s="81">
        <v>4.5542816973830121E-2</v>
      </c>
      <c r="AQ214" s="81">
        <v>0.13766146498009818</v>
      </c>
      <c r="AR214" s="81">
        <v>7.305063909819904E-3</v>
      </c>
      <c r="AS214" s="81">
        <v>4.4095703757912934E-2</v>
      </c>
      <c r="AT214" s="81">
        <v>0.13901434301020929</v>
      </c>
      <c r="AV214" s="82" t="s">
        <v>42</v>
      </c>
      <c r="AW214" s="82" t="s">
        <v>42</v>
      </c>
      <c r="AX214" s="82" t="s">
        <v>42</v>
      </c>
      <c r="AY214" s="82" t="s">
        <v>42</v>
      </c>
      <c r="AZ214" s="82" t="s">
        <v>42</v>
      </c>
      <c r="BA214" s="82" t="s">
        <v>42</v>
      </c>
      <c r="BC214" s="92" t="s">
        <v>42</v>
      </c>
      <c r="BD214" s="92" t="s">
        <v>42</v>
      </c>
      <c r="BE214" s="92" t="s">
        <v>42</v>
      </c>
      <c r="BG214" s="82">
        <v>5.7472760457601622</v>
      </c>
      <c r="BH214" s="82">
        <v>6.180261073439584</v>
      </c>
      <c r="BI214" s="82">
        <v>6.668094799712537</v>
      </c>
      <c r="BJ214" s="82">
        <v>0.14729710648850108</v>
      </c>
      <c r="BK214" s="82">
        <v>0.45062466012467339</v>
      </c>
      <c r="BL214" s="22">
        <v>1.7008404816397815</v>
      </c>
      <c r="BN214" s="18">
        <v>1069.9951980737378</v>
      </c>
      <c r="BO214" s="18">
        <v>9894.5276130725942</v>
      </c>
      <c r="BP214" s="18">
        <v>212979.62899224253</v>
      </c>
      <c r="BR214" s="22">
        <v>6.8967948038330817</v>
      </c>
      <c r="BS214" s="22">
        <v>7.570394936012586</v>
      </c>
      <c r="BT214" s="22">
        <v>7.9033267022997959</v>
      </c>
      <c r="BU214" s="22">
        <v>0.55329098567489754</v>
      </c>
      <c r="BV214" s="22">
        <v>2.2329648452226034</v>
      </c>
      <c r="BW214" s="22">
        <v>7.0514679322819118</v>
      </c>
      <c r="BY214" s="18">
        <v>3980.0999932378459</v>
      </c>
      <c r="BZ214" s="18">
        <v>50639.056754409998</v>
      </c>
      <c r="CA214" s="18">
        <v>965284.90637883497</v>
      </c>
      <c r="CC214">
        <v>387</v>
      </c>
      <c r="CD214" t="s">
        <v>416</v>
      </c>
      <c r="CE214">
        <v>617</v>
      </c>
    </row>
    <row r="215" spans="1:83" x14ac:dyDescent="0.2">
      <c r="A215">
        <v>388</v>
      </c>
      <c r="B215" t="s">
        <v>416</v>
      </c>
      <c r="C215" s="11" t="s">
        <v>135</v>
      </c>
      <c r="D215" s="11" t="s">
        <v>477</v>
      </c>
      <c r="E215" s="11" t="s">
        <v>42</v>
      </c>
      <c r="F215" s="79" t="s">
        <v>475</v>
      </c>
      <c r="G215" s="78" t="s">
        <v>42</v>
      </c>
      <c r="H215" s="78" t="s">
        <v>42</v>
      </c>
      <c r="I215" s="79">
        <v>15.3</v>
      </c>
      <c r="J215" s="79">
        <v>187</v>
      </c>
      <c r="K215" s="79">
        <v>97.5</v>
      </c>
      <c r="L215" s="79">
        <v>183</v>
      </c>
      <c r="M215" s="79">
        <v>40</v>
      </c>
      <c r="N215" s="79">
        <v>53</v>
      </c>
      <c r="O215" s="79">
        <v>65</v>
      </c>
      <c r="P215" s="79" t="s">
        <v>9</v>
      </c>
      <c r="Q215" s="79">
        <v>2.5</v>
      </c>
      <c r="R215" s="79">
        <v>1</v>
      </c>
      <c r="S215" s="79" t="s">
        <v>308</v>
      </c>
      <c r="T215" s="80">
        <v>113.15323221872947</v>
      </c>
      <c r="U215" s="80">
        <v>155</v>
      </c>
      <c r="V215" s="80">
        <v>155</v>
      </c>
      <c r="W215" s="80" t="s">
        <v>308</v>
      </c>
      <c r="X215" s="80">
        <v>1360.5818436848842</v>
      </c>
      <c r="Y215" s="80">
        <v>3453</v>
      </c>
      <c r="Z215" s="80">
        <v>3453</v>
      </c>
      <c r="AB215" s="79" t="s">
        <v>470</v>
      </c>
      <c r="AC215" s="79">
        <v>8.3333333333333332E-3</v>
      </c>
      <c r="AD215" s="79">
        <v>2.4999999999999998E-2</v>
      </c>
      <c r="AE215" s="79">
        <v>4.1666666666666664E-2</v>
      </c>
      <c r="AF215" s="79">
        <v>0.81</v>
      </c>
      <c r="AG215" s="79">
        <v>1.1100000000000001</v>
      </c>
      <c r="AH215" s="79">
        <v>1.4100000000000001</v>
      </c>
      <c r="AI215" s="79">
        <v>59</v>
      </c>
      <c r="AJ215" s="79">
        <v>76</v>
      </c>
      <c r="AK215" s="79">
        <v>93</v>
      </c>
      <c r="AL215" s="79" t="s">
        <v>42</v>
      </c>
      <c r="AM215" s="79" t="s">
        <v>42</v>
      </c>
      <c r="AN215" s="79" t="s">
        <v>42</v>
      </c>
      <c r="AO215" s="81">
        <v>6.9435561273554509E-3</v>
      </c>
      <c r="AP215" s="81">
        <v>4.3047873247843448E-2</v>
      </c>
      <c r="AQ215" s="81">
        <v>0.13867571105747287</v>
      </c>
      <c r="AR215" s="81">
        <v>7.305063909819904E-3</v>
      </c>
      <c r="AS215" s="81">
        <v>4.4095703757912934E-2</v>
      </c>
      <c r="AT215" s="81">
        <v>0.13901434301020929</v>
      </c>
      <c r="AV215" s="82" t="s">
        <v>42</v>
      </c>
      <c r="AW215" s="82" t="s">
        <v>42</v>
      </c>
      <c r="AX215" s="82" t="s">
        <v>42</v>
      </c>
      <c r="AY215" s="82" t="s">
        <v>42</v>
      </c>
      <c r="AZ215" s="82" t="s">
        <v>42</v>
      </c>
      <c r="BA215" s="82" t="s">
        <v>42</v>
      </c>
      <c r="BC215" s="92" t="s">
        <v>42</v>
      </c>
      <c r="BD215" s="92" t="s">
        <v>42</v>
      </c>
      <c r="BE215" s="92" t="s">
        <v>42</v>
      </c>
      <c r="BG215" s="82">
        <v>5.8167370966993346</v>
      </c>
      <c r="BH215" s="82">
        <v>6.222530055833424</v>
      </c>
      <c r="BI215" s="82">
        <v>6.555461822120634</v>
      </c>
      <c r="BJ215" s="82">
        <v>0.15956026212442173</v>
      </c>
      <c r="BK215" s="82">
        <v>0.47309618472357196</v>
      </c>
      <c r="BL215" s="22">
        <v>1.4939879517586494</v>
      </c>
      <c r="BN215" s="18">
        <v>1150.5999205462408</v>
      </c>
      <c r="BO215" s="18">
        <v>10990.001341059804</v>
      </c>
      <c r="BP215" s="18">
        <v>215161.78804586912</v>
      </c>
      <c r="BR215" s="22">
        <v>6.8967948038330817</v>
      </c>
      <c r="BS215" s="22">
        <v>7.570394936012586</v>
      </c>
      <c r="BT215" s="22">
        <v>7.9033267022997959</v>
      </c>
      <c r="BU215" s="22">
        <v>0.55329098567489754</v>
      </c>
      <c r="BV215" s="22">
        <v>2.2329648452226034</v>
      </c>
      <c r="BW215" s="22">
        <v>7.0514679322819118</v>
      </c>
      <c r="BY215" s="18">
        <v>3980.0999932378459</v>
      </c>
      <c r="BZ215" s="18">
        <v>50639.056754409998</v>
      </c>
      <c r="CA215" s="18">
        <v>965284.90637883497</v>
      </c>
      <c r="CC215">
        <v>388</v>
      </c>
      <c r="CD215" t="s">
        <v>416</v>
      </c>
      <c r="CE215">
        <v>617</v>
      </c>
    </row>
    <row r="216" spans="1:83" x14ac:dyDescent="0.2">
      <c r="A216">
        <v>389</v>
      </c>
      <c r="B216" t="s">
        <v>416</v>
      </c>
      <c r="C216" s="11" t="s">
        <v>135</v>
      </c>
      <c r="D216" s="11" t="s">
        <v>173</v>
      </c>
      <c r="E216" s="11" t="s">
        <v>42</v>
      </c>
      <c r="F216" s="91" t="s">
        <v>42</v>
      </c>
      <c r="G216" s="78" t="s">
        <v>42</v>
      </c>
      <c r="H216" s="78" t="s">
        <v>42</v>
      </c>
      <c r="I216" s="79">
        <v>11.7</v>
      </c>
      <c r="J216" s="79">
        <v>342</v>
      </c>
      <c r="K216" s="79" t="s">
        <v>42</v>
      </c>
      <c r="L216" s="79" t="s">
        <v>42</v>
      </c>
      <c r="M216" s="79">
        <v>40</v>
      </c>
      <c r="N216" s="79">
        <v>53</v>
      </c>
      <c r="O216" s="79">
        <v>65</v>
      </c>
      <c r="P216" s="79" t="s">
        <v>13</v>
      </c>
      <c r="Q216" s="79">
        <v>4</v>
      </c>
      <c r="R216" s="79">
        <v>0.5</v>
      </c>
      <c r="S216" s="79" t="s">
        <v>211</v>
      </c>
      <c r="T216" s="80">
        <v>72.358743306310259</v>
      </c>
      <c r="U216" s="80">
        <v>105.52316732170247</v>
      </c>
      <c r="V216" s="80">
        <v>150.74738188814638</v>
      </c>
      <c r="W216" s="80" t="s">
        <v>42</v>
      </c>
      <c r="X216" s="80" t="s">
        <v>42</v>
      </c>
      <c r="Y216" s="80" t="s">
        <v>42</v>
      </c>
      <c r="Z216" s="80" t="s">
        <v>42</v>
      </c>
      <c r="AB216" s="79" t="s">
        <v>470</v>
      </c>
      <c r="AC216" s="79">
        <v>8.3333333333333332E-3</v>
      </c>
      <c r="AD216" s="79">
        <v>2.4999999999999998E-2</v>
      </c>
      <c r="AE216" s="79">
        <v>4.1666666666666664E-2</v>
      </c>
      <c r="AF216" s="79">
        <v>0.81</v>
      </c>
      <c r="AG216" s="79">
        <v>1.1100000000000001</v>
      </c>
      <c r="AH216" s="79">
        <v>1.4100000000000001</v>
      </c>
      <c r="AI216" s="79">
        <v>59</v>
      </c>
      <c r="AJ216" s="79">
        <v>76</v>
      </c>
      <c r="AK216" s="79">
        <v>93</v>
      </c>
      <c r="AL216" s="79" t="s">
        <v>42</v>
      </c>
      <c r="AM216" s="79" t="s">
        <v>42</v>
      </c>
      <c r="AN216" s="79" t="s">
        <v>42</v>
      </c>
      <c r="AO216" s="81">
        <v>8.226243184009845E-3</v>
      </c>
      <c r="AP216" s="81">
        <v>4.4928704431758504E-2</v>
      </c>
      <c r="AQ216" s="81">
        <v>0.13867571105747287</v>
      </c>
      <c r="AR216" s="81" t="s">
        <v>42</v>
      </c>
      <c r="AS216" s="81" t="s">
        <v>42</v>
      </c>
      <c r="AT216" s="81" t="s">
        <v>42</v>
      </c>
      <c r="AV216" s="82" t="s">
        <v>42</v>
      </c>
      <c r="AW216" s="82" t="s">
        <v>42</v>
      </c>
      <c r="AX216" s="82" t="s">
        <v>42</v>
      </c>
      <c r="AY216" s="82" t="s">
        <v>42</v>
      </c>
      <c r="AZ216" s="82" t="s">
        <v>42</v>
      </c>
      <c r="BA216" s="82" t="s">
        <v>42</v>
      </c>
      <c r="BC216" s="92" t="s">
        <v>42</v>
      </c>
      <c r="BD216" s="92" t="s">
        <v>42</v>
      </c>
      <c r="BE216" s="92" t="s">
        <v>42</v>
      </c>
      <c r="BG216" s="82">
        <v>5.6225611482469402</v>
      </c>
      <c r="BH216" s="82">
        <v>6.055546175926362</v>
      </c>
      <c r="BI216" s="82">
        <v>6.5433799021993151</v>
      </c>
      <c r="BJ216" s="82">
        <v>0.12759591389977895</v>
      </c>
      <c r="BK216" s="82">
        <v>0.39035298591472106</v>
      </c>
      <c r="BL216" s="22">
        <v>1.4733507047506753</v>
      </c>
      <c r="BN216" s="18">
        <v>920.10282786217692</v>
      </c>
      <c r="BO216" s="18">
        <v>8688.2760331454028</v>
      </c>
      <c r="BP216" s="18">
        <v>179103.71378450998</v>
      </c>
      <c r="BR216" s="22" t="s">
        <v>42</v>
      </c>
      <c r="BS216" s="22" t="s">
        <v>42</v>
      </c>
      <c r="BT216" s="22" t="s">
        <v>42</v>
      </c>
      <c r="BU216" s="22" t="s">
        <v>42</v>
      </c>
      <c r="BV216" s="22" t="s">
        <v>42</v>
      </c>
      <c r="BW216" s="22" t="s">
        <v>42</v>
      </c>
      <c r="BY216" s="22" t="s">
        <v>42</v>
      </c>
      <c r="BZ216" s="22" t="s">
        <v>42</v>
      </c>
      <c r="CA216" s="22" t="s">
        <v>42</v>
      </c>
      <c r="CC216">
        <v>389</v>
      </c>
      <c r="CD216" t="s">
        <v>416</v>
      </c>
    </row>
    <row r="217" spans="1:83" x14ac:dyDescent="0.2">
      <c r="A217">
        <v>391</v>
      </c>
      <c r="B217" t="s">
        <v>416</v>
      </c>
      <c r="C217" s="11" t="s">
        <v>135</v>
      </c>
      <c r="D217" s="11" t="s">
        <v>175</v>
      </c>
      <c r="E217" s="11" t="s">
        <v>42</v>
      </c>
      <c r="F217" s="91" t="s">
        <v>42</v>
      </c>
      <c r="G217" s="78" t="s">
        <v>42</v>
      </c>
      <c r="H217" s="78" t="s">
        <v>42</v>
      </c>
      <c r="I217" s="79">
        <v>57.2</v>
      </c>
      <c r="J217" s="79">
        <v>12</v>
      </c>
      <c r="K217" s="79" t="s">
        <v>42</v>
      </c>
      <c r="L217" s="79" t="s">
        <v>42</v>
      </c>
      <c r="M217" s="79">
        <v>40</v>
      </c>
      <c r="N217" s="79">
        <v>53</v>
      </c>
      <c r="O217" s="79">
        <v>65</v>
      </c>
      <c r="P217" s="79" t="s">
        <v>13</v>
      </c>
      <c r="Q217" s="79">
        <v>1</v>
      </c>
      <c r="R217" s="79">
        <v>0.5</v>
      </c>
      <c r="S217" s="79" t="s">
        <v>211</v>
      </c>
      <c r="T217" s="80">
        <v>1019.0010402780835</v>
      </c>
      <c r="U217" s="80">
        <v>1486.0431837388719</v>
      </c>
      <c r="V217" s="80">
        <v>2122.918833912674</v>
      </c>
      <c r="W217" s="80" t="s">
        <v>42</v>
      </c>
      <c r="X217" s="80" t="s">
        <v>42</v>
      </c>
      <c r="Y217" s="80" t="s">
        <v>42</v>
      </c>
      <c r="Z217" s="80" t="s">
        <v>42</v>
      </c>
      <c r="AB217" s="79" t="s">
        <v>470</v>
      </c>
      <c r="AC217" s="79">
        <v>8.3333333333333332E-3</v>
      </c>
      <c r="AD217" s="79">
        <v>2.4999999999999998E-2</v>
      </c>
      <c r="AE217" s="79">
        <v>4.1666666666666664E-2</v>
      </c>
      <c r="AF217" s="79">
        <v>0.81</v>
      </c>
      <c r="AG217" s="79">
        <v>1.1100000000000001</v>
      </c>
      <c r="AH217" s="79">
        <v>1.4100000000000001</v>
      </c>
      <c r="AI217" s="79">
        <v>59</v>
      </c>
      <c r="AJ217" s="79">
        <v>76</v>
      </c>
      <c r="AK217" s="79">
        <v>93</v>
      </c>
      <c r="AL217" s="79" t="s">
        <v>42</v>
      </c>
      <c r="AM217" s="79" t="s">
        <v>42</v>
      </c>
      <c r="AN217" s="79" t="s">
        <v>42</v>
      </c>
      <c r="AO217" s="81">
        <v>6.4443225589232139E-3</v>
      </c>
      <c r="AP217" s="81">
        <v>4.1443855379629531E-2</v>
      </c>
      <c r="AQ217" s="81">
        <v>0.1373028457666769</v>
      </c>
      <c r="AR217" s="81" t="s">
        <v>42</v>
      </c>
      <c r="AS217" s="81" t="s">
        <v>42</v>
      </c>
      <c r="AT217" s="81" t="s">
        <v>42</v>
      </c>
      <c r="AV217" s="82" t="s">
        <v>42</v>
      </c>
      <c r="AW217" s="82" t="s">
        <v>42</v>
      </c>
      <c r="AX217" s="82" t="s">
        <v>42</v>
      </c>
      <c r="AY217" s="82" t="s">
        <v>42</v>
      </c>
      <c r="AZ217" s="82" t="s">
        <v>42</v>
      </c>
      <c r="BA217" s="82" t="s">
        <v>42</v>
      </c>
      <c r="BC217" s="92" t="s">
        <v>42</v>
      </c>
      <c r="BD217" s="92" t="s">
        <v>42</v>
      </c>
      <c r="BE217" s="92" t="s">
        <v>42</v>
      </c>
      <c r="BG217" s="82">
        <v>6.7712447599917098</v>
      </c>
      <c r="BH217" s="82">
        <v>7.2042297876711316</v>
      </c>
      <c r="BI217" s="82">
        <v>7.6920635139440847</v>
      </c>
      <c r="BJ217" s="82">
        <v>0.47882693539792531</v>
      </c>
      <c r="BK217" s="82">
        <v>1.4648707647157579</v>
      </c>
      <c r="BL217" s="22">
        <v>5.5290172009447147</v>
      </c>
      <c r="BN217" s="18">
        <v>3487.3780854594315</v>
      </c>
      <c r="BO217" s="18">
        <v>35345.909575675498</v>
      </c>
      <c r="BP217" s="18">
        <v>857967.17193941365</v>
      </c>
      <c r="BR217" s="22" t="s">
        <v>42</v>
      </c>
      <c r="BS217" s="22" t="s">
        <v>42</v>
      </c>
      <c r="BT217" s="22" t="s">
        <v>42</v>
      </c>
      <c r="BU217" s="22" t="s">
        <v>42</v>
      </c>
      <c r="BV217" s="22" t="s">
        <v>42</v>
      </c>
      <c r="BW217" s="22" t="s">
        <v>42</v>
      </c>
      <c r="BY217" s="22" t="s">
        <v>42</v>
      </c>
      <c r="BZ217" s="22" t="s">
        <v>42</v>
      </c>
      <c r="CA217" s="22" t="s">
        <v>42</v>
      </c>
      <c r="CC217">
        <v>391</v>
      </c>
      <c r="CD217" t="s">
        <v>416</v>
      </c>
    </row>
    <row r="218" spans="1:83" x14ac:dyDescent="0.2">
      <c r="A218">
        <v>392</v>
      </c>
      <c r="B218" t="s">
        <v>416</v>
      </c>
      <c r="C218" s="29" t="s">
        <v>142</v>
      </c>
      <c r="D218" s="65" t="s">
        <v>328</v>
      </c>
      <c r="E218" s="29" t="s">
        <v>42</v>
      </c>
      <c r="F218" s="93" t="s">
        <v>313</v>
      </c>
      <c r="G218" s="94" t="s">
        <v>42</v>
      </c>
      <c r="H218" s="94" t="s">
        <v>42</v>
      </c>
      <c r="I218" s="93">
        <v>18.399999999999999</v>
      </c>
      <c r="J218" s="93">
        <v>332</v>
      </c>
      <c r="K218" s="93">
        <v>70.3</v>
      </c>
      <c r="L218" s="93">
        <v>333</v>
      </c>
      <c r="M218" s="93">
        <v>40</v>
      </c>
      <c r="N218" s="93">
        <v>53</v>
      </c>
      <c r="O218" s="93">
        <v>65</v>
      </c>
      <c r="P218" s="93" t="s">
        <v>13</v>
      </c>
      <c r="Q218" s="93">
        <v>0</v>
      </c>
      <c r="R218" s="93">
        <v>0</v>
      </c>
      <c r="S218" s="93" t="s">
        <v>308</v>
      </c>
      <c r="T218" s="95">
        <v>112</v>
      </c>
      <c r="U218" s="95">
        <v>112</v>
      </c>
      <c r="V218" s="95">
        <v>112</v>
      </c>
      <c r="W218" s="95" t="s">
        <v>308</v>
      </c>
      <c r="X218" s="95">
        <v>746.55149358661129</v>
      </c>
      <c r="Y218" s="95">
        <v>861</v>
      </c>
      <c r="Z218" s="95">
        <v>861</v>
      </c>
      <c r="AB218" s="93" t="s">
        <v>470</v>
      </c>
      <c r="AC218" s="93">
        <v>1.4285714285714287E-2</v>
      </c>
      <c r="AD218" s="93">
        <v>4.2857142857142858E-2</v>
      </c>
      <c r="AE218" s="93">
        <v>7.1428571428571425E-2</v>
      </c>
      <c r="AF218" s="93">
        <v>0.91</v>
      </c>
      <c r="AG218" s="93">
        <v>1.28</v>
      </c>
      <c r="AH218" s="93">
        <v>1.67</v>
      </c>
      <c r="AI218" s="93">
        <v>61</v>
      </c>
      <c r="AJ218" s="93">
        <v>76</v>
      </c>
      <c r="AK218" s="93">
        <v>92</v>
      </c>
      <c r="AL218" s="93" t="s">
        <v>42</v>
      </c>
      <c r="AM218" s="57" t="s">
        <v>42</v>
      </c>
      <c r="AN218" s="57" t="s">
        <v>42</v>
      </c>
      <c r="AO218" s="59">
        <v>1.4696706373012765E-2</v>
      </c>
      <c r="AP218" s="59">
        <v>8.8445201967897014E-2</v>
      </c>
      <c r="AQ218" s="59">
        <v>0.28221105733200125</v>
      </c>
      <c r="AR218" s="59">
        <v>1.4842554234214591E-2</v>
      </c>
      <c r="AS218" s="59">
        <v>8.8816589455831485E-2</v>
      </c>
      <c r="AT218" s="59">
        <v>0.28208210445176551</v>
      </c>
      <c r="AV218" s="60" t="s">
        <v>42</v>
      </c>
      <c r="AW218" s="60" t="s">
        <v>42</v>
      </c>
      <c r="AX218" s="60" t="s">
        <v>42</v>
      </c>
      <c r="AY218" s="60" t="s">
        <v>42</v>
      </c>
      <c r="AZ218" s="60" t="s">
        <v>42</v>
      </c>
      <c r="BA218" s="60" t="s">
        <v>42</v>
      </c>
      <c r="BB218" s="2"/>
      <c r="BC218" s="61" t="s">
        <v>42</v>
      </c>
      <c r="BD218" s="61" t="s">
        <v>42</v>
      </c>
      <c r="BE218" s="61" t="s">
        <v>42</v>
      </c>
      <c r="BG218" s="60">
        <v>5.8122881552925607</v>
      </c>
      <c r="BH218" s="60">
        <v>6.0814163803333132</v>
      </c>
      <c r="BI218" s="60">
        <v>6.4143481466205232</v>
      </c>
      <c r="BJ218" s="60">
        <v>0.15874507866387549</v>
      </c>
      <c r="BK218" s="60">
        <v>0.40215419928181784</v>
      </c>
      <c r="BL218" s="60">
        <v>1.2699606293110048</v>
      </c>
      <c r="BN218" s="61">
        <v>562.50481524231418</v>
      </c>
      <c r="BO218" s="61">
        <v>4546.9306455740571</v>
      </c>
      <c r="BP218" s="61">
        <v>86411.240524135748</v>
      </c>
      <c r="BR218" s="60">
        <v>6.6361299012932564</v>
      </c>
      <c r="BS218" s="60">
        <v>6.9672015091167863</v>
      </c>
      <c r="BT218" s="60">
        <v>7.3001332754039963</v>
      </c>
      <c r="BU218" s="60">
        <v>0.40984641764566815</v>
      </c>
      <c r="BV218" s="60">
        <v>1.1150264570852122</v>
      </c>
      <c r="BW218" s="60">
        <v>3.5211361802690941</v>
      </c>
      <c r="BX218" s="2"/>
      <c r="BY218" s="61">
        <v>1452.9330686972014</v>
      </c>
      <c r="BZ218" s="61">
        <v>12554.258882454782</v>
      </c>
      <c r="CA218" s="61">
        <v>237232.49547926738</v>
      </c>
      <c r="CC218">
        <v>392</v>
      </c>
      <c r="CD218" t="s">
        <v>416</v>
      </c>
      <c r="CE218">
        <v>618</v>
      </c>
    </row>
    <row r="219" spans="1:83" x14ac:dyDescent="0.2">
      <c r="A219">
        <v>393</v>
      </c>
      <c r="B219" t="s">
        <v>416</v>
      </c>
      <c r="C219" s="29" t="s">
        <v>142</v>
      </c>
      <c r="D219" s="65" t="s">
        <v>331</v>
      </c>
      <c r="E219" s="29" t="s">
        <v>42</v>
      </c>
      <c r="F219" s="93" t="s">
        <v>313</v>
      </c>
      <c r="G219" s="94" t="s">
        <v>42</v>
      </c>
      <c r="H219" s="94" t="s">
        <v>42</v>
      </c>
      <c r="I219" s="93">
        <v>12</v>
      </c>
      <c r="J219" s="93">
        <v>318</v>
      </c>
      <c r="K219" s="93">
        <v>70.3</v>
      </c>
      <c r="L219" s="93">
        <v>333</v>
      </c>
      <c r="M219" s="93">
        <v>40</v>
      </c>
      <c r="N219" s="93">
        <v>53</v>
      </c>
      <c r="O219" s="93">
        <v>65</v>
      </c>
      <c r="P219" s="93" t="s">
        <v>13</v>
      </c>
      <c r="Q219" s="93">
        <v>0</v>
      </c>
      <c r="R219" s="93">
        <v>0</v>
      </c>
      <c r="S219" s="93" t="s">
        <v>308</v>
      </c>
      <c r="T219" s="95">
        <v>75.477352153216188</v>
      </c>
      <c r="U219" s="95">
        <v>107</v>
      </c>
      <c r="V219" s="95">
        <v>107</v>
      </c>
      <c r="W219" s="95" t="s">
        <v>308</v>
      </c>
      <c r="X219" s="95">
        <v>746.55149358661129</v>
      </c>
      <c r="Y219" s="95">
        <v>861</v>
      </c>
      <c r="Z219" s="95">
        <v>861</v>
      </c>
      <c r="AB219" s="93" t="s">
        <v>470</v>
      </c>
      <c r="AC219" s="93">
        <v>1.4285714285714287E-2</v>
      </c>
      <c r="AD219" s="93">
        <v>4.2857142857142858E-2</v>
      </c>
      <c r="AE219" s="93">
        <v>7.1428571428571425E-2</v>
      </c>
      <c r="AF219" s="93">
        <v>0.91</v>
      </c>
      <c r="AG219" s="93">
        <v>1.28</v>
      </c>
      <c r="AH219" s="93">
        <v>1.67</v>
      </c>
      <c r="AI219" s="93">
        <v>61</v>
      </c>
      <c r="AJ219" s="93">
        <v>76</v>
      </c>
      <c r="AK219" s="93">
        <v>92</v>
      </c>
      <c r="AL219" s="93" t="s">
        <v>42</v>
      </c>
      <c r="AM219" s="57" t="s">
        <v>42</v>
      </c>
      <c r="AN219" s="57" t="s">
        <v>42</v>
      </c>
      <c r="AO219" s="59">
        <v>1.2207408445295711E-2</v>
      </c>
      <c r="AP219" s="59">
        <v>8.0483172359416558E-2</v>
      </c>
      <c r="AQ219" s="59">
        <v>0.27501989307749619</v>
      </c>
      <c r="AR219" s="59">
        <v>1.4842554234214591E-2</v>
      </c>
      <c r="AS219" s="59">
        <v>8.8816589455831485E-2</v>
      </c>
      <c r="AT219" s="59">
        <v>0.28208210445176551</v>
      </c>
      <c r="AV219" s="60" t="s">
        <v>42</v>
      </c>
      <c r="AW219" s="60" t="s">
        <v>42</v>
      </c>
      <c r="AX219" s="60" t="s">
        <v>42</v>
      </c>
      <c r="AY219" s="60" t="s">
        <v>42</v>
      </c>
      <c r="AZ219" s="60" t="s">
        <v>42</v>
      </c>
      <c r="BA219" s="60" t="s">
        <v>42</v>
      </c>
      <c r="BB219" s="2"/>
      <c r="BC219" s="61" t="s">
        <v>42</v>
      </c>
      <c r="BD219" s="61" t="s">
        <v>42</v>
      </c>
      <c r="BE219" s="61" t="s">
        <v>42</v>
      </c>
      <c r="BG219" s="60">
        <v>5.640886788749377</v>
      </c>
      <c r="BH219" s="60">
        <v>6.061582135348341</v>
      </c>
      <c r="BI219" s="60">
        <v>6.394513901635551</v>
      </c>
      <c r="BJ219" s="60">
        <v>0.13031655395410685</v>
      </c>
      <c r="BK219" s="60">
        <v>0.3930750564459668</v>
      </c>
      <c r="BL219" s="60">
        <v>1.241289651934633</v>
      </c>
      <c r="BN219" s="61">
        <v>473.84410086068112</v>
      </c>
      <c r="BO219" s="61">
        <v>4883.940890035964</v>
      </c>
      <c r="BP219" s="61">
        <v>101683.30628872999</v>
      </c>
      <c r="BR219" s="60">
        <v>6.6361299012932564</v>
      </c>
      <c r="BS219" s="60">
        <v>6.9672015091167863</v>
      </c>
      <c r="BT219" s="60">
        <v>7.3001332754039963</v>
      </c>
      <c r="BU219" s="60">
        <v>0.40984641764566815</v>
      </c>
      <c r="BV219" s="60">
        <v>1.1150264570852122</v>
      </c>
      <c r="BW219" s="60">
        <v>3.5211361802690941</v>
      </c>
      <c r="BX219" s="2"/>
      <c r="BY219" s="61">
        <v>1452.9330686972014</v>
      </c>
      <c r="BZ219" s="61">
        <v>12554.258882454782</v>
      </c>
      <c r="CA219" s="61">
        <v>237232.49547926738</v>
      </c>
      <c r="CC219">
        <v>393</v>
      </c>
      <c r="CD219" t="s">
        <v>416</v>
      </c>
      <c r="CE219">
        <v>618</v>
      </c>
    </row>
    <row r="220" spans="1:83" x14ac:dyDescent="0.2">
      <c r="A220">
        <v>394</v>
      </c>
      <c r="B220" t="s">
        <v>416</v>
      </c>
      <c r="C220" s="29" t="s">
        <v>142</v>
      </c>
      <c r="D220" s="65" t="s">
        <v>277</v>
      </c>
      <c r="E220" s="29" t="s">
        <v>42</v>
      </c>
      <c r="F220" s="93" t="s">
        <v>313</v>
      </c>
      <c r="G220" s="94" t="s">
        <v>42</v>
      </c>
      <c r="H220" s="94" t="s">
        <v>42</v>
      </c>
      <c r="I220" s="93">
        <v>39.9</v>
      </c>
      <c r="J220" s="93">
        <v>326</v>
      </c>
      <c r="K220" s="93">
        <v>70.3</v>
      </c>
      <c r="L220" s="93">
        <v>333</v>
      </c>
      <c r="M220" s="93">
        <v>40</v>
      </c>
      <c r="N220" s="93">
        <v>53</v>
      </c>
      <c r="O220" s="93">
        <v>65</v>
      </c>
      <c r="P220" s="93" t="s">
        <v>11</v>
      </c>
      <c r="Q220" s="93">
        <v>0</v>
      </c>
      <c r="R220" s="93">
        <v>0</v>
      </c>
      <c r="S220" s="93" t="s">
        <v>308</v>
      </c>
      <c r="T220" s="95">
        <v>559.07414143339508</v>
      </c>
      <c r="U220" s="95">
        <v>642</v>
      </c>
      <c r="V220" s="95">
        <v>642</v>
      </c>
      <c r="W220" s="95" t="s">
        <v>308</v>
      </c>
      <c r="X220" s="95">
        <v>746.55149358661129</v>
      </c>
      <c r="Y220" s="95">
        <v>861</v>
      </c>
      <c r="Z220" s="95">
        <v>861</v>
      </c>
      <c r="AB220" s="93" t="s">
        <v>470</v>
      </c>
      <c r="AC220" s="93">
        <v>1.4285714285714287E-2</v>
      </c>
      <c r="AD220" s="93">
        <v>4.2857142857142858E-2</v>
      </c>
      <c r="AE220" s="93">
        <v>7.1428571428571425E-2</v>
      </c>
      <c r="AF220" s="93">
        <v>0.91</v>
      </c>
      <c r="AG220" s="93">
        <v>1.28</v>
      </c>
      <c r="AH220" s="93">
        <v>1.67</v>
      </c>
      <c r="AI220" s="93">
        <v>61</v>
      </c>
      <c r="AJ220" s="93">
        <v>76</v>
      </c>
      <c r="AK220" s="93">
        <v>92</v>
      </c>
      <c r="AL220" s="93" t="s">
        <v>42</v>
      </c>
      <c r="AM220" s="57" t="s">
        <v>42</v>
      </c>
      <c r="AN220" s="57" t="s">
        <v>42</v>
      </c>
      <c r="AO220" s="59">
        <v>1.3729256861459717E-2</v>
      </c>
      <c r="AP220" s="59">
        <v>8.5655642277364288E-2</v>
      </c>
      <c r="AQ220" s="59">
        <v>0.28117998413051415</v>
      </c>
      <c r="AR220" s="59">
        <v>1.4842554234214591E-2</v>
      </c>
      <c r="AS220" s="59">
        <v>8.8816589455831485E-2</v>
      </c>
      <c r="AT220" s="59">
        <v>0.28208210445176551</v>
      </c>
      <c r="AV220" s="60" t="s">
        <v>42</v>
      </c>
      <c r="AW220" s="60" t="s">
        <v>42</v>
      </c>
      <c r="AX220" s="60" t="s">
        <v>42</v>
      </c>
      <c r="AY220" s="60" t="s">
        <v>42</v>
      </c>
      <c r="AZ220" s="60" t="s">
        <v>42</v>
      </c>
      <c r="BA220" s="60" t="s">
        <v>42</v>
      </c>
      <c r="BB220" s="2"/>
      <c r="BC220" s="61" t="s">
        <v>42</v>
      </c>
      <c r="BD220" s="61" t="s">
        <v>42</v>
      </c>
      <c r="BE220" s="61" t="s">
        <v>42</v>
      </c>
      <c r="BG220" s="60">
        <v>6.510539538147917</v>
      </c>
      <c r="BH220" s="60">
        <v>6.8397333857319849</v>
      </c>
      <c r="BI220" s="60">
        <v>7.1726651520191949</v>
      </c>
      <c r="BJ220" s="60">
        <v>0.35467123061014427</v>
      </c>
      <c r="BK220" s="60">
        <v>0.96283331890831481</v>
      </c>
      <c r="BL220" s="60">
        <v>3.0405262702367861</v>
      </c>
      <c r="BN220" s="61">
        <v>1261.3672758638395</v>
      </c>
      <c r="BO220" s="61">
        <v>11240.746007023487</v>
      </c>
      <c r="BP220" s="61">
        <v>221463.2810004483</v>
      </c>
      <c r="BR220" s="60">
        <v>6.6361299012932564</v>
      </c>
      <c r="BS220" s="60">
        <v>6.9672015091167863</v>
      </c>
      <c r="BT220" s="60">
        <v>7.3001332754039963</v>
      </c>
      <c r="BU220" s="60">
        <v>0.40984641764566815</v>
      </c>
      <c r="BV220" s="60">
        <v>1.1150264570852122</v>
      </c>
      <c r="BW220" s="60">
        <v>3.5211361802690941</v>
      </c>
      <c r="BX220" s="2"/>
      <c r="BY220" s="61">
        <v>1452.9330686972014</v>
      </c>
      <c r="BZ220" s="61">
        <v>12554.258882454782</v>
      </c>
      <c r="CA220" s="61">
        <v>237232.49547926738</v>
      </c>
      <c r="CC220">
        <v>394</v>
      </c>
      <c r="CD220" t="s">
        <v>416</v>
      </c>
      <c r="CE220">
        <v>618</v>
      </c>
    </row>
    <row r="221" spans="1:83" x14ac:dyDescent="0.2">
      <c r="A221">
        <v>395</v>
      </c>
      <c r="B221" t="s">
        <v>416</v>
      </c>
      <c r="C221" s="29" t="s">
        <v>142</v>
      </c>
      <c r="D221" s="65" t="s">
        <v>330</v>
      </c>
      <c r="E221" s="29" t="s">
        <v>42</v>
      </c>
      <c r="F221" s="93" t="s">
        <v>314</v>
      </c>
      <c r="G221" s="94" t="s">
        <v>42</v>
      </c>
      <c r="H221" s="94" t="s">
        <v>42</v>
      </c>
      <c r="I221" s="93">
        <v>18.399999999999999</v>
      </c>
      <c r="J221" s="93">
        <v>332</v>
      </c>
      <c r="K221" s="93">
        <v>64.3</v>
      </c>
      <c r="L221" s="93">
        <v>333</v>
      </c>
      <c r="M221" s="93">
        <v>40</v>
      </c>
      <c r="N221" s="93">
        <v>53</v>
      </c>
      <c r="O221" s="93">
        <v>65</v>
      </c>
      <c r="P221" s="93" t="s">
        <v>13</v>
      </c>
      <c r="Q221" s="93">
        <v>0</v>
      </c>
      <c r="R221" s="93">
        <v>0</v>
      </c>
      <c r="S221" s="93" t="s">
        <v>308</v>
      </c>
      <c r="T221" s="95">
        <v>112</v>
      </c>
      <c r="U221" s="95">
        <v>112</v>
      </c>
      <c r="V221" s="95">
        <v>112</v>
      </c>
      <c r="W221" s="95" t="s">
        <v>308</v>
      </c>
      <c r="X221" s="95">
        <v>613.57984637894879</v>
      </c>
      <c r="Y221" s="95">
        <v>724</v>
      </c>
      <c r="Z221" s="95">
        <v>724</v>
      </c>
      <c r="AB221" s="93" t="s">
        <v>470</v>
      </c>
      <c r="AC221" s="93">
        <v>1.4285714285714287E-2</v>
      </c>
      <c r="AD221" s="93">
        <v>4.2857142857142858E-2</v>
      </c>
      <c r="AE221" s="93">
        <v>7.1428571428571425E-2</v>
      </c>
      <c r="AF221" s="93">
        <v>0.91</v>
      </c>
      <c r="AG221" s="93">
        <v>1.28</v>
      </c>
      <c r="AH221" s="93">
        <v>1.67</v>
      </c>
      <c r="AI221" s="93">
        <v>61</v>
      </c>
      <c r="AJ221" s="93">
        <v>76</v>
      </c>
      <c r="AK221" s="93">
        <v>92</v>
      </c>
      <c r="AL221" s="93" t="s">
        <v>42</v>
      </c>
      <c r="AM221" s="57" t="s">
        <v>42</v>
      </c>
      <c r="AN221" s="57" t="s">
        <v>42</v>
      </c>
      <c r="AO221" s="59">
        <v>1.4696706373012765E-2</v>
      </c>
      <c r="AP221" s="59">
        <v>8.8445201967897014E-2</v>
      </c>
      <c r="AQ221" s="59">
        <v>0.28221105733200125</v>
      </c>
      <c r="AR221" s="59">
        <v>1.4842554234214591E-2</v>
      </c>
      <c r="AS221" s="59">
        <v>8.8816589455831485E-2</v>
      </c>
      <c r="AT221" s="59">
        <v>0.28208210445176551</v>
      </c>
      <c r="AV221" s="60" t="s">
        <v>42</v>
      </c>
      <c r="AW221" s="60" t="s">
        <v>42</v>
      </c>
      <c r="AX221" s="60" t="s">
        <v>42</v>
      </c>
      <c r="AY221" s="60" t="s">
        <v>42</v>
      </c>
      <c r="AZ221" s="60" t="s">
        <v>42</v>
      </c>
      <c r="BA221" s="60" t="s">
        <v>42</v>
      </c>
      <c r="BB221" s="2"/>
      <c r="BC221" s="61" t="s">
        <v>42</v>
      </c>
      <c r="BD221" s="61" t="s">
        <v>42</v>
      </c>
      <c r="BE221" s="61" t="s">
        <v>42</v>
      </c>
      <c r="BG221" s="60">
        <v>5.8122881552925607</v>
      </c>
      <c r="BH221" s="60">
        <v>6.0814163803333132</v>
      </c>
      <c r="BI221" s="60">
        <v>6.4143481466205232</v>
      </c>
      <c r="BJ221" s="60">
        <v>0.15874507866387549</v>
      </c>
      <c r="BK221" s="60">
        <v>0.40215419928181784</v>
      </c>
      <c r="BL221" s="60">
        <v>1.2699606293110048</v>
      </c>
      <c r="BN221" s="61">
        <v>562.50481524231418</v>
      </c>
      <c r="BO221" s="61">
        <v>4546.9306455740571</v>
      </c>
      <c r="BP221" s="61">
        <v>86411.240524135748</v>
      </c>
      <c r="BR221" s="60">
        <v>6.5509412189770018</v>
      </c>
      <c r="BS221" s="60">
        <v>6.8919369238602783</v>
      </c>
      <c r="BT221" s="60">
        <v>7.2248686901474883</v>
      </c>
      <c r="BU221" s="60">
        <v>0.3715581588866857</v>
      </c>
      <c r="BV221" s="60">
        <v>1.0224754275776011</v>
      </c>
      <c r="BW221" s="60">
        <v>3.2288697712976901</v>
      </c>
      <c r="BX221" s="2"/>
      <c r="BY221" s="61">
        <v>1317.1986206243726</v>
      </c>
      <c r="BZ221" s="61">
        <v>11512.212232446491</v>
      </c>
      <c r="CA221" s="61">
        <v>217541.3827260675</v>
      </c>
      <c r="CC221">
        <v>395</v>
      </c>
      <c r="CD221" t="s">
        <v>416</v>
      </c>
      <c r="CE221">
        <v>619</v>
      </c>
    </row>
    <row r="222" spans="1:83" x14ac:dyDescent="0.2">
      <c r="A222">
        <v>396</v>
      </c>
      <c r="B222" t="s">
        <v>416</v>
      </c>
      <c r="C222" s="29" t="s">
        <v>142</v>
      </c>
      <c r="D222" s="65" t="s">
        <v>329</v>
      </c>
      <c r="E222" s="29" t="s">
        <v>42</v>
      </c>
      <c r="F222" s="93" t="s">
        <v>314</v>
      </c>
      <c r="G222" s="94" t="s">
        <v>42</v>
      </c>
      <c r="H222" s="94" t="s">
        <v>42</v>
      </c>
      <c r="I222" s="93">
        <v>12</v>
      </c>
      <c r="J222" s="93">
        <v>318</v>
      </c>
      <c r="K222" s="93">
        <v>64.3</v>
      </c>
      <c r="L222" s="93">
        <v>333</v>
      </c>
      <c r="M222" s="93">
        <v>40</v>
      </c>
      <c r="N222" s="93">
        <v>53</v>
      </c>
      <c r="O222" s="93">
        <v>65</v>
      </c>
      <c r="P222" s="93" t="s">
        <v>13</v>
      </c>
      <c r="Q222" s="93">
        <v>0</v>
      </c>
      <c r="R222" s="93">
        <v>0</v>
      </c>
      <c r="S222" s="93" t="s">
        <v>308</v>
      </c>
      <c r="T222" s="95">
        <v>75.477352153216188</v>
      </c>
      <c r="U222" s="95">
        <v>107</v>
      </c>
      <c r="V222" s="95">
        <v>107</v>
      </c>
      <c r="W222" s="95" t="s">
        <v>308</v>
      </c>
      <c r="X222" s="95">
        <v>613.57984637894879</v>
      </c>
      <c r="Y222" s="95">
        <v>724</v>
      </c>
      <c r="Z222" s="95">
        <v>724</v>
      </c>
      <c r="AB222" s="93" t="s">
        <v>470</v>
      </c>
      <c r="AC222" s="93">
        <v>1.4285714285714287E-2</v>
      </c>
      <c r="AD222" s="93">
        <v>4.2857142857142858E-2</v>
      </c>
      <c r="AE222" s="93">
        <v>7.1428571428571425E-2</v>
      </c>
      <c r="AF222" s="93">
        <v>0.91</v>
      </c>
      <c r="AG222" s="93">
        <v>1.28</v>
      </c>
      <c r="AH222" s="93">
        <v>1.67</v>
      </c>
      <c r="AI222" s="93">
        <v>61</v>
      </c>
      <c r="AJ222" s="93">
        <v>76</v>
      </c>
      <c r="AK222" s="93">
        <v>92</v>
      </c>
      <c r="AL222" s="93" t="s">
        <v>42</v>
      </c>
      <c r="AM222" s="57" t="s">
        <v>42</v>
      </c>
      <c r="AN222" s="57" t="s">
        <v>42</v>
      </c>
      <c r="AO222" s="59">
        <v>1.2207408445295711E-2</v>
      </c>
      <c r="AP222" s="59">
        <v>8.0483172359416558E-2</v>
      </c>
      <c r="AQ222" s="59">
        <v>0.27501989307749619</v>
      </c>
      <c r="AR222" s="59">
        <v>1.4842554234214591E-2</v>
      </c>
      <c r="AS222" s="59">
        <v>8.8816589455831485E-2</v>
      </c>
      <c r="AT222" s="59">
        <v>0.28208210445176551</v>
      </c>
      <c r="AV222" s="60" t="s">
        <v>42</v>
      </c>
      <c r="AW222" s="60" t="s">
        <v>42</v>
      </c>
      <c r="AX222" s="60" t="s">
        <v>42</v>
      </c>
      <c r="AY222" s="60" t="s">
        <v>42</v>
      </c>
      <c r="AZ222" s="60" t="s">
        <v>42</v>
      </c>
      <c r="BA222" s="60" t="s">
        <v>42</v>
      </c>
      <c r="BB222" s="2"/>
      <c r="BC222" s="61" t="s">
        <v>42</v>
      </c>
      <c r="BD222" s="61" t="s">
        <v>42</v>
      </c>
      <c r="BE222" s="61" t="s">
        <v>42</v>
      </c>
      <c r="BG222" s="60">
        <v>5.640886788749377</v>
      </c>
      <c r="BH222" s="60">
        <v>6.061582135348341</v>
      </c>
      <c r="BI222" s="60">
        <v>6.394513901635551</v>
      </c>
      <c r="BJ222" s="60">
        <v>0.13031655395410685</v>
      </c>
      <c r="BK222" s="60">
        <v>0.3930750564459668</v>
      </c>
      <c r="BL222" s="60">
        <v>1.241289651934633</v>
      </c>
      <c r="BN222" s="61">
        <v>473.84410086068112</v>
      </c>
      <c r="BO222" s="61">
        <v>4883.940890035964</v>
      </c>
      <c r="BP222" s="61">
        <v>101683.30628872999</v>
      </c>
      <c r="BR222" s="60">
        <v>6.5509412189770018</v>
      </c>
      <c r="BS222" s="60">
        <v>6.8919369238602783</v>
      </c>
      <c r="BT222" s="60">
        <v>7.2248686901474883</v>
      </c>
      <c r="BU222" s="60">
        <v>0.3715581588866857</v>
      </c>
      <c r="BV222" s="60">
        <v>1.0224754275776011</v>
      </c>
      <c r="BW222" s="60">
        <v>3.2288697712976901</v>
      </c>
      <c r="BX222" s="2"/>
      <c r="BY222" s="61">
        <v>1317.1986206243726</v>
      </c>
      <c r="BZ222" s="61">
        <v>11512.212232446491</v>
      </c>
      <c r="CA222" s="61">
        <v>217541.3827260675</v>
      </c>
      <c r="CC222">
        <v>396</v>
      </c>
      <c r="CD222" t="s">
        <v>416</v>
      </c>
      <c r="CE222">
        <v>619</v>
      </c>
    </row>
    <row r="223" spans="1:83" x14ac:dyDescent="0.2">
      <c r="A223">
        <v>397</v>
      </c>
      <c r="B223">
        <v>165</v>
      </c>
      <c r="C223" s="29" t="s">
        <v>142</v>
      </c>
      <c r="D223" s="65" t="s">
        <v>278</v>
      </c>
      <c r="E223" s="29" t="s">
        <v>545</v>
      </c>
      <c r="F223" s="93" t="s">
        <v>314</v>
      </c>
      <c r="G223" s="94">
        <v>19.7</v>
      </c>
      <c r="H223" s="94">
        <v>327</v>
      </c>
      <c r="I223" s="93">
        <v>33.9</v>
      </c>
      <c r="J223" s="93">
        <v>341</v>
      </c>
      <c r="K223" s="93">
        <v>64.3</v>
      </c>
      <c r="L223" s="93">
        <v>333</v>
      </c>
      <c r="M223" s="93">
        <v>40</v>
      </c>
      <c r="N223" s="93">
        <v>53</v>
      </c>
      <c r="O223" s="93">
        <v>65</v>
      </c>
      <c r="P223" s="93" t="s">
        <v>11</v>
      </c>
      <c r="Q223" s="93">
        <v>0</v>
      </c>
      <c r="R223" s="93">
        <v>0</v>
      </c>
      <c r="S223" s="93" t="s">
        <v>308</v>
      </c>
      <c r="T223" s="95">
        <v>426.10249422573258</v>
      </c>
      <c r="U223" s="95">
        <v>505</v>
      </c>
      <c r="V223" s="95">
        <v>505</v>
      </c>
      <c r="W223" s="95" t="s">
        <v>308</v>
      </c>
      <c r="X223" s="95">
        <v>613.57984637894879</v>
      </c>
      <c r="Y223" s="95">
        <v>724</v>
      </c>
      <c r="Z223" s="95">
        <v>724</v>
      </c>
      <c r="AB223" s="93" t="s">
        <v>470</v>
      </c>
      <c r="AC223" s="93">
        <v>1.4285714285714287E-2</v>
      </c>
      <c r="AD223" s="93">
        <v>4.2857142857142858E-2</v>
      </c>
      <c r="AE223" s="93">
        <v>7.1428571428571425E-2</v>
      </c>
      <c r="AF223" s="93">
        <v>0.91</v>
      </c>
      <c r="AG223" s="93">
        <v>1.28</v>
      </c>
      <c r="AH223" s="93">
        <v>1.67</v>
      </c>
      <c r="AI223" s="93">
        <v>61</v>
      </c>
      <c r="AJ223" s="93">
        <v>76</v>
      </c>
      <c r="AK223" s="93">
        <v>92</v>
      </c>
      <c r="AL223" s="96">
        <v>1.3901251645921734E-2</v>
      </c>
      <c r="AM223" s="59">
        <v>8.6186694549546694E-2</v>
      </c>
      <c r="AN223" s="59">
        <v>0.28156648932034001</v>
      </c>
      <c r="AO223" s="59">
        <v>1.5843135021055998E-2</v>
      </c>
      <c r="AP223" s="59">
        <v>8.9768014282626998E-2</v>
      </c>
      <c r="AQ223" s="59">
        <v>0.28117998413051415</v>
      </c>
      <c r="AR223" s="59">
        <v>1.4842554234214591E-2</v>
      </c>
      <c r="AS223" s="59">
        <v>8.8816589455831485E-2</v>
      </c>
      <c r="AT223" s="59">
        <v>0.28208210445176551</v>
      </c>
      <c r="AV223" s="60">
        <v>5.9730284222726597</v>
      </c>
      <c r="AW223" s="60">
        <v>6.4060134499520816</v>
      </c>
      <c r="AX223" s="60">
        <v>6.8938471762250346</v>
      </c>
      <c r="AY223" s="60">
        <v>0.19697165647375572</v>
      </c>
      <c r="AZ223" s="60">
        <v>0.60259354625957606</v>
      </c>
      <c r="BA223" s="60">
        <v>2.2744327777569922</v>
      </c>
      <c r="BC223" s="61">
        <v>699.55645982309989</v>
      </c>
      <c r="BD223" s="61">
        <v>6991.7235996695445</v>
      </c>
      <c r="BE223" s="61">
        <v>163613.52457238996</v>
      </c>
      <c r="BG223" s="60">
        <v>6.392584209008473</v>
      </c>
      <c r="BH223" s="60">
        <v>6.7354897357817931</v>
      </c>
      <c r="BI223" s="60">
        <v>7.0684215020690031</v>
      </c>
      <c r="BJ223" s="60">
        <v>0.30963375332929988</v>
      </c>
      <c r="BK223" s="60">
        <v>0.85394379206128113</v>
      </c>
      <c r="BL223" s="60">
        <v>2.6966646065093109</v>
      </c>
      <c r="BN223" s="61">
        <v>1101.1941489603985</v>
      </c>
      <c r="BO223" s="61">
        <v>9512.7846915796908</v>
      </c>
      <c r="BP223" s="61">
        <v>170210.29000417932</v>
      </c>
      <c r="BR223" s="60">
        <v>6.5509412189770018</v>
      </c>
      <c r="BS223" s="60">
        <v>6.8919369238602783</v>
      </c>
      <c r="BT223" s="60">
        <v>7.2248686901474883</v>
      </c>
      <c r="BU223" s="60">
        <v>0.3715581588866857</v>
      </c>
      <c r="BV223" s="60">
        <v>1.0224754275776011</v>
      </c>
      <c r="BW223" s="60">
        <v>3.2288697712976901</v>
      </c>
      <c r="BY223" s="61">
        <v>1317.1986206243726</v>
      </c>
      <c r="BZ223" s="61">
        <v>11512.212232446491</v>
      </c>
      <c r="CA223" s="61">
        <v>217541.3827260675</v>
      </c>
      <c r="CC223">
        <v>397</v>
      </c>
      <c r="CD223">
        <v>165</v>
      </c>
      <c r="CE223">
        <v>619</v>
      </c>
    </row>
    <row r="224" spans="1:83" x14ac:dyDescent="0.2">
      <c r="A224">
        <v>397</v>
      </c>
      <c r="B224">
        <v>166</v>
      </c>
      <c r="C224" s="29" t="s">
        <v>142</v>
      </c>
      <c r="D224" s="65" t="s">
        <v>278</v>
      </c>
      <c r="E224" s="29" t="s">
        <v>546</v>
      </c>
      <c r="F224" s="93" t="s">
        <v>314</v>
      </c>
      <c r="G224" s="94">
        <v>14.2</v>
      </c>
      <c r="H224" s="94">
        <v>360</v>
      </c>
      <c r="I224" s="93">
        <v>33.9</v>
      </c>
      <c r="J224" s="93">
        <v>341</v>
      </c>
      <c r="K224" s="93">
        <v>64.3</v>
      </c>
      <c r="L224" s="93">
        <v>333</v>
      </c>
      <c r="M224" s="93">
        <v>40</v>
      </c>
      <c r="N224" s="93">
        <v>53</v>
      </c>
      <c r="O224" s="93">
        <v>65</v>
      </c>
      <c r="P224" s="93" t="s">
        <v>11</v>
      </c>
      <c r="Q224" s="93">
        <v>0</v>
      </c>
      <c r="R224" s="93">
        <v>0</v>
      </c>
      <c r="S224" s="93" t="s">
        <v>308</v>
      </c>
      <c r="T224" s="95">
        <v>426.10249422573258</v>
      </c>
      <c r="U224" s="95">
        <v>505</v>
      </c>
      <c r="V224" s="95">
        <v>505</v>
      </c>
      <c r="W224" s="95"/>
      <c r="X224" s="95">
        <v>613.57984637894879</v>
      </c>
      <c r="Y224" s="95">
        <v>724</v>
      </c>
      <c r="Z224" s="95">
        <v>724</v>
      </c>
      <c r="AB224" s="93" t="s">
        <v>470</v>
      </c>
      <c r="AC224" s="93">
        <v>1.4285714285714287E-2</v>
      </c>
      <c r="AD224" s="93">
        <v>4.2857142857142858E-2</v>
      </c>
      <c r="AE224" s="93">
        <v>7.1428571428571425E-2</v>
      </c>
      <c r="AF224" s="93">
        <v>0.91</v>
      </c>
      <c r="AG224" s="93">
        <v>1.28</v>
      </c>
      <c r="AH224" s="93">
        <v>1.67</v>
      </c>
      <c r="AI224" s="93">
        <v>61</v>
      </c>
      <c r="AJ224" s="93">
        <v>76</v>
      </c>
      <c r="AK224" s="93">
        <v>92</v>
      </c>
      <c r="AL224" s="96">
        <v>1.4842554234214591E-2</v>
      </c>
      <c r="AM224" s="59">
        <v>8.8445201967897027E-2</v>
      </c>
      <c r="AN224" s="59">
        <v>0.28208210445176551</v>
      </c>
      <c r="AO224" s="59">
        <v>1.5843135021055998E-2</v>
      </c>
      <c r="AP224" s="59">
        <v>8.9768014282626998E-2</v>
      </c>
      <c r="AQ224" s="59">
        <v>0.28117998413051415</v>
      </c>
      <c r="AR224" s="59">
        <v>1.4842554234214591E-2</v>
      </c>
      <c r="AS224" s="59">
        <v>8.8816589455831485E-2</v>
      </c>
      <c r="AT224" s="59">
        <v>0.28208210445176551</v>
      </c>
      <c r="AV224" s="60">
        <v>5.7360652859750987</v>
      </c>
      <c r="AW224" s="60">
        <v>6.1690503136545205</v>
      </c>
      <c r="AX224" s="60">
        <v>6.6568840399274736</v>
      </c>
      <c r="AY224" s="60">
        <v>0.14994160975402798</v>
      </c>
      <c r="AZ224" s="60">
        <v>0.45871496422932151</v>
      </c>
      <c r="BA224" s="60">
        <v>1.7313765750842796</v>
      </c>
      <c r="BC224" s="61">
        <v>531.55307404361474</v>
      </c>
      <c r="BD224" s="61">
        <v>5186.4313046152729</v>
      </c>
      <c r="BE224" s="61">
        <v>116649.50302779856</v>
      </c>
      <c r="BG224" s="60">
        <v>6.392584209008473</v>
      </c>
      <c r="BH224" s="60">
        <v>6.7354897357817931</v>
      </c>
      <c r="BI224" s="60">
        <v>7.0684215020690031</v>
      </c>
      <c r="BJ224" s="60">
        <v>0.30963375332929988</v>
      </c>
      <c r="BK224" s="60">
        <v>0.85394379206128113</v>
      </c>
      <c r="BL224" s="60">
        <v>2.6966646065093109</v>
      </c>
      <c r="BN224" s="61">
        <v>1101.1941489603985</v>
      </c>
      <c r="BO224" s="61">
        <v>9512.7846915796908</v>
      </c>
      <c r="BP224" s="61">
        <v>170210.29000417932</v>
      </c>
      <c r="BR224" s="60">
        <v>6.5509412189770018</v>
      </c>
      <c r="BS224" s="60">
        <v>6.8919369238602783</v>
      </c>
      <c r="BT224" s="60">
        <v>7.2248686901474883</v>
      </c>
      <c r="BU224" s="60">
        <v>0.3715581588866857</v>
      </c>
      <c r="BV224" s="60">
        <v>1.0224754275776011</v>
      </c>
      <c r="BW224" s="60">
        <v>3.2288697712976901</v>
      </c>
      <c r="BY224" s="61">
        <v>1317.1986206243726</v>
      </c>
      <c r="BZ224" s="61">
        <v>11512.212232446491</v>
      </c>
      <c r="CA224" s="61">
        <v>217541.3827260675</v>
      </c>
      <c r="CC224">
        <v>397</v>
      </c>
      <c r="CD224">
        <v>166</v>
      </c>
      <c r="CE224">
        <v>619</v>
      </c>
    </row>
    <row r="225" spans="1:83" x14ac:dyDescent="0.2">
      <c r="A225">
        <v>398</v>
      </c>
      <c r="B225">
        <v>167</v>
      </c>
      <c r="C225" s="29" t="s">
        <v>142</v>
      </c>
      <c r="D225" s="29" t="s">
        <v>491</v>
      </c>
      <c r="E225" s="29" t="s">
        <v>492</v>
      </c>
      <c r="F225" s="93" t="s">
        <v>519</v>
      </c>
      <c r="G225" s="94">
        <v>10.199999999999999</v>
      </c>
      <c r="H225" s="94">
        <v>148</v>
      </c>
      <c r="I225" s="93">
        <v>54.4</v>
      </c>
      <c r="J225" s="93">
        <v>140</v>
      </c>
      <c r="K225" s="93">
        <v>95.2</v>
      </c>
      <c r="L225" s="93">
        <v>149</v>
      </c>
      <c r="M225" s="93">
        <v>40</v>
      </c>
      <c r="N225" s="93">
        <v>53</v>
      </c>
      <c r="O225" s="93">
        <v>65</v>
      </c>
      <c r="P225" s="93" t="s">
        <v>9</v>
      </c>
      <c r="Q225" s="93">
        <v>0</v>
      </c>
      <c r="R225" s="93">
        <v>0</v>
      </c>
      <c r="S225" s="93" t="s">
        <v>211</v>
      </c>
      <c r="T225" s="95">
        <v>937.22977837560495</v>
      </c>
      <c r="U225" s="95">
        <v>1366.7934267977571</v>
      </c>
      <c r="V225" s="95">
        <v>1952.5620382825105</v>
      </c>
      <c r="W225" s="95" t="s">
        <v>308</v>
      </c>
      <c r="X225" s="95">
        <v>1436.0417414248216</v>
      </c>
      <c r="Y225" s="95">
        <v>2059.8525395778647</v>
      </c>
      <c r="Z225" s="95">
        <v>3328.8623280676761</v>
      </c>
      <c r="AB225" s="93" t="s">
        <v>470</v>
      </c>
      <c r="AC225" s="93">
        <v>1.4285714285714287E-2</v>
      </c>
      <c r="AD225" s="93">
        <v>4.2857142857142858E-2</v>
      </c>
      <c r="AE225" s="93">
        <v>7.1428571428571425E-2</v>
      </c>
      <c r="AF225" s="93">
        <v>0.91</v>
      </c>
      <c r="AG225" s="93">
        <v>1.28</v>
      </c>
      <c r="AH225" s="93">
        <v>1.67</v>
      </c>
      <c r="AI225" s="93">
        <v>61</v>
      </c>
      <c r="AJ225" s="93">
        <v>76</v>
      </c>
      <c r="AK225" s="93">
        <v>92</v>
      </c>
      <c r="AL225" s="96">
        <v>1.4069011974467961E-2</v>
      </c>
      <c r="AM225" s="59">
        <v>8.6691493519660046E-2</v>
      </c>
      <c r="AN225" s="59">
        <v>0.28186722662992303</v>
      </c>
      <c r="AO225" s="59">
        <v>1.2611386738700806E-2</v>
      </c>
      <c r="AP225" s="59">
        <v>8.1927621445445256E-2</v>
      </c>
      <c r="AQ225" s="59">
        <v>0.27706824418219866</v>
      </c>
      <c r="AR225" s="59">
        <v>1.4232486745677181E-2</v>
      </c>
      <c r="AS225" s="59">
        <v>8.7169885421047977E-2</v>
      </c>
      <c r="AT225" s="59">
        <v>0.28208210445176551</v>
      </c>
      <c r="AV225" s="60">
        <v>5.4965849982732022</v>
      </c>
      <c r="AW225" s="60">
        <v>5.9295700259526241</v>
      </c>
      <c r="AX225" s="60">
        <v>6.4174037522255771</v>
      </c>
      <c r="AY225" s="60">
        <v>0.11381041978295517</v>
      </c>
      <c r="AZ225" s="60">
        <v>0.34817915270687444</v>
      </c>
      <c r="BA225" s="60">
        <v>1.3141695299654697</v>
      </c>
      <c r="BC225" s="61">
        <v>403.77315640311144</v>
      </c>
      <c r="BD225" s="61">
        <v>4016.3012375362268</v>
      </c>
      <c r="BE225" s="61">
        <v>93408.800301711788</v>
      </c>
      <c r="BG225" s="60">
        <v>6.7349162115003027</v>
      </c>
      <c r="BH225" s="60">
        <v>7.1679012391797272</v>
      </c>
      <c r="BI225" s="60">
        <v>7.6557349654526803</v>
      </c>
      <c r="BJ225" s="60">
        <v>0.45921313149180615</v>
      </c>
      <c r="BK225" s="60">
        <v>1.4048664378850981</v>
      </c>
      <c r="BL225" s="60">
        <v>5.3025365016441173</v>
      </c>
      <c r="BN225" s="61">
        <v>1657.4008069644747</v>
      </c>
      <c r="BO225" s="61">
        <v>17147.653173607436</v>
      </c>
      <c r="BP225" s="61">
        <v>420456.2600060564</v>
      </c>
      <c r="BR225" s="60">
        <v>6.9202371963496914</v>
      </c>
      <c r="BS225" s="60">
        <v>7.3460344889352625</v>
      </c>
      <c r="BT225" s="60">
        <v>7.8874259583389472</v>
      </c>
      <c r="BU225" s="60">
        <v>0.56842712094039405</v>
      </c>
      <c r="BV225" s="60">
        <v>1.7246527381332264</v>
      </c>
      <c r="BW225" s="60">
        <v>6.9235552662035289</v>
      </c>
      <c r="BY225" s="61">
        <v>2015.1123093935651</v>
      </c>
      <c r="BZ225" s="61">
        <v>19784.960480363246</v>
      </c>
      <c r="CA225" s="61">
        <v>486461.38864709734</v>
      </c>
      <c r="CC225">
        <v>398</v>
      </c>
      <c r="CD225">
        <v>167</v>
      </c>
      <c r="CE225">
        <v>620</v>
      </c>
    </row>
    <row r="226" spans="1:83" x14ac:dyDescent="0.2">
      <c r="A226">
        <v>398</v>
      </c>
      <c r="B226">
        <v>168</v>
      </c>
      <c r="C226" s="29" t="s">
        <v>142</v>
      </c>
      <c r="D226" s="29" t="s">
        <v>491</v>
      </c>
      <c r="E226" s="29" t="s">
        <v>493</v>
      </c>
      <c r="F226" s="93" t="s">
        <v>519</v>
      </c>
      <c r="G226" s="94">
        <v>19</v>
      </c>
      <c r="H226" s="94">
        <v>143</v>
      </c>
      <c r="I226" s="93">
        <v>54.4</v>
      </c>
      <c r="J226" s="93">
        <v>140</v>
      </c>
      <c r="K226" s="93">
        <v>95.2</v>
      </c>
      <c r="L226" s="93">
        <v>149</v>
      </c>
      <c r="M226" s="93">
        <v>40</v>
      </c>
      <c r="N226" s="93">
        <v>53</v>
      </c>
      <c r="O226" s="93">
        <v>65</v>
      </c>
      <c r="P226" s="93" t="s">
        <v>9</v>
      </c>
      <c r="Q226" s="93">
        <v>0</v>
      </c>
      <c r="R226" s="93">
        <v>0</v>
      </c>
      <c r="S226" s="93" t="s">
        <v>211</v>
      </c>
      <c r="T226" s="95">
        <v>937.22977837560495</v>
      </c>
      <c r="U226" s="95">
        <v>1366.7934267977571</v>
      </c>
      <c r="V226" s="95">
        <v>1952.5620382825105</v>
      </c>
      <c r="W226" s="95" t="s">
        <v>308</v>
      </c>
      <c r="X226" s="95">
        <v>1436.0417414248216</v>
      </c>
      <c r="Y226" s="95">
        <v>2059.8525395778647</v>
      </c>
      <c r="Z226" s="95">
        <v>3328.8623280676761</v>
      </c>
      <c r="AB226" s="93" t="s">
        <v>470</v>
      </c>
      <c r="AC226" s="93">
        <v>1.4285714285714287E-2</v>
      </c>
      <c r="AD226" s="93">
        <v>4.2857142857142858E-2</v>
      </c>
      <c r="AE226" s="93">
        <v>7.1428571428571425E-2</v>
      </c>
      <c r="AF226" s="93">
        <v>0.91</v>
      </c>
      <c r="AG226" s="93">
        <v>1.28</v>
      </c>
      <c r="AH226" s="93">
        <v>1.67</v>
      </c>
      <c r="AI226" s="93">
        <v>61</v>
      </c>
      <c r="AJ226" s="93">
        <v>76</v>
      </c>
      <c r="AK226" s="93">
        <v>92</v>
      </c>
      <c r="AL226" s="96">
        <v>1.3188396038493935E-2</v>
      </c>
      <c r="AM226" s="59">
        <v>8.3906622972049039E-2</v>
      </c>
      <c r="AN226" s="59">
        <v>0.27950716901734218</v>
      </c>
      <c r="AO226" s="59">
        <v>1.2611386738700806E-2</v>
      </c>
      <c r="AP226" s="59">
        <v>8.1927621445445256E-2</v>
      </c>
      <c r="AQ226" s="59">
        <v>0.27706824418219866</v>
      </c>
      <c r="AR226" s="59">
        <v>1.4232486745677181E-2</v>
      </c>
      <c r="AS226" s="59">
        <v>8.7169885421047977E-2</v>
      </c>
      <c r="AT226" s="59">
        <v>0.28208210445176551</v>
      </c>
      <c r="AV226" s="60">
        <v>5.946840713591385</v>
      </c>
      <c r="AW226" s="60">
        <v>6.3798257412708068</v>
      </c>
      <c r="AX226" s="60">
        <v>6.8676594675437599</v>
      </c>
      <c r="AY226" s="60">
        <v>0.19112164856752148</v>
      </c>
      <c r="AZ226" s="60">
        <v>0.58469667179056362</v>
      </c>
      <c r="BA226" s="60">
        <v>2.2068827049684767</v>
      </c>
      <c r="BC226" s="61">
        <v>683.78084626395832</v>
      </c>
      <c r="BD226" s="61">
        <v>6968.4209789415281</v>
      </c>
      <c r="BE226" s="61">
        <v>167335.18606258769</v>
      </c>
      <c r="BG226" s="60">
        <v>6.7349162115003027</v>
      </c>
      <c r="BH226" s="60">
        <v>7.1679012391797272</v>
      </c>
      <c r="BI226" s="60">
        <v>7.6557349654526803</v>
      </c>
      <c r="BJ226" s="60">
        <v>0.45921313149180615</v>
      </c>
      <c r="BK226" s="60">
        <v>1.4048664378850981</v>
      </c>
      <c r="BL226" s="60">
        <v>5.3025365016441173</v>
      </c>
      <c r="BN226" s="61">
        <v>1657.4008069644747</v>
      </c>
      <c r="BO226" s="61">
        <v>17147.653173607436</v>
      </c>
      <c r="BP226" s="61">
        <v>420456.2600060564</v>
      </c>
      <c r="BR226" s="60">
        <v>6.9202371963496914</v>
      </c>
      <c r="BS226" s="60">
        <v>7.3460344889352625</v>
      </c>
      <c r="BT226" s="60">
        <v>7.8874259583389472</v>
      </c>
      <c r="BU226" s="60">
        <v>0.56842712094039405</v>
      </c>
      <c r="BV226" s="60">
        <v>1.7246527381332264</v>
      </c>
      <c r="BW226" s="60">
        <v>6.9235552662035289</v>
      </c>
      <c r="BY226" s="61">
        <v>2015.1123093935651</v>
      </c>
      <c r="BZ226" s="61">
        <v>19784.960480363246</v>
      </c>
      <c r="CA226" s="61">
        <v>486461.38864709734</v>
      </c>
      <c r="CC226">
        <v>398</v>
      </c>
      <c r="CD226">
        <v>168</v>
      </c>
      <c r="CE226">
        <v>620</v>
      </c>
    </row>
    <row r="227" spans="1:83" x14ac:dyDescent="0.2">
      <c r="A227">
        <v>398</v>
      </c>
      <c r="B227">
        <v>169</v>
      </c>
      <c r="C227" s="29" t="s">
        <v>142</v>
      </c>
      <c r="D227" s="29" t="s">
        <v>491</v>
      </c>
      <c r="E227" s="29" t="s">
        <v>494</v>
      </c>
      <c r="F227" s="93" t="s">
        <v>519</v>
      </c>
      <c r="G227" s="94">
        <v>25.2</v>
      </c>
      <c r="H227" s="94">
        <v>134</v>
      </c>
      <c r="I227" s="93">
        <v>54.4</v>
      </c>
      <c r="J227" s="93">
        <v>140</v>
      </c>
      <c r="K227" s="93">
        <v>95.2</v>
      </c>
      <c r="L227" s="93">
        <v>149</v>
      </c>
      <c r="M227" s="93">
        <v>40</v>
      </c>
      <c r="N227" s="93">
        <v>53</v>
      </c>
      <c r="O227" s="93">
        <v>65</v>
      </c>
      <c r="P227" s="93" t="s">
        <v>9</v>
      </c>
      <c r="Q227" s="93">
        <v>0.5</v>
      </c>
      <c r="R227" s="93">
        <v>0.5</v>
      </c>
      <c r="S227" s="93" t="s">
        <v>211</v>
      </c>
      <c r="T227" s="95">
        <v>937.22977837560495</v>
      </c>
      <c r="U227" s="95">
        <v>1366.7934267977571</v>
      </c>
      <c r="V227" s="95">
        <v>1952.5620382825105</v>
      </c>
      <c r="W227" s="95" t="s">
        <v>308</v>
      </c>
      <c r="X227" s="95">
        <v>1436.0417414248216</v>
      </c>
      <c r="Y227" s="95">
        <v>2059.8525395778647</v>
      </c>
      <c r="Z227" s="95">
        <v>3328.8623280676761</v>
      </c>
      <c r="AB227" s="93" t="s">
        <v>470</v>
      </c>
      <c r="AC227" s="93">
        <v>1.4285714285714287E-2</v>
      </c>
      <c r="AD227" s="93">
        <v>4.2857142857142858E-2</v>
      </c>
      <c r="AE227" s="93">
        <v>7.1428571428571425E-2</v>
      </c>
      <c r="AF227" s="93">
        <v>0.91</v>
      </c>
      <c r="AG227" s="93">
        <v>1.28</v>
      </c>
      <c r="AH227" s="93">
        <v>1.67</v>
      </c>
      <c r="AI227" s="93">
        <v>61</v>
      </c>
      <c r="AJ227" s="93">
        <v>76</v>
      </c>
      <c r="AK227" s="93">
        <v>92</v>
      </c>
      <c r="AL227" s="96">
        <v>1.1355343623730356E-2</v>
      </c>
      <c r="AM227" s="59">
        <v>7.7301984448512925E-2</v>
      </c>
      <c r="AN227" s="59">
        <v>0.2699208865703655</v>
      </c>
      <c r="AO227" s="59">
        <v>1.2611386738700806E-2</v>
      </c>
      <c r="AP227" s="59">
        <v>8.1927621445445256E-2</v>
      </c>
      <c r="AQ227" s="59">
        <v>0.27706824418219866</v>
      </c>
      <c r="AR227" s="59">
        <v>1.4232486745677181E-2</v>
      </c>
      <c r="AS227" s="59">
        <v>8.7169885421047977E-2</v>
      </c>
      <c r="AT227" s="59">
        <v>0.28208210445176551</v>
      </c>
      <c r="AV227" s="60">
        <v>6.1512522799725771</v>
      </c>
      <c r="AW227" s="60">
        <v>6.5842373076519989</v>
      </c>
      <c r="AX227" s="60">
        <v>7.072071033924952</v>
      </c>
      <c r="AY227" s="60">
        <v>0.24183305714552425</v>
      </c>
      <c r="AZ227" s="60">
        <v>0.73983760971991619</v>
      </c>
      <c r="BA227" s="60">
        <v>2.7924476128383784</v>
      </c>
      <c r="BC227" s="61">
        <v>895.94051137825136</v>
      </c>
      <c r="BD227" s="61">
        <v>9570.7453695795593</v>
      </c>
      <c r="BE227" s="61">
        <v>245914.8490233912</v>
      </c>
      <c r="BG227" s="60">
        <v>6.7349162115003027</v>
      </c>
      <c r="BH227" s="60">
        <v>7.1679012391797272</v>
      </c>
      <c r="BI227" s="60">
        <v>7.6557349654526803</v>
      </c>
      <c r="BJ227" s="60">
        <v>0.45921313149180615</v>
      </c>
      <c r="BK227" s="60">
        <v>1.4048664378850981</v>
      </c>
      <c r="BL227" s="60">
        <v>5.3025365016441173</v>
      </c>
      <c r="BN227" s="61">
        <v>1657.4008069644747</v>
      </c>
      <c r="BO227" s="61">
        <v>17147.653173607436</v>
      </c>
      <c r="BP227" s="61">
        <v>420456.2600060564</v>
      </c>
      <c r="BR227" s="60">
        <v>6.9202371963496914</v>
      </c>
      <c r="BS227" s="60">
        <v>7.3460344889352625</v>
      </c>
      <c r="BT227" s="60">
        <v>7.8874259583389472</v>
      </c>
      <c r="BU227" s="60">
        <v>0.56842712094039405</v>
      </c>
      <c r="BV227" s="60">
        <v>1.7246527381332264</v>
      </c>
      <c r="BW227" s="60">
        <v>6.9235552662035289</v>
      </c>
      <c r="BX227" s="2"/>
      <c r="BY227" s="61">
        <v>2015.1123093935651</v>
      </c>
      <c r="BZ227" s="61">
        <v>19784.960480363246</v>
      </c>
      <c r="CA227" s="61">
        <v>486461.38864709734</v>
      </c>
      <c r="CC227">
        <v>398</v>
      </c>
      <c r="CD227">
        <v>169</v>
      </c>
      <c r="CE227">
        <v>620</v>
      </c>
    </row>
    <row r="228" spans="1:83" x14ac:dyDescent="0.2">
      <c r="A228">
        <v>399</v>
      </c>
      <c r="B228">
        <v>170</v>
      </c>
      <c r="C228" s="29" t="s">
        <v>142</v>
      </c>
      <c r="D228" s="29" t="s">
        <v>495</v>
      </c>
      <c r="E228" s="29" t="s">
        <v>496</v>
      </c>
      <c r="F228" s="97" t="s">
        <v>503</v>
      </c>
      <c r="G228" s="94">
        <v>10.199999999999999</v>
      </c>
      <c r="H228" s="94">
        <v>148</v>
      </c>
      <c r="I228" s="93">
        <v>40.6</v>
      </c>
      <c r="J228" s="93">
        <v>147</v>
      </c>
      <c r="K228" s="93">
        <v>95.9</v>
      </c>
      <c r="L228" s="93">
        <v>151</v>
      </c>
      <c r="M228" s="93">
        <v>40</v>
      </c>
      <c r="N228" s="93">
        <v>53</v>
      </c>
      <c r="O228" s="93">
        <v>65</v>
      </c>
      <c r="P228" s="93" t="s">
        <v>9</v>
      </c>
      <c r="Q228" s="93">
        <v>0.5</v>
      </c>
      <c r="R228" s="93">
        <v>0.5</v>
      </c>
      <c r="S228" s="93" t="s">
        <v>211</v>
      </c>
      <c r="T228" s="95">
        <v>575.51675092604296</v>
      </c>
      <c r="U228" s="95">
        <v>839.29526176714614</v>
      </c>
      <c r="V228" s="95">
        <v>1198.9932310959227</v>
      </c>
      <c r="W228" s="95" t="s">
        <v>211</v>
      </c>
      <c r="X228" s="95">
        <v>2411.0835388081978</v>
      </c>
      <c r="Y228" s="95">
        <v>3516.1634940952886</v>
      </c>
      <c r="Z228" s="95">
        <v>4142.7534317927812</v>
      </c>
      <c r="AB228" s="93" t="s">
        <v>470</v>
      </c>
      <c r="AC228" s="93">
        <v>1.4285714285714287E-2</v>
      </c>
      <c r="AD228" s="93">
        <v>4.2857142857142858E-2</v>
      </c>
      <c r="AE228" s="93">
        <v>7.1428571428571425E-2</v>
      </c>
      <c r="AF228" s="93">
        <v>0.91</v>
      </c>
      <c r="AG228" s="93">
        <v>1.28</v>
      </c>
      <c r="AH228" s="93">
        <v>1.67</v>
      </c>
      <c r="AI228" s="93">
        <v>61</v>
      </c>
      <c r="AJ228" s="93">
        <v>76</v>
      </c>
      <c r="AK228" s="93">
        <v>92</v>
      </c>
      <c r="AL228" s="96">
        <v>1.4069011974467961E-2</v>
      </c>
      <c r="AM228" s="59">
        <v>8.6691493519660046E-2</v>
      </c>
      <c r="AN228" s="59">
        <v>0.28186722662992303</v>
      </c>
      <c r="AO228" s="59">
        <v>1.3901251645921741E-2</v>
      </c>
      <c r="AP228" s="59">
        <v>8.6186694549546694E-2</v>
      </c>
      <c r="AQ228" s="59">
        <v>0.28156648932034001</v>
      </c>
      <c r="AR228" s="59">
        <v>1.4546381752679537E-2</v>
      </c>
      <c r="AS228" s="59">
        <v>8.8046873214655194E-2</v>
      </c>
      <c r="AT228" s="59">
        <v>0.28225404599033371</v>
      </c>
      <c r="AV228" s="60">
        <v>5.4965849982732022</v>
      </c>
      <c r="AW228" s="60">
        <v>5.9295700259526241</v>
      </c>
      <c r="AX228" s="60">
        <v>6.4174037522255771</v>
      </c>
      <c r="AY228" s="60">
        <v>0.11381041978295517</v>
      </c>
      <c r="AZ228" s="60">
        <v>0.34817915270687444</v>
      </c>
      <c r="BA228" s="60">
        <v>1.3141695299654697</v>
      </c>
      <c r="BC228" s="61">
        <v>403.77315640311144</v>
      </c>
      <c r="BD228" s="61">
        <v>4016.3012375362268</v>
      </c>
      <c r="BE228" s="61">
        <v>93408.800301711788</v>
      </c>
      <c r="BG228" s="60">
        <v>6.5231281012986599</v>
      </c>
      <c r="BH228" s="60">
        <v>6.9561131289780818</v>
      </c>
      <c r="BI228" s="60">
        <v>7.4439468552510348</v>
      </c>
      <c r="BJ228" s="60">
        <v>0.35984895297660646</v>
      </c>
      <c r="BK228" s="60">
        <v>1.1008825359645595</v>
      </c>
      <c r="BL228" s="60">
        <v>4.1551777973729749</v>
      </c>
      <c r="BN228" s="61">
        <v>1278.024788550757</v>
      </c>
      <c r="BO228" s="61">
        <v>12773.230737276834</v>
      </c>
      <c r="BP228" s="61">
        <v>298906.73899080115</v>
      </c>
      <c r="BR228" s="60">
        <v>7.1452823906211096</v>
      </c>
      <c r="BS228" s="60">
        <v>7.5782674183005314</v>
      </c>
      <c r="BT228" s="60">
        <v>7.9824192096989295</v>
      </c>
      <c r="BU228" s="60">
        <v>0.73654178172853513</v>
      </c>
      <c r="BV228" s="60">
        <v>2.253295383537985</v>
      </c>
      <c r="BW228" s="60">
        <v>7.7237069738446307</v>
      </c>
      <c r="BX228" s="2"/>
      <c r="BY228" s="61">
        <v>2609.4994640174596</v>
      </c>
      <c r="BZ228" s="61">
        <v>25591.997776508539</v>
      </c>
      <c r="CA228" s="61">
        <v>530971.00744120602</v>
      </c>
      <c r="CC228">
        <v>399</v>
      </c>
      <c r="CD228">
        <v>170</v>
      </c>
      <c r="CE228">
        <v>621</v>
      </c>
    </row>
    <row r="229" spans="1:83" x14ac:dyDescent="0.2">
      <c r="A229">
        <v>399</v>
      </c>
      <c r="B229">
        <v>171</v>
      </c>
      <c r="C229" s="29" t="s">
        <v>142</v>
      </c>
      <c r="D229" s="29" t="s">
        <v>495</v>
      </c>
      <c r="E229" s="29" t="s">
        <v>497</v>
      </c>
      <c r="F229" s="97" t="s">
        <v>503</v>
      </c>
      <c r="G229" s="94">
        <v>19</v>
      </c>
      <c r="H229" s="94">
        <v>143</v>
      </c>
      <c r="I229" s="93">
        <v>40.6</v>
      </c>
      <c r="J229" s="93">
        <v>147</v>
      </c>
      <c r="K229" s="93">
        <v>95.9</v>
      </c>
      <c r="L229" s="93">
        <v>151</v>
      </c>
      <c r="M229" s="93">
        <v>40</v>
      </c>
      <c r="N229" s="93">
        <v>53</v>
      </c>
      <c r="O229" s="93">
        <v>65</v>
      </c>
      <c r="P229" s="93" t="s">
        <v>9</v>
      </c>
      <c r="Q229" s="93">
        <v>0.5</v>
      </c>
      <c r="R229" s="93">
        <v>0.5</v>
      </c>
      <c r="S229" s="93" t="s">
        <v>211</v>
      </c>
      <c r="T229" s="95">
        <v>575.51675092604296</v>
      </c>
      <c r="U229" s="95">
        <v>839.29526176714614</v>
      </c>
      <c r="V229" s="95">
        <v>1198.9932310959227</v>
      </c>
      <c r="W229" s="95" t="s">
        <v>211</v>
      </c>
      <c r="X229" s="95">
        <v>2411.0835388081978</v>
      </c>
      <c r="Y229" s="95">
        <v>3516.1634940952886</v>
      </c>
      <c r="Z229" s="95">
        <v>4142.7534317927812</v>
      </c>
      <c r="AB229" s="93" t="s">
        <v>470</v>
      </c>
      <c r="AC229" s="93">
        <v>1.4285714285714287E-2</v>
      </c>
      <c r="AD229" s="93">
        <v>4.2857142857142858E-2</v>
      </c>
      <c r="AE229" s="93">
        <v>7.1428571428571425E-2</v>
      </c>
      <c r="AF229" s="93">
        <v>0.91</v>
      </c>
      <c r="AG229" s="93">
        <v>1.28</v>
      </c>
      <c r="AH229" s="93">
        <v>1.67</v>
      </c>
      <c r="AI229" s="93">
        <v>61</v>
      </c>
      <c r="AJ229" s="93">
        <v>76</v>
      </c>
      <c r="AK229" s="93">
        <v>92</v>
      </c>
      <c r="AL229" s="96">
        <v>1.3188396038493935E-2</v>
      </c>
      <c r="AM229" s="59">
        <v>8.3906622972049039E-2</v>
      </c>
      <c r="AN229" s="59">
        <v>0.27950716901734218</v>
      </c>
      <c r="AO229" s="59">
        <v>1.3901251645921741E-2</v>
      </c>
      <c r="AP229" s="59">
        <v>8.6186694549546694E-2</v>
      </c>
      <c r="AQ229" s="59">
        <v>0.28156648932034001</v>
      </c>
      <c r="AR229" s="59">
        <v>1.4546381752679537E-2</v>
      </c>
      <c r="AS229" s="59">
        <v>8.8046873214655194E-2</v>
      </c>
      <c r="AT229" s="59">
        <v>0.28225404599033371</v>
      </c>
      <c r="AV229" s="60">
        <v>5.946840713591385</v>
      </c>
      <c r="AW229" s="60">
        <v>6.3798257412708068</v>
      </c>
      <c r="AX229" s="60">
        <v>6.8676594675437599</v>
      </c>
      <c r="AY229" s="60">
        <v>0.19112164856752148</v>
      </c>
      <c r="AZ229" s="60">
        <v>0.58469667179056362</v>
      </c>
      <c r="BA229" s="60">
        <v>2.2068827049684767</v>
      </c>
      <c r="BC229" s="61">
        <v>683.78084626395832</v>
      </c>
      <c r="BD229" s="61">
        <v>6968.4209789415281</v>
      </c>
      <c r="BE229" s="61">
        <v>167335.18606258769</v>
      </c>
      <c r="BG229" s="60">
        <v>6.5231281012986599</v>
      </c>
      <c r="BH229" s="60">
        <v>6.9561131289780818</v>
      </c>
      <c r="BI229" s="60">
        <v>7.4439468552510348</v>
      </c>
      <c r="BJ229" s="60">
        <v>0.35984895297660646</v>
      </c>
      <c r="BK229" s="60">
        <v>1.1008825359645595</v>
      </c>
      <c r="BL229" s="60">
        <v>4.1551777973729749</v>
      </c>
      <c r="BN229" s="61">
        <v>1278.024788550757</v>
      </c>
      <c r="BO229" s="61">
        <v>12773.230737276834</v>
      </c>
      <c r="BP229" s="61">
        <v>298906.73899080115</v>
      </c>
      <c r="BR229" s="60">
        <v>7.1452823906211096</v>
      </c>
      <c r="BS229" s="60">
        <v>7.5782674183005314</v>
      </c>
      <c r="BT229" s="60">
        <v>7.9824192096989295</v>
      </c>
      <c r="BU229" s="60">
        <v>0.73654178172853513</v>
      </c>
      <c r="BV229" s="60">
        <v>2.253295383537985</v>
      </c>
      <c r="BW229" s="60">
        <v>7.7237069738446307</v>
      </c>
      <c r="BX229" s="2"/>
      <c r="BY229" s="61">
        <v>2609.4994640174596</v>
      </c>
      <c r="BZ229" s="61">
        <v>25591.997776508539</v>
      </c>
      <c r="CA229" s="61">
        <v>530971.00744120602</v>
      </c>
      <c r="CC229">
        <v>399</v>
      </c>
      <c r="CD229">
        <v>171</v>
      </c>
      <c r="CE229">
        <v>621</v>
      </c>
    </row>
    <row r="230" spans="1:83" x14ac:dyDescent="0.2">
      <c r="A230">
        <v>399</v>
      </c>
      <c r="B230">
        <v>172</v>
      </c>
      <c r="C230" s="29" t="s">
        <v>142</v>
      </c>
      <c r="D230" s="29" t="s">
        <v>495</v>
      </c>
      <c r="E230" s="29" t="s">
        <v>498</v>
      </c>
      <c r="F230" s="97" t="s">
        <v>503</v>
      </c>
      <c r="G230" s="94">
        <v>11.4</v>
      </c>
      <c r="H230" s="94">
        <v>153</v>
      </c>
      <c r="I230" s="93">
        <v>40.6</v>
      </c>
      <c r="J230" s="93">
        <v>147</v>
      </c>
      <c r="K230" s="93">
        <v>95.9</v>
      </c>
      <c r="L230" s="93">
        <v>151</v>
      </c>
      <c r="M230" s="93">
        <v>40</v>
      </c>
      <c r="N230" s="93">
        <v>53</v>
      </c>
      <c r="O230" s="93">
        <v>65</v>
      </c>
      <c r="P230" s="93" t="s">
        <v>9</v>
      </c>
      <c r="Q230" s="93">
        <v>0.5</v>
      </c>
      <c r="R230" s="93">
        <v>0.5</v>
      </c>
      <c r="S230" s="93" t="s">
        <v>211</v>
      </c>
      <c r="T230" s="95">
        <v>575.51675092604296</v>
      </c>
      <c r="U230" s="95">
        <v>839.29526176714614</v>
      </c>
      <c r="V230" s="95">
        <v>1198.9932310959227</v>
      </c>
      <c r="W230" s="95" t="s">
        <v>211</v>
      </c>
      <c r="X230" s="95">
        <v>2411.0835388081978</v>
      </c>
      <c r="Y230" s="95">
        <v>3516.1634940952886</v>
      </c>
      <c r="Z230" s="95">
        <v>4142.7534317927812</v>
      </c>
      <c r="AB230" s="93" t="s">
        <v>470</v>
      </c>
      <c r="AC230" s="93">
        <v>1.4285714285714287E-2</v>
      </c>
      <c r="AD230" s="93">
        <v>4.2857142857142858E-2</v>
      </c>
      <c r="AE230" s="93">
        <v>7.1428571428571425E-2</v>
      </c>
      <c r="AF230" s="93">
        <v>0.91</v>
      </c>
      <c r="AG230" s="93">
        <v>1.28</v>
      </c>
      <c r="AH230" s="93">
        <v>1.67</v>
      </c>
      <c r="AI230" s="93">
        <v>61</v>
      </c>
      <c r="AJ230" s="93">
        <v>76</v>
      </c>
      <c r="AK230" s="93">
        <v>92</v>
      </c>
      <c r="AL230" s="96">
        <v>1.4842554234214591E-2</v>
      </c>
      <c r="AM230" s="59">
        <v>8.8816589455831485E-2</v>
      </c>
      <c r="AN230" s="59">
        <v>0.28208210445176551</v>
      </c>
      <c r="AO230" s="59">
        <v>1.3901251645921741E-2</v>
      </c>
      <c r="AP230" s="59">
        <v>8.6186694549546694E-2</v>
      </c>
      <c r="AQ230" s="59">
        <v>0.28156648932034001</v>
      </c>
      <c r="AR230" s="59">
        <v>1.4546381752679537E-2</v>
      </c>
      <c r="AS230" s="59">
        <v>8.8046873214655194E-2</v>
      </c>
      <c r="AT230" s="59">
        <v>0.28225404599033371</v>
      </c>
      <c r="AV230" s="60">
        <v>5.5770927975641245</v>
      </c>
      <c r="AW230" s="60">
        <v>6.0100778252435463</v>
      </c>
      <c r="AX230" s="60">
        <v>6.4979115515164994</v>
      </c>
      <c r="AY230" s="60">
        <v>0.12486362091333621</v>
      </c>
      <c r="AZ230" s="60">
        <v>0.38199410753802354</v>
      </c>
      <c r="BA230" s="60">
        <v>1.4418009029261212</v>
      </c>
      <c r="BC230" s="61">
        <v>442.64991980264807</v>
      </c>
      <c r="BD230" s="61">
        <v>4300.9319528981605</v>
      </c>
      <c r="BE230" s="61">
        <v>97139.67556894802</v>
      </c>
      <c r="BG230" s="60">
        <v>6.5231281012986599</v>
      </c>
      <c r="BH230" s="60">
        <v>6.9561131289780818</v>
      </c>
      <c r="BI230" s="60">
        <v>7.4439468552510348</v>
      </c>
      <c r="BJ230" s="60">
        <v>0.35984895297660646</v>
      </c>
      <c r="BK230" s="60">
        <v>1.1008825359645595</v>
      </c>
      <c r="BL230" s="60">
        <v>4.1551777973729749</v>
      </c>
      <c r="BN230" s="61">
        <v>1278.024788550757</v>
      </c>
      <c r="BO230" s="61">
        <v>12773.230737276834</v>
      </c>
      <c r="BP230" s="61">
        <v>298906.73899080115</v>
      </c>
      <c r="BR230" s="60">
        <v>7.1452823906211096</v>
      </c>
      <c r="BS230" s="60">
        <v>7.5782674183005314</v>
      </c>
      <c r="BT230" s="60">
        <v>7.9824192096989295</v>
      </c>
      <c r="BU230" s="60">
        <v>0.73654178172853513</v>
      </c>
      <c r="BV230" s="60">
        <v>2.253295383537985</v>
      </c>
      <c r="BW230" s="60">
        <v>7.7237069738446307</v>
      </c>
      <c r="BX230" s="2"/>
      <c r="BY230" s="61">
        <v>2609.4994640174596</v>
      </c>
      <c r="BZ230" s="61">
        <v>25591.997776508539</v>
      </c>
      <c r="CA230" s="61">
        <v>530971.00744120602</v>
      </c>
      <c r="CC230">
        <v>399</v>
      </c>
      <c r="CD230">
        <v>172</v>
      </c>
      <c r="CE230">
        <v>621</v>
      </c>
    </row>
    <row r="231" spans="1:83" x14ac:dyDescent="0.2">
      <c r="A231">
        <v>400</v>
      </c>
      <c r="B231" t="s">
        <v>416</v>
      </c>
      <c r="C231" s="29" t="s">
        <v>142</v>
      </c>
      <c r="D231" s="29" t="s">
        <v>509</v>
      </c>
      <c r="E231" s="29" t="s">
        <v>42</v>
      </c>
      <c r="F231" s="93" t="s">
        <v>519</v>
      </c>
      <c r="G231" s="94" t="s">
        <v>42</v>
      </c>
      <c r="H231" s="94" t="s">
        <v>42</v>
      </c>
      <c r="I231" s="93">
        <v>20.5</v>
      </c>
      <c r="J231" s="93">
        <v>152</v>
      </c>
      <c r="K231" s="93">
        <v>95.2</v>
      </c>
      <c r="L231" s="93">
        <v>149</v>
      </c>
      <c r="M231" s="93">
        <v>40</v>
      </c>
      <c r="N231" s="93">
        <v>53</v>
      </c>
      <c r="O231" s="93">
        <v>65</v>
      </c>
      <c r="P231" s="93" t="s">
        <v>9</v>
      </c>
      <c r="Q231" s="93">
        <v>0.5</v>
      </c>
      <c r="R231" s="93">
        <v>0.5</v>
      </c>
      <c r="S231" s="93" t="s">
        <v>211</v>
      </c>
      <c r="T231" s="95">
        <v>184.26280630493611</v>
      </c>
      <c r="U231" s="95">
        <v>268.71659252803187</v>
      </c>
      <c r="V231" s="95">
        <v>383.88084646861694</v>
      </c>
      <c r="W231" s="95" t="s">
        <v>308</v>
      </c>
      <c r="X231" s="95">
        <v>1436.0417414248216</v>
      </c>
      <c r="Y231" s="95">
        <v>2059.8525395778647</v>
      </c>
      <c r="Z231" s="95">
        <v>3328.8623280676761</v>
      </c>
      <c r="AB231" s="93" t="s">
        <v>470</v>
      </c>
      <c r="AC231" s="93">
        <v>1.4285714285714287E-2</v>
      </c>
      <c r="AD231" s="93">
        <v>4.2857142857142858E-2</v>
      </c>
      <c r="AE231" s="93">
        <v>7.1428571428571425E-2</v>
      </c>
      <c r="AF231" s="93">
        <v>0.91</v>
      </c>
      <c r="AG231" s="93">
        <v>1.28</v>
      </c>
      <c r="AH231" s="93">
        <v>1.67</v>
      </c>
      <c r="AI231" s="93">
        <v>61</v>
      </c>
      <c r="AJ231" s="93">
        <v>76</v>
      </c>
      <c r="AK231" s="93">
        <v>92</v>
      </c>
      <c r="AL231" s="93" t="s">
        <v>42</v>
      </c>
      <c r="AM231" s="57" t="s">
        <v>42</v>
      </c>
      <c r="AN231" s="57" t="s">
        <v>42</v>
      </c>
      <c r="AO231" s="59">
        <v>1.4696706373012772E-2</v>
      </c>
      <c r="AP231" s="59">
        <v>8.8445201967897014E-2</v>
      </c>
      <c r="AQ231" s="59">
        <v>0.28221105733200125</v>
      </c>
      <c r="AR231" s="59">
        <v>1.4232486745677181E-2</v>
      </c>
      <c r="AS231" s="59">
        <v>8.7169885421047977E-2</v>
      </c>
      <c r="AT231" s="59">
        <v>0.28208210445176551</v>
      </c>
      <c r="AV231" s="60" t="s">
        <v>42</v>
      </c>
      <c r="AW231" s="60" t="s">
        <v>42</v>
      </c>
      <c r="AX231" s="60" t="s">
        <v>42</v>
      </c>
      <c r="AY231" s="60" t="s">
        <v>42</v>
      </c>
      <c r="AZ231" s="60" t="s">
        <v>42</v>
      </c>
      <c r="BA231" s="60" t="s">
        <v>42</v>
      </c>
      <c r="BC231" s="61" t="s">
        <v>42</v>
      </c>
      <c r="BD231" s="61" t="s">
        <v>42</v>
      </c>
      <c r="BE231" s="61" t="s">
        <v>42</v>
      </c>
      <c r="BG231" s="60">
        <v>6.0285078137629284</v>
      </c>
      <c r="BH231" s="60">
        <v>6.4614928414423503</v>
      </c>
      <c r="BI231" s="60">
        <v>6.9493265677153033</v>
      </c>
      <c r="BJ231" s="60">
        <v>0.20361515517910411</v>
      </c>
      <c r="BK231" s="60">
        <v>0.62291793970833564</v>
      </c>
      <c r="BL231" s="60">
        <v>2.3511452930748642</v>
      </c>
      <c r="BN231" s="61">
        <v>721.49956526885956</v>
      </c>
      <c r="BO231" s="61">
        <v>7042.9817089957733</v>
      </c>
      <c r="BP231" s="61">
        <v>159977.70067667807</v>
      </c>
      <c r="BR231" s="60">
        <v>6.9202371963496914</v>
      </c>
      <c r="BS231" s="60">
        <v>7.3460344889352625</v>
      </c>
      <c r="BT231" s="60">
        <v>7.8874259583389472</v>
      </c>
      <c r="BU231" s="60">
        <v>0.56842712094039405</v>
      </c>
      <c r="BV231" s="60">
        <v>1.7246527381332264</v>
      </c>
      <c r="BW231" s="60">
        <v>6.9235552662035289</v>
      </c>
      <c r="BX231" s="2"/>
      <c r="BY231" s="61">
        <v>2015.1123093935651</v>
      </c>
      <c r="BZ231" s="61">
        <v>19784.960480363246</v>
      </c>
      <c r="CA231" s="61">
        <v>486461.38864709734</v>
      </c>
      <c r="CC231">
        <v>400</v>
      </c>
      <c r="CD231" t="s">
        <v>416</v>
      </c>
      <c r="CE231">
        <v>620</v>
      </c>
    </row>
    <row r="232" spans="1:83" x14ac:dyDescent="0.2">
      <c r="A232">
        <v>401</v>
      </c>
      <c r="B232" t="s">
        <v>416</v>
      </c>
      <c r="C232" s="29" t="s">
        <v>142</v>
      </c>
      <c r="D232" s="29" t="s">
        <v>510</v>
      </c>
      <c r="E232" s="29" t="s">
        <v>42</v>
      </c>
      <c r="F232" s="97" t="s">
        <v>528</v>
      </c>
      <c r="G232" s="94" t="s">
        <v>42</v>
      </c>
      <c r="H232" s="94" t="s">
        <v>42</v>
      </c>
      <c r="I232" s="93">
        <v>20.5</v>
      </c>
      <c r="J232" s="93">
        <v>152</v>
      </c>
      <c r="K232" s="93">
        <v>40.799999999999997</v>
      </c>
      <c r="L232" s="93">
        <v>160</v>
      </c>
      <c r="M232" s="93">
        <v>40</v>
      </c>
      <c r="N232" s="93">
        <v>53</v>
      </c>
      <c r="O232" s="93">
        <v>65</v>
      </c>
      <c r="P232" s="93" t="s">
        <v>9</v>
      </c>
      <c r="Q232" s="93">
        <v>0.5</v>
      </c>
      <c r="R232" s="93">
        <v>0.5</v>
      </c>
      <c r="S232" s="93" t="s">
        <v>211</v>
      </c>
      <c r="T232" s="95">
        <v>184.26280630493611</v>
      </c>
      <c r="U232" s="95">
        <v>268.71659252803187</v>
      </c>
      <c r="V232" s="95">
        <v>383.88084646861694</v>
      </c>
      <c r="W232" s="95" t="s">
        <v>308</v>
      </c>
      <c r="X232" s="95">
        <v>366.54698136821941</v>
      </c>
      <c r="Y232" s="95">
        <v>500.17268116198665</v>
      </c>
      <c r="Z232" s="95">
        <v>639.83496448094786</v>
      </c>
      <c r="AB232" s="93" t="s">
        <v>470</v>
      </c>
      <c r="AC232" s="93">
        <v>1.4285714285714287E-2</v>
      </c>
      <c r="AD232" s="93">
        <v>4.2857142857142858E-2</v>
      </c>
      <c r="AE232" s="93">
        <v>7.1428571428571425E-2</v>
      </c>
      <c r="AF232" s="93">
        <v>0.91</v>
      </c>
      <c r="AG232" s="93">
        <v>1.28</v>
      </c>
      <c r="AH232" s="93">
        <v>1.67</v>
      </c>
      <c r="AI232" s="93">
        <v>61</v>
      </c>
      <c r="AJ232" s="93">
        <v>76</v>
      </c>
      <c r="AK232" s="93">
        <v>92</v>
      </c>
      <c r="AL232" s="93" t="s">
        <v>42</v>
      </c>
      <c r="AM232" s="57" t="s">
        <v>42</v>
      </c>
      <c r="AN232" s="57" t="s">
        <v>42</v>
      </c>
      <c r="AO232" s="59">
        <v>1.4696706373012772E-2</v>
      </c>
      <c r="AP232" s="59">
        <v>8.8445201967897014E-2</v>
      </c>
      <c r="AQ232" s="59">
        <v>0.28221105733200125</v>
      </c>
      <c r="AR232" s="59">
        <v>1.5734583309934887E-2</v>
      </c>
      <c r="AS232" s="59">
        <v>9.0030587994598552E-2</v>
      </c>
      <c r="AT232" s="59">
        <v>0.28070782879367046</v>
      </c>
      <c r="AV232" s="60" t="s">
        <v>42</v>
      </c>
      <c r="AW232" s="60" t="s">
        <v>42</v>
      </c>
      <c r="AX232" s="60" t="s">
        <v>42</v>
      </c>
      <c r="AY232" s="60" t="s">
        <v>42</v>
      </c>
      <c r="AZ232" s="60" t="s">
        <v>42</v>
      </c>
      <c r="BA232" s="60" t="s">
        <v>42</v>
      </c>
      <c r="BC232" s="61" t="s">
        <v>42</v>
      </c>
      <c r="BD232" s="61" t="s">
        <v>42</v>
      </c>
      <c r="BE232" s="61" t="s">
        <v>42</v>
      </c>
      <c r="BG232" s="60">
        <v>6.0285078137629284</v>
      </c>
      <c r="BH232" s="60">
        <v>6.4614928414423503</v>
      </c>
      <c r="BI232" s="60">
        <v>6.9493265677153033</v>
      </c>
      <c r="BJ232" s="60">
        <v>0.20361515517910411</v>
      </c>
      <c r="BK232" s="60">
        <v>0.62291793970833564</v>
      </c>
      <c r="BL232" s="60">
        <v>2.3511452930748642</v>
      </c>
      <c r="BN232" s="61">
        <v>721.49956526885956</v>
      </c>
      <c r="BO232" s="61">
        <v>7042.9817089957733</v>
      </c>
      <c r="BP232" s="61">
        <v>159977.70067667807</v>
      </c>
      <c r="BR232" s="60">
        <v>6.327199779925067</v>
      </c>
      <c r="BS232" s="60">
        <v>6.7313183250564039</v>
      </c>
      <c r="BT232" s="60">
        <v>7.1711980928435279</v>
      </c>
      <c r="BU232" s="60">
        <v>0.28718125079442303</v>
      </c>
      <c r="BV232" s="60">
        <v>0.84985254697383106</v>
      </c>
      <c r="BW232" s="60">
        <v>3.0353951124236986</v>
      </c>
      <c r="BX232" s="2"/>
      <c r="BY232" s="61">
        <v>1023.0610668344086</v>
      </c>
      <c r="BZ232" s="61">
        <v>9439.5978733896372</v>
      </c>
      <c r="CA232" s="61">
        <v>192912.32901650065</v>
      </c>
      <c r="CC232">
        <v>401</v>
      </c>
      <c r="CD232" t="s">
        <v>416</v>
      </c>
      <c r="CE232">
        <v>622</v>
      </c>
    </row>
    <row r="233" spans="1:83" x14ac:dyDescent="0.2">
      <c r="A233">
        <v>402</v>
      </c>
      <c r="B233">
        <v>173</v>
      </c>
      <c r="C233" s="29" t="s">
        <v>142</v>
      </c>
      <c r="D233" s="29" t="s">
        <v>499</v>
      </c>
      <c r="E233" s="29" t="s">
        <v>500</v>
      </c>
      <c r="F233" s="97" t="s">
        <v>503</v>
      </c>
      <c r="G233" s="94">
        <v>16</v>
      </c>
      <c r="H233" s="94">
        <v>143</v>
      </c>
      <c r="I233" s="93">
        <v>55.3</v>
      </c>
      <c r="J233" s="93">
        <v>153</v>
      </c>
      <c r="K233" s="93">
        <v>55.3</v>
      </c>
      <c r="L233" s="93">
        <v>151</v>
      </c>
      <c r="M233" s="93">
        <v>50</v>
      </c>
      <c r="N233" s="93">
        <v>50</v>
      </c>
      <c r="O233" s="93">
        <v>50</v>
      </c>
      <c r="P233" s="93" t="s">
        <v>9</v>
      </c>
      <c r="Q233" s="93">
        <v>1</v>
      </c>
      <c r="R233" s="93">
        <v>1</v>
      </c>
      <c r="S233" s="93" t="s">
        <v>211</v>
      </c>
      <c r="T233" s="95">
        <v>963.21476576357884</v>
      </c>
      <c r="U233" s="95">
        <v>1404.6882000718858</v>
      </c>
      <c r="V233" s="95">
        <v>2006.6974286741226</v>
      </c>
      <c r="W233" s="95" t="s">
        <v>211</v>
      </c>
      <c r="X233" s="95">
        <v>963.21476576357884</v>
      </c>
      <c r="Y233" s="95">
        <v>1404.6882000718858</v>
      </c>
      <c r="Z233" s="95">
        <v>2006.6974286741226</v>
      </c>
      <c r="AB233" s="93" t="s">
        <v>470</v>
      </c>
      <c r="AC233" s="93">
        <v>1.4285714285714287E-2</v>
      </c>
      <c r="AD233" s="93">
        <v>4.2857142857142858E-2</v>
      </c>
      <c r="AE233" s="93">
        <v>7.1428571428571425E-2</v>
      </c>
      <c r="AF233" s="93">
        <v>0.91</v>
      </c>
      <c r="AG233" s="93">
        <v>1.28</v>
      </c>
      <c r="AH233" s="93">
        <v>1.67</v>
      </c>
      <c r="AI233" s="93">
        <v>61</v>
      </c>
      <c r="AJ233" s="93">
        <v>76</v>
      </c>
      <c r="AK233" s="93">
        <v>92</v>
      </c>
      <c r="AL233" s="96">
        <v>1.5717318359430393E-2</v>
      </c>
      <c r="AM233" s="59">
        <v>7.8558244567219937E-2</v>
      </c>
      <c r="AN233" s="59">
        <v>0.18376961866420788</v>
      </c>
      <c r="AO233" s="59">
        <v>1.7688667331899641E-2</v>
      </c>
      <c r="AP233" s="59">
        <v>8.3155239824415847E-2</v>
      </c>
      <c r="AQ233" s="59">
        <v>0.18546258025990697</v>
      </c>
      <c r="AR233" s="59">
        <v>1.7335702713002697E-2</v>
      </c>
      <c r="AS233" s="59">
        <v>8.2434586858298603E-2</v>
      </c>
      <c r="AT233" s="59">
        <v>0.18557562791834914</v>
      </c>
      <c r="AV233" s="60">
        <v>5.8224513497632131</v>
      </c>
      <c r="AW233" s="60">
        <v>6.2554363774426349</v>
      </c>
      <c r="AX233" s="60">
        <v>6.743270103715588</v>
      </c>
      <c r="AY233" s="60">
        <v>0.16562092312872359</v>
      </c>
      <c r="AZ233" s="60">
        <v>0.50668254097878029</v>
      </c>
      <c r="BA233" s="60">
        <v>1.9124256910360582</v>
      </c>
      <c r="BC233" s="61">
        <v>901.24213312622476</v>
      </c>
      <c r="BD233" s="61">
        <v>6449.769133336823</v>
      </c>
      <c r="BE233" s="61">
        <v>121676.33481118632</v>
      </c>
      <c r="BG233" s="60">
        <v>6.7467932641778345</v>
      </c>
      <c r="BH233" s="60">
        <v>7.1797782918572564</v>
      </c>
      <c r="BI233" s="60">
        <v>7.6676120181302094</v>
      </c>
      <c r="BJ233" s="60">
        <v>0.4655355220569164</v>
      </c>
      <c r="BK233" s="60">
        <v>1.4242084682039371</v>
      </c>
      <c r="BL233" s="60">
        <v>5.3755411795378736</v>
      </c>
      <c r="BN233" s="61">
        <v>2510.1318088237294</v>
      </c>
      <c r="BO233" s="61">
        <v>17127.104331743678</v>
      </c>
      <c r="BP233" s="61">
        <v>303897.46602581267</v>
      </c>
      <c r="BR233" s="60">
        <v>6.7467932641778345</v>
      </c>
      <c r="BS233" s="60">
        <v>7.1797782918572564</v>
      </c>
      <c r="BT233" s="60">
        <v>7.6676120181302094</v>
      </c>
      <c r="BU233" s="60">
        <v>0.4655355220569164</v>
      </c>
      <c r="BV233" s="60">
        <v>1.4242084682039371</v>
      </c>
      <c r="BW233" s="60">
        <v>5.3755411795378736</v>
      </c>
      <c r="BX233" s="2"/>
      <c r="BY233" s="61">
        <v>2508.6027043472864</v>
      </c>
      <c r="BZ233" s="61">
        <v>17276.831515539568</v>
      </c>
      <c r="CA233" s="61">
        <v>310084.98868095677</v>
      </c>
      <c r="CC233">
        <v>402</v>
      </c>
      <c r="CD233">
        <v>173</v>
      </c>
      <c r="CE233">
        <v>621</v>
      </c>
    </row>
    <row r="234" spans="1:83" x14ac:dyDescent="0.2">
      <c r="A234">
        <v>402</v>
      </c>
      <c r="B234">
        <v>174</v>
      </c>
      <c r="C234" s="29" t="s">
        <v>142</v>
      </c>
      <c r="D234" s="29" t="s">
        <v>499</v>
      </c>
      <c r="E234" s="29" t="s">
        <v>501</v>
      </c>
      <c r="F234" s="97" t="s">
        <v>503</v>
      </c>
      <c r="G234" s="94">
        <v>29.1</v>
      </c>
      <c r="H234" s="94">
        <v>161</v>
      </c>
      <c r="I234" s="93">
        <v>55.3</v>
      </c>
      <c r="J234" s="93">
        <v>153</v>
      </c>
      <c r="K234" s="93">
        <v>55.3</v>
      </c>
      <c r="L234" s="93">
        <v>151</v>
      </c>
      <c r="M234" s="93">
        <v>50</v>
      </c>
      <c r="N234" s="93">
        <v>50</v>
      </c>
      <c r="O234" s="93">
        <v>50</v>
      </c>
      <c r="P234" s="93" t="s">
        <v>9</v>
      </c>
      <c r="Q234" s="93">
        <v>1</v>
      </c>
      <c r="R234" s="93">
        <v>1</v>
      </c>
      <c r="S234" s="93" t="s">
        <v>211</v>
      </c>
      <c r="T234" s="95">
        <v>963.21476576357884</v>
      </c>
      <c r="U234" s="95">
        <v>1404.6882000718858</v>
      </c>
      <c r="V234" s="95">
        <v>2006.6974286741226</v>
      </c>
      <c r="W234" s="95" t="s">
        <v>211</v>
      </c>
      <c r="X234" s="95">
        <v>963.21476576357884</v>
      </c>
      <c r="Y234" s="95">
        <v>1404.6882000718858</v>
      </c>
      <c r="Z234" s="95">
        <v>2006.6974286741226</v>
      </c>
      <c r="AB234" s="93" t="s">
        <v>470</v>
      </c>
      <c r="AC234" s="93">
        <v>1.4285714285714287E-2</v>
      </c>
      <c r="AD234" s="93">
        <v>4.2857142857142858E-2</v>
      </c>
      <c r="AE234" s="93">
        <v>7.1428571428571425E-2</v>
      </c>
      <c r="AF234" s="93">
        <v>0.91</v>
      </c>
      <c r="AG234" s="93">
        <v>1.28</v>
      </c>
      <c r="AH234" s="93">
        <v>1.67</v>
      </c>
      <c r="AI234" s="93">
        <v>61</v>
      </c>
      <c r="AJ234" s="93">
        <v>76</v>
      </c>
      <c r="AK234" s="93">
        <v>92</v>
      </c>
      <c r="AL234" s="96">
        <v>1.8881113079298635E-2</v>
      </c>
      <c r="AM234" s="59">
        <v>8.4046018902196443E-2</v>
      </c>
      <c r="AN234" s="59">
        <v>0.18486945662730594</v>
      </c>
      <c r="AO234" s="59">
        <v>1.7688667331899641E-2</v>
      </c>
      <c r="AP234" s="59">
        <v>8.3155239824415847E-2</v>
      </c>
      <c r="AQ234" s="59">
        <v>0.18546258025990697</v>
      </c>
      <c r="AR234" s="59">
        <v>1.7335702713002697E-2</v>
      </c>
      <c r="AS234" s="59">
        <v>8.2434586858298603E-2</v>
      </c>
      <c r="AT234" s="59">
        <v>0.18557562791834914</v>
      </c>
      <c r="AV234" s="60">
        <v>6.2554063603131835</v>
      </c>
      <c r="AW234" s="60">
        <v>6.6883913879926054</v>
      </c>
      <c r="AX234" s="60">
        <v>7.1762251142655584</v>
      </c>
      <c r="AY234" s="60">
        <v>0.27264196692460052</v>
      </c>
      <c r="AZ234" s="60">
        <v>0.83409101923337303</v>
      </c>
      <c r="BA234" s="60">
        <v>3.1481982599261435</v>
      </c>
      <c r="BC234" s="61">
        <v>1474.7810260201211</v>
      </c>
      <c r="BD234" s="61">
        <v>9924.2180668188084</v>
      </c>
      <c r="BE234" s="61">
        <v>166737.9590760381</v>
      </c>
      <c r="BG234" s="60">
        <v>6.7467932641778345</v>
      </c>
      <c r="BH234" s="60">
        <v>7.1797782918572564</v>
      </c>
      <c r="BI234" s="60">
        <v>7.6676120181302094</v>
      </c>
      <c r="BJ234" s="60">
        <v>0.4655355220569164</v>
      </c>
      <c r="BK234" s="60">
        <v>1.4242084682039371</v>
      </c>
      <c r="BL234" s="60">
        <v>5.3755411795378736</v>
      </c>
      <c r="BN234" s="61">
        <v>2510.1318088237294</v>
      </c>
      <c r="BO234" s="61">
        <v>17127.104331743678</v>
      </c>
      <c r="BP234" s="61">
        <v>303897.46602581267</v>
      </c>
      <c r="BR234" s="60">
        <v>6.7467932641778345</v>
      </c>
      <c r="BS234" s="60">
        <v>7.1797782918572564</v>
      </c>
      <c r="BT234" s="60">
        <v>7.6676120181302094</v>
      </c>
      <c r="BU234" s="60">
        <v>0.4655355220569164</v>
      </c>
      <c r="BV234" s="60">
        <v>1.4242084682039371</v>
      </c>
      <c r="BW234" s="60">
        <v>5.3755411795378736</v>
      </c>
      <c r="BX234" s="2"/>
      <c r="BY234" s="61">
        <v>2508.6027043472864</v>
      </c>
      <c r="BZ234" s="61">
        <v>17276.831515539568</v>
      </c>
      <c r="CA234" s="61">
        <v>310084.98868095677</v>
      </c>
      <c r="CC234">
        <v>402</v>
      </c>
      <c r="CD234">
        <v>174</v>
      </c>
      <c r="CE234">
        <v>621</v>
      </c>
    </row>
    <row r="235" spans="1:83" x14ac:dyDescent="0.2">
      <c r="A235">
        <v>402</v>
      </c>
      <c r="B235">
        <v>175</v>
      </c>
      <c r="C235" s="29" t="s">
        <v>142</v>
      </c>
      <c r="D235" s="29" t="s">
        <v>499</v>
      </c>
      <c r="E235" s="29" t="s">
        <v>502</v>
      </c>
      <c r="F235" s="97" t="s">
        <v>503</v>
      </c>
      <c r="G235" s="94">
        <v>10.199999999999999</v>
      </c>
      <c r="H235" s="94">
        <v>145</v>
      </c>
      <c r="I235" s="93">
        <v>55.3</v>
      </c>
      <c r="J235" s="93">
        <v>153</v>
      </c>
      <c r="K235" s="93">
        <v>55.3</v>
      </c>
      <c r="L235" s="93">
        <v>151</v>
      </c>
      <c r="M235" s="93">
        <v>50</v>
      </c>
      <c r="N235" s="93">
        <v>50</v>
      </c>
      <c r="O235" s="93">
        <v>50</v>
      </c>
      <c r="P235" s="93" t="s">
        <v>9</v>
      </c>
      <c r="Q235" s="93">
        <v>1</v>
      </c>
      <c r="R235" s="93">
        <v>1</v>
      </c>
      <c r="S235" s="93" t="s">
        <v>211</v>
      </c>
      <c r="T235" s="95">
        <v>963.21476576357884</v>
      </c>
      <c r="U235" s="95">
        <v>1404.6882000718858</v>
      </c>
      <c r="V235" s="95">
        <v>2006.6974286741226</v>
      </c>
      <c r="W235" s="95" t="s">
        <v>211</v>
      </c>
      <c r="X235" s="95">
        <v>963.21476576357884</v>
      </c>
      <c r="Y235" s="95">
        <v>1404.6882000718858</v>
      </c>
      <c r="Z235" s="95">
        <v>2006.6974286741226</v>
      </c>
      <c r="AB235" s="93" t="s">
        <v>470</v>
      </c>
      <c r="AC235" s="93">
        <v>1.4285714285714287E-2</v>
      </c>
      <c r="AD235" s="93">
        <v>4.2857142857142858E-2</v>
      </c>
      <c r="AE235" s="93">
        <v>7.1428571428571425E-2</v>
      </c>
      <c r="AF235" s="93">
        <v>0.91</v>
      </c>
      <c r="AG235" s="93">
        <v>1.28</v>
      </c>
      <c r="AH235" s="93">
        <v>1.67</v>
      </c>
      <c r="AI235" s="93">
        <v>61</v>
      </c>
      <c r="AJ235" s="93">
        <v>76</v>
      </c>
      <c r="AK235" s="93">
        <v>92</v>
      </c>
      <c r="AL235" s="96">
        <v>1.6151931795446096E-2</v>
      </c>
      <c r="AM235" s="59">
        <v>7.9674147499457976E-2</v>
      </c>
      <c r="AN235" s="59">
        <v>0.18455902521151404</v>
      </c>
      <c r="AO235" s="59">
        <v>1.7688667331899641E-2</v>
      </c>
      <c r="AP235" s="59">
        <v>8.3155239824415847E-2</v>
      </c>
      <c r="AQ235" s="59">
        <v>0.18546258025990697</v>
      </c>
      <c r="AR235" s="59">
        <v>1.7335702713002697E-2</v>
      </c>
      <c r="AS235" s="59">
        <v>8.2434586858298603E-2</v>
      </c>
      <c r="AT235" s="59">
        <v>0.18557562791834914</v>
      </c>
      <c r="AV235" s="60">
        <v>5.4965849982732022</v>
      </c>
      <c r="AW235" s="60">
        <v>5.9295700259526241</v>
      </c>
      <c r="AX235" s="60">
        <v>6.4174037522255771</v>
      </c>
      <c r="AY235" s="60">
        <v>0.11381041978295517</v>
      </c>
      <c r="AZ235" s="60">
        <v>0.34817915270687444</v>
      </c>
      <c r="BA235" s="60">
        <v>1.3141695299654697</v>
      </c>
      <c r="BC235" s="61">
        <v>616.66136160246094</v>
      </c>
      <c r="BD235" s="61">
        <v>4370.0392615966566</v>
      </c>
      <c r="BE235" s="61">
        <v>81362.994012641197</v>
      </c>
      <c r="BG235" s="60">
        <v>6.7467932641778345</v>
      </c>
      <c r="BH235" s="60">
        <v>7.1797782918572564</v>
      </c>
      <c r="BI235" s="60">
        <v>7.6676120181302094</v>
      </c>
      <c r="BJ235" s="60">
        <v>0.4655355220569164</v>
      </c>
      <c r="BK235" s="60">
        <v>1.4242084682039371</v>
      </c>
      <c r="BL235" s="60">
        <v>5.3755411795378736</v>
      </c>
      <c r="BN235" s="61">
        <v>2510.1318088237294</v>
      </c>
      <c r="BO235" s="61">
        <v>17127.104331743678</v>
      </c>
      <c r="BP235" s="61">
        <v>303897.46602581267</v>
      </c>
      <c r="BR235" s="60">
        <v>6.7467932641778345</v>
      </c>
      <c r="BS235" s="60">
        <v>7.1797782918572564</v>
      </c>
      <c r="BT235" s="60">
        <v>7.6676120181302094</v>
      </c>
      <c r="BU235" s="60">
        <v>0.4655355220569164</v>
      </c>
      <c r="BV235" s="60">
        <v>1.4242084682039371</v>
      </c>
      <c r="BW235" s="60">
        <v>5.3755411795378736</v>
      </c>
      <c r="BX235" s="2"/>
      <c r="BY235" s="61">
        <v>2508.6027043472864</v>
      </c>
      <c r="BZ235" s="61">
        <v>17276.831515539568</v>
      </c>
      <c r="CA235" s="61">
        <v>310084.98868095677</v>
      </c>
      <c r="CC235">
        <v>402</v>
      </c>
      <c r="CD235">
        <v>175</v>
      </c>
      <c r="CE235">
        <v>621</v>
      </c>
    </row>
    <row r="236" spans="1:83" x14ac:dyDescent="0.2">
      <c r="A236">
        <v>403</v>
      </c>
      <c r="B236">
        <v>176</v>
      </c>
      <c r="C236" s="29" t="s">
        <v>142</v>
      </c>
      <c r="D236" s="29" t="s">
        <v>504</v>
      </c>
      <c r="E236" s="29" t="s">
        <v>505</v>
      </c>
      <c r="F236" s="97" t="s">
        <v>42</v>
      </c>
      <c r="G236" s="94">
        <v>20.5</v>
      </c>
      <c r="H236" s="94">
        <v>139</v>
      </c>
      <c r="I236" s="93">
        <v>69.599999999999994</v>
      </c>
      <c r="J236" s="93">
        <v>151</v>
      </c>
      <c r="K236" s="93" t="s">
        <v>42</v>
      </c>
      <c r="L236" s="93" t="s">
        <v>42</v>
      </c>
      <c r="M236" s="93">
        <v>50</v>
      </c>
      <c r="N236" s="93">
        <v>50</v>
      </c>
      <c r="O236" s="93">
        <v>50</v>
      </c>
      <c r="P236" s="93" t="s">
        <v>9</v>
      </c>
      <c r="Q236" s="93">
        <v>1</v>
      </c>
      <c r="R236" s="93">
        <v>1</v>
      </c>
      <c r="S236" s="93" t="s">
        <v>211</v>
      </c>
      <c r="T236" s="95">
        <v>1413.1772762228873</v>
      </c>
      <c r="U236" s="95">
        <v>2060.8835278250435</v>
      </c>
      <c r="V236" s="95">
        <v>2944.1193254643481</v>
      </c>
      <c r="W236" s="95" t="s">
        <v>42</v>
      </c>
      <c r="X236" s="95" t="s">
        <v>42</v>
      </c>
      <c r="Y236" s="95" t="s">
        <v>42</v>
      </c>
      <c r="Z236" s="95" t="s">
        <v>42</v>
      </c>
      <c r="AB236" s="93" t="s">
        <v>470</v>
      </c>
      <c r="AC236" s="93">
        <v>1.4285714285714287E-2</v>
      </c>
      <c r="AD236" s="93">
        <v>4.2857142857142858E-2</v>
      </c>
      <c r="AE236" s="93">
        <v>7.1428571428571425E-2</v>
      </c>
      <c r="AF236" s="93">
        <v>0.91</v>
      </c>
      <c r="AG236" s="93">
        <v>1.28</v>
      </c>
      <c r="AH236" s="93">
        <v>1.67</v>
      </c>
      <c r="AI236" s="93">
        <v>61</v>
      </c>
      <c r="AJ236" s="93">
        <v>76</v>
      </c>
      <c r="AK236" s="93">
        <v>92</v>
      </c>
      <c r="AL236" s="96">
        <v>1.4791196933129552E-2</v>
      </c>
      <c r="AM236" s="59">
        <v>7.6040781507726002E-2</v>
      </c>
      <c r="AN236" s="59">
        <v>0.18152035520300266</v>
      </c>
      <c r="AO236" s="59">
        <v>1.7335702713002697E-2</v>
      </c>
      <c r="AP236" s="59">
        <v>8.2434586858298603E-2</v>
      </c>
      <c r="AQ236" s="59">
        <v>0.18557562791834914</v>
      </c>
      <c r="AR236" s="59" t="s">
        <v>42</v>
      </c>
      <c r="AS236" s="59" t="s">
        <v>42</v>
      </c>
      <c r="AT236" s="59" t="s">
        <v>42</v>
      </c>
      <c r="AV236" s="60">
        <v>6.001841147096262</v>
      </c>
      <c r="AW236" s="60">
        <v>6.4348261747756839</v>
      </c>
      <c r="AX236" s="60">
        <v>6.9226599010486369</v>
      </c>
      <c r="AY236" s="60">
        <v>0.20361515517910411</v>
      </c>
      <c r="AZ236" s="60">
        <v>0.62291793970833564</v>
      </c>
      <c r="BA236" s="60">
        <v>2.3511452930748642</v>
      </c>
      <c r="BC236" s="61">
        <v>1121.7207841588443</v>
      </c>
      <c r="BD236" s="61">
        <v>8191.8929205776913</v>
      </c>
      <c r="BE236" s="61">
        <v>158955.71559923812</v>
      </c>
      <c r="BG236" s="60">
        <v>6.9132667780209403</v>
      </c>
      <c r="BH236" s="60">
        <v>7.3462518057003621</v>
      </c>
      <c r="BI236" s="60">
        <v>7.8340855319733151</v>
      </c>
      <c r="BJ236" s="60">
        <v>0.56388375322414652</v>
      </c>
      <c r="BK236" s="60">
        <v>1.7250842919055764</v>
      </c>
      <c r="BL236" s="60">
        <v>6.511168734312351</v>
      </c>
      <c r="BN236" s="61">
        <v>3038.5657833918149</v>
      </c>
      <c r="BO236" s="61">
        <v>20926.705132530351</v>
      </c>
      <c r="BP236" s="61">
        <v>375593.00837736618</v>
      </c>
      <c r="BR236" s="60" t="s">
        <v>42</v>
      </c>
      <c r="BS236" s="60" t="s">
        <v>42</v>
      </c>
      <c r="BT236" s="60" t="s">
        <v>42</v>
      </c>
      <c r="BU236" s="60" t="s">
        <v>42</v>
      </c>
      <c r="BV236" s="60" t="s">
        <v>42</v>
      </c>
      <c r="BW236" s="60" t="s">
        <v>42</v>
      </c>
      <c r="BY236" s="60" t="s">
        <v>42</v>
      </c>
      <c r="BZ236" s="60" t="s">
        <v>42</v>
      </c>
      <c r="CA236" s="60" t="s">
        <v>42</v>
      </c>
      <c r="CC236">
        <v>403</v>
      </c>
      <c r="CD236">
        <v>176</v>
      </c>
    </row>
    <row r="237" spans="1:83" x14ac:dyDescent="0.2">
      <c r="A237">
        <v>403</v>
      </c>
      <c r="B237">
        <v>177</v>
      </c>
      <c r="C237" s="29" t="s">
        <v>142</v>
      </c>
      <c r="D237" s="29" t="s">
        <v>504</v>
      </c>
      <c r="E237" s="29" t="s">
        <v>506</v>
      </c>
      <c r="F237" s="97" t="s">
        <v>42</v>
      </c>
      <c r="G237" s="94">
        <v>13.1</v>
      </c>
      <c r="H237" s="94">
        <v>160</v>
      </c>
      <c r="I237" s="93">
        <v>69.599999999999994</v>
      </c>
      <c r="J237" s="93">
        <v>151</v>
      </c>
      <c r="K237" s="93" t="s">
        <v>42</v>
      </c>
      <c r="L237" s="93" t="s">
        <v>42</v>
      </c>
      <c r="M237" s="93">
        <v>50</v>
      </c>
      <c r="N237" s="93">
        <v>50</v>
      </c>
      <c r="O237" s="93">
        <v>50</v>
      </c>
      <c r="P237" s="93" t="s">
        <v>9</v>
      </c>
      <c r="Q237" s="93">
        <v>1</v>
      </c>
      <c r="R237" s="93">
        <v>1</v>
      </c>
      <c r="S237" s="93" t="s">
        <v>211</v>
      </c>
      <c r="T237" s="95">
        <v>1413.1772762228873</v>
      </c>
      <c r="U237" s="95">
        <v>2060.8835278250435</v>
      </c>
      <c r="V237" s="95">
        <v>2944.1193254643481</v>
      </c>
      <c r="W237" s="95" t="s">
        <v>42</v>
      </c>
      <c r="X237" s="95" t="s">
        <v>42</v>
      </c>
      <c r="Y237" s="95" t="s">
        <v>42</v>
      </c>
      <c r="Z237" s="95" t="s">
        <v>42</v>
      </c>
      <c r="AB237" s="93" t="s">
        <v>470</v>
      </c>
      <c r="AC237" s="93">
        <v>1.4285714285714287E-2</v>
      </c>
      <c r="AD237" s="93">
        <v>4.2857142857142858E-2</v>
      </c>
      <c r="AE237" s="93">
        <v>7.1428571428571425E-2</v>
      </c>
      <c r="AF237" s="93">
        <v>0.91</v>
      </c>
      <c r="AG237" s="93">
        <v>1.28</v>
      </c>
      <c r="AH237" s="93">
        <v>1.67</v>
      </c>
      <c r="AI237" s="93">
        <v>61</v>
      </c>
      <c r="AJ237" s="93">
        <v>76</v>
      </c>
      <c r="AK237" s="93">
        <v>92</v>
      </c>
      <c r="AL237" s="96">
        <v>1.8751746187587796E-2</v>
      </c>
      <c r="AM237" s="59">
        <v>8.4291855632973423E-2</v>
      </c>
      <c r="AN237" s="59">
        <v>0.18455902521151404</v>
      </c>
      <c r="AO237" s="59">
        <v>1.7335702713002697E-2</v>
      </c>
      <c r="AP237" s="59">
        <v>8.2434586858298603E-2</v>
      </c>
      <c r="AQ237" s="59">
        <v>0.18557562791834914</v>
      </c>
      <c r="AR237" s="59" t="s">
        <v>42</v>
      </c>
      <c r="AS237" s="59" t="s">
        <v>42</v>
      </c>
      <c r="AT237" s="59" t="s">
        <v>42</v>
      </c>
      <c r="AV237" s="60">
        <v>5.6777035380962788</v>
      </c>
      <c r="AW237" s="60">
        <v>6.1106885657757006</v>
      </c>
      <c r="AX237" s="60">
        <v>6.5985222920486537</v>
      </c>
      <c r="AY237" s="60">
        <v>0.14019783113277065</v>
      </c>
      <c r="AZ237" s="60">
        <v>0.42890591343254342</v>
      </c>
      <c r="BA237" s="60">
        <v>1.6188651108861383</v>
      </c>
      <c r="BC237" s="61">
        <v>759.63682064367651</v>
      </c>
      <c r="BD237" s="61">
        <v>5088.3434729459595</v>
      </c>
      <c r="BE237" s="61">
        <v>86331.432533877931</v>
      </c>
      <c r="BG237" s="60">
        <v>6.9132667780209403</v>
      </c>
      <c r="BH237" s="60">
        <v>7.3462518057003621</v>
      </c>
      <c r="BI237" s="60">
        <v>7.8340855319733151</v>
      </c>
      <c r="BJ237" s="60">
        <v>0.56388375322414652</v>
      </c>
      <c r="BK237" s="60">
        <v>1.7250842919055764</v>
      </c>
      <c r="BL237" s="60">
        <v>6.511168734312351</v>
      </c>
      <c r="BN237" s="61">
        <v>3038.5657833918149</v>
      </c>
      <c r="BO237" s="61">
        <v>20926.705132530351</v>
      </c>
      <c r="BP237" s="61">
        <v>375593.00837736618</v>
      </c>
      <c r="BR237" s="60" t="s">
        <v>42</v>
      </c>
      <c r="BS237" s="60" t="s">
        <v>42</v>
      </c>
      <c r="BT237" s="60" t="s">
        <v>42</v>
      </c>
      <c r="BU237" s="60" t="s">
        <v>42</v>
      </c>
      <c r="BV237" s="60" t="s">
        <v>42</v>
      </c>
      <c r="BW237" s="60" t="s">
        <v>42</v>
      </c>
      <c r="BY237" s="60" t="s">
        <v>42</v>
      </c>
      <c r="BZ237" s="60" t="s">
        <v>42</v>
      </c>
      <c r="CA237" s="60" t="s">
        <v>42</v>
      </c>
      <c r="CC237">
        <v>403</v>
      </c>
      <c r="CD237">
        <v>177</v>
      </c>
    </row>
    <row r="238" spans="1:83" x14ac:dyDescent="0.2">
      <c r="A238">
        <v>403</v>
      </c>
      <c r="B238">
        <v>178</v>
      </c>
      <c r="C238" s="29" t="s">
        <v>142</v>
      </c>
      <c r="D238" s="29" t="s">
        <v>504</v>
      </c>
      <c r="E238" s="29" t="s">
        <v>507</v>
      </c>
      <c r="F238" s="97" t="s">
        <v>42</v>
      </c>
      <c r="G238" s="94">
        <v>25.9</v>
      </c>
      <c r="H238" s="94">
        <v>157</v>
      </c>
      <c r="I238" s="93">
        <v>69.599999999999994</v>
      </c>
      <c r="J238" s="93">
        <v>151</v>
      </c>
      <c r="K238" s="93" t="s">
        <v>42</v>
      </c>
      <c r="L238" s="93" t="s">
        <v>42</v>
      </c>
      <c r="M238" s="93">
        <v>50</v>
      </c>
      <c r="N238" s="93">
        <v>50</v>
      </c>
      <c r="O238" s="93">
        <v>50</v>
      </c>
      <c r="P238" s="93" t="s">
        <v>9</v>
      </c>
      <c r="Q238" s="93">
        <v>1</v>
      </c>
      <c r="R238" s="93">
        <v>1</v>
      </c>
      <c r="S238" s="93" t="s">
        <v>211</v>
      </c>
      <c r="T238" s="95">
        <v>1413.1772762228873</v>
      </c>
      <c r="U238" s="95">
        <v>2060.8835278250435</v>
      </c>
      <c r="V238" s="95">
        <v>2944.1193254643481</v>
      </c>
      <c r="W238" s="95" t="s">
        <v>42</v>
      </c>
      <c r="X238" s="95" t="s">
        <v>42</v>
      </c>
      <c r="Y238" s="95" t="s">
        <v>42</v>
      </c>
      <c r="Z238" s="95" t="s">
        <v>42</v>
      </c>
      <c r="AB238" s="93" t="s">
        <v>470</v>
      </c>
      <c r="AC238" s="93">
        <v>1.4285714285714287E-2</v>
      </c>
      <c r="AD238" s="93">
        <v>4.2857142857142858E-2</v>
      </c>
      <c r="AE238" s="93">
        <v>7.1428571428571425E-2</v>
      </c>
      <c r="AF238" s="93">
        <v>0.91</v>
      </c>
      <c r="AG238" s="93">
        <v>1.28</v>
      </c>
      <c r="AH238" s="93">
        <v>1.67</v>
      </c>
      <c r="AI238" s="93">
        <v>61</v>
      </c>
      <c r="AJ238" s="93">
        <v>76</v>
      </c>
      <c r="AK238" s="93">
        <v>92</v>
      </c>
      <c r="AL238" s="96">
        <v>1.832954004390663E-2</v>
      </c>
      <c r="AM238" s="59">
        <v>8.4291855632973409E-2</v>
      </c>
      <c r="AN238" s="59">
        <v>0.18455902521151404</v>
      </c>
      <c r="AO238" s="59">
        <v>1.7335702713002697E-2</v>
      </c>
      <c r="AP238" s="59">
        <v>8.2434586858298603E-2</v>
      </c>
      <c r="AQ238" s="59">
        <v>0.18557562791834914</v>
      </c>
      <c r="AR238" s="59" t="s">
        <v>42</v>
      </c>
      <c r="AS238" s="59" t="s">
        <v>42</v>
      </c>
      <c r="AT238" s="59" t="s">
        <v>42</v>
      </c>
      <c r="AV238" s="60">
        <v>6.1710843188054243</v>
      </c>
      <c r="AW238" s="60">
        <v>6.6040693464848461</v>
      </c>
      <c r="AX238" s="60">
        <v>7.0919030727577992</v>
      </c>
      <c r="AY238" s="60">
        <v>0.24741822418703255</v>
      </c>
      <c r="AZ238" s="60">
        <v>0.75692425900868476</v>
      </c>
      <c r="BA238" s="60">
        <v>2.8569395667360546</v>
      </c>
      <c r="BC238" s="61">
        <v>1340.5913035327242</v>
      </c>
      <c r="BD238" s="61">
        <v>8979.8030109161591</v>
      </c>
      <c r="BE238" s="61">
        <v>155865.31685424369</v>
      </c>
      <c r="BG238" s="60">
        <v>6.9132667780209403</v>
      </c>
      <c r="BH238" s="60">
        <v>7.3462518057003621</v>
      </c>
      <c r="BI238" s="60">
        <v>7.8340855319733151</v>
      </c>
      <c r="BJ238" s="60">
        <v>0.56388375322414652</v>
      </c>
      <c r="BK238" s="60">
        <v>1.7250842919055764</v>
      </c>
      <c r="BL238" s="60">
        <v>6.511168734312351</v>
      </c>
      <c r="BN238" s="61">
        <v>3038.5657833918149</v>
      </c>
      <c r="BO238" s="61">
        <v>20926.705132530351</v>
      </c>
      <c r="BP238" s="61">
        <v>375593.00837736618</v>
      </c>
      <c r="BR238" s="60" t="s">
        <v>42</v>
      </c>
      <c r="BS238" s="60" t="s">
        <v>42</v>
      </c>
      <c r="BT238" s="60" t="s">
        <v>42</v>
      </c>
      <c r="BU238" s="60" t="s">
        <v>42</v>
      </c>
      <c r="BV238" s="60" t="s">
        <v>42</v>
      </c>
      <c r="BW238" s="60" t="s">
        <v>42</v>
      </c>
      <c r="BY238" s="60" t="s">
        <v>42</v>
      </c>
      <c r="BZ238" s="60" t="s">
        <v>42</v>
      </c>
      <c r="CA238" s="60" t="s">
        <v>42</v>
      </c>
      <c r="CC238">
        <v>403</v>
      </c>
      <c r="CD238">
        <v>178</v>
      </c>
    </row>
    <row r="239" spans="1:83" x14ac:dyDescent="0.2">
      <c r="A239">
        <v>403</v>
      </c>
      <c r="B239">
        <v>179</v>
      </c>
      <c r="C239" s="29" t="s">
        <v>142</v>
      </c>
      <c r="D239" s="29" t="s">
        <v>504</v>
      </c>
      <c r="E239" s="29" t="s">
        <v>508</v>
      </c>
      <c r="F239" s="97" t="s">
        <v>42</v>
      </c>
      <c r="G239" s="94">
        <v>10.1</v>
      </c>
      <c r="H239" s="94">
        <v>145</v>
      </c>
      <c r="I239" s="93">
        <v>69.599999999999994</v>
      </c>
      <c r="J239" s="93">
        <v>151</v>
      </c>
      <c r="K239" s="93" t="s">
        <v>42</v>
      </c>
      <c r="L239" s="93" t="s">
        <v>42</v>
      </c>
      <c r="M239" s="93">
        <v>50</v>
      </c>
      <c r="N239" s="93">
        <v>50</v>
      </c>
      <c r="O239" s="93">
        <v>50</v>
      </c>
      <c r="P239" s="93" t="s">
        <v>9</v>
      </c>
      <c r="Q239" s="93">
        <v>1</v>
      </c>
      <c r="R239" s="93">
        <v>1</v>
      </c>
      <c r="S239" s="93" t="s">
        <v>211</v>
      </c>
      <c r="T239" s="95">
        <v>1413.1772762228873</v>
      </c>
      <c r="U239" s="95">
        <v>2060.8835278250435</v>
      </c>
      <c r="V239" s="95">
        <v>2944.1193254643481</v>
      </c>
      <c r="W239" s="95" t="s">
        <v>42</v>
      </c>
      <c r="X239" s="95" t="s">
        <v>42</v>
      </c>
      <c r="Y239" s="95" t="s">
        <v>42</v>
      </c>
      <c r="Z239" s="95" t="s">
        <v>42</v>
      </c>
      <c r="AB239" s="93" t="s">
        <v>470</v>
      </c>
      <c r="AC239" s="93">
        <v>1.4285714285714287E-2</v>
      </c>
      <c r="AD239" s="93">
        <v>4.2857142857142858E-2</v>
      </c>
      <c r="AE239" s="93">
        <v>7.1428571428571425E-2</v>
      </c>
      <c r="AF239" s="93">
        <v>0.91</v>
      </c>
      <c r="AG239" s="93">
        <v>1.28</v>
      </c>
      <c r="AH239" s="93">
        <v>1.67</v>
      </c>
      <c r="AI239" s="93">
        <v>61</v>
      </c>
      <c r="AJ239" s="93">
        <v>76</v>
      </c>
      <c r="AK239" s="93">
        <v>92</v>
      </c>
      <c r="AL239" s="96">
        <v>1.6151931795446096E-2</v>
      </c>
      <c r="AM239" s="59">
        <v>7.9674147499457976E-2</v>
      </c>
      <c r="AN239" s="59">
        <v>0.18455902521151404</v>
      </c>
      <c r="AO239" s="59">
        <v>1.7335702713002697E-2</v>
      </c>
      <c r="AP239" s="59">
        <v>8.2434586858298603E-2</v>
      </c>
      <c r="AQ239" s="59">
        <v>0.18557562791834914</v>
      </c>
      <c r="AR239" s="59" t="s">
        <v>42</v>
      </c>
      <c r="AS239" s="59" t="s">
        <v>42</v>
      </c>
      <c r="AT239" s="59" t="s">
        <v>42</v>
      </c>
      <c r="AV239" s="60">
        <v>5.4894536683077417</v>
      </c>
      <c r="AW239" s="60">
        <v>5.9224386959871635</v>
      </c>
      <c r="AX239" s="60">
        <v>6.4102724222601166</v>
      </c>
      <c r="AY239" s="60">
        <v>0.11287983352025588</v>
      </c>
      <c r="AZ239" s="60">
        <v>0.3453322188577137</v>
      </c>
      <c r="BA239" s="60">
        <v>1.303424045379999</v>
      </c>
      <c r="BC239" s="61">
        <v>611.61914672495618</v>
      </c>
      <c r="BD239" s="61">
        <v>4334.3070455829229</v>
      </c>
      <c r="BE239" s="61">
        <v>80697.718507422658</v>
      </c>
      <c r="BG239" s="60">
        <v>6.9132667780209403</v>
      </c>
      <c r="BH239" s="60">
        <v>7.3462518057003621</v>
      </c>
      <c r="BI239" s="60">
        <v>7.8340855319733151</v>
      </c>
      <c r="BJ239" s="60">
        <v>0.56388375322414652</v>
      </c>
      <c r="BK239" s="60">
        <v>1.7250842919055764</v>
      </c>
      <c r="BL239" s="60">
        <v>6.511168734312351</v>
      </c>
      <c r="BN239" s="61">
        <v>3038.5657833918149</v>
      </c>
      <c r="BO239" s="61">
        <v>20926.705132530351</v>
      </c>
      <c r="BP239" s="61">
        <v>375593.00837736618</v>
      </c>
      <c r="BR239" s="60" t="s">
        <v>42</v>
      </c>
      <c r="BS239" s="60" t="s">
        <v>42</v>
      </c>
      <c r="BT239" s="60" t="s">
        <v>42</v>
      </c>
      <c r="BU239" s="60" t="s">
        <v>42</v>
      </c>
      <c r="BV239" s="60" t="s">
        <v>42</v>
      </c>
      <c r="BW239" s="60" t="s">
        <v>42</v>
      </c>
      <c r="BY239" s="60" t="s">
        <v>42</v>
      </c>
      <c r="BZ239" s="60" t="s">
        <v>42</v>
      </c>
      <c r="CA239" s="60" t="s">
        <v>42</v>
      </c>
      <c r="CC239">
        <v>403</v>
      </c>
      <c r="CD239">
        <v>179</v>
      </c>
    </row>
    <row r="240" spans="1:83" x14ac:dyDescent="0.2">
      <c r="A240">
        <v>404</v>
      </c>
      <c r="B240">
        <v>180</v>
      </c>
      <c r="C240" s="29" t="s">
        <v>142</v>
      </c>
      <c r="D240" s="29" t="s">
        <v>511</v>
      </c>
      <c r="E240" s="29" t="s">
        <v>524</v>
      </c>
      <c r="F240" s="93" t="s">
        <v>519</v>
      </c>
      <c r="G240" s="94">
        <v>6.4</v>
      </c>
      <c r="H240" s="94">
        <v>347</v>
      </c>
      <c r="I240" s="93">
        <v>20.299999999999997</v>
      </c>
      <c r="J240" s="93">
        <v>356</v>
      </c>
      <c r="K240" s="93">
        <v>95.2</v>
      </c>
      <c r="L240" s="93">
        <v>149</v>
      </c>
      <c r="M240" s="93">
        <v>60</v>
      </c>
      <c r="N240" s="93">
        <v>60</v>
      </c>
      <c r="O240" s="93">
        <v>60</v>
      </c>
      <c r="P240" s="93" t="s">
        <v>13</v>
      </c>
      <c r="Q240" s="93">
        <v>0</v>
      </c>
      <c r="R240" s="93">
        <v>0</v>
      </c>
      <c r="S240" s="93" t="s">
        <v>308</v>
      </c>
      <c r="T240" s="95">
        <v>75</v>
      </c>
      <c r="U240" s="95">
        <v>75</v>
      </c>
      <c r="V240" s="95">
        <v>75</v>
      </c>
      <c r="W240" s="95"/>
      <c r="X240" s="95">
        <v>1436.0417414248216</v>
      </c>
      <c r="Y240" s="95">
        <v>2059.8525395778647</v>
      </c>
      <c r="Z240" s="95">
        <v>3328.8623280676761</v>
      </c>
      <c r="AB240" s="93" t="s">
        <v>470</v>
      </c>
      <c r="AC240" s="93">
        <v>1.4285714285714287E-2</v>
      </c>
      <c r="AD240" s="93">
        <v>4.2857142857142858E-2</v>
      </c>
      <c r="AE240" s="93">
        <v>7.1428571428571425E-2</v>
      </c>
      <c r="AF240" s="93">
        <v>0.91</v>
      </c>
      <c r="AG240" s="93">
        <v>1.28</v>
      </c>
      <c r="AH240" s="93">
        <v>1.67</v>
      </c>
      <c r="AI240" s="93">
        <v>61</v>
      </c>
      <c r="AJ240" s="93">
        <v>76</v>
      </c>
      <c r="AK240" s="93">
        <v>92</v>
      </c>
      <c r="AL240" s="96">
        <v>2.4992804094396283E-2</v>
      </c>
      <c r="AM240" s="59">
        <v>0.10597586208428633</v>
      </c>
      <c r="AN240" s="59">
        <v>0.2385350929873104</v>
      </c>
      <c r="AO240" s="59">
        <v>2.3564002462952892E-2</v>
      </c>
      <c r="AP240" s="59">
        <v>0.1080474791876251</v>
      </c>
      <c r="AQ240" s="59">
        <v>0.23726450932357368</v>
      </c>
      <c r="AR240" s="59">
        <v>2.1805434766581019E-2</v>
      </c>
      <c r="AS240" s="59">
        <v>0.10492029322565874</v>
      </c>
      <c r="AT240" s="59">
        <v>0.23842609730312705</v>
      </c>
      <c r="AV240" s="60">
        <v>5.1592180019764813</v>
      </c>
      <c r="AW240" s="60">
        <v>5.5922030296559031</v>
      </c>
      <c r="AX240" s="60">
        <v>6.0800367559288562</v>
      </c>
      <c r="AY240" s="60">
        <v>7.7178889801552339E-2</v>
      </c>
      <c r="AZ240" s="60">
        <v>0.23611265567079681</v>
      </c>
      <c r="BA240" s="60">
        <v>0.89118505605365417</v>
      </c>
      <c r="BC240" s="61">
        <v>323.55360729105848</v>
      </c>
      <c r="BD240" s="61">
        <v>2227.9852319862057</v>
      </c>
      <c r="BE240" s="61">
        <v>35657.665810034887</v>
      </c>
      <c r="BG240" s="60">
        <v>5.6381313960140789</v>
      </c>
      <c r="BH240" s="60">
        <v>5.9072596210548314</v>
      </c>
      <c r="BI240" s="60">
        <v>6.2401913873420414</v>
      </c>
      <c r="BJ240" s="60">
        <v>0.12990381056766581</v>
      </c>
      <c r="BK240" s="60">
        <v>0.3290896534380866</v>
      </c>
      <c r="BL240" s="60">
        <v>1.0392304845413272</v>
      </c>
      <c r="BN240" s="61">
        <v>547.50628713082062</v>
      </c>
      <c r="BO240" s="61">
        <v>3045.7874252357192</v>
      </c>
      <c r="BP240" s="61">
        <v>44102.460359830453</v>
      </c>
      <c r="BR240" s="60">
        <v>6.9202371963496914</v>
      </c>
      <c r="BS240" s="60">
        <v>7.3460344889352625</v>
      </c>
      <c r="BT240" s="60">
        <v>7.8874259583389472</v>
      </c>
      <c r="BU240" s="60">
        <v>0.56842712094039405</v>
      </c>
      <c r="BV240" s="60">
        <v>1.7246527381332264</v>
      </c>
      <c r="BW240" s="60">
        <v>6.9235552662035289</v>
      </c>
      <c r="BX240" s="2"/>
      <c r="BY240" s="61">
        <v>2384.0809683585712</v>
      </c>
      <c r="BZ240" s="61">
        <v>16437.742262346772</v>
      </c>
      <c r="CA240" s="61">
        <v>317515.1213593118</v>
      </c>
      <c r="CC240">
        <v>404</v>
      </c>
      <c r="CD240">
        <v>180</v>
      </c>
      <c r="CE240">
        <v>621</v>
      </c>
    </row>
    <row r="241" spans="1:83" x14ac:dyDescent="0.2">
      <c r="A241">
        <v>404</v>
      </c>
      <c r="B241">
        <v>181</v>
      </c>
      <c r="C241" s="29" t="s">
        <v>142</v>
      </c>
      <c r="D241" s="29" t="s">
        <v>511</v>
      </c>
      <c r="E241" s="29" t="s">
        <v>527</v>
      </c>
      <c r="F241" s="93" t="s">
        <v>519</v>
      </c>
      <c r="G241" s="94">
        <v>1.1000000000000001</v>
      </c>
      <c r="H241" s="94">
        <v>309</v>
      </c>
      <c r="I241" s="93">
        <v>20.299999999999997</v>
      </c>
      <c r="J241" s="93">
        <v>356</v>
      </c>
      <c r="K241" s="93">
        <v>95.2</v>
      </c>
      <c r="L241" s="93">
        <v>149</v>
      </c>
      <c r="M241" s="93">
        <v>60</v>
      </c>
      <c r="N241" s="93">
        <v>60</v>
      </c>
      <c r="O241" s="93">
        <v>60</v>
      </c>
      <c r="P241" s="93" t="s">
        <v>13</v>
      </c>
      <c r="Q241" s="93">
        <v>0</v>
      </c>
      <c r="R241" s="93">
        <v>0</v>
      </c>
      <c r="S241" s="93" t="s">
        <v>308</v>
      </c>
      <c r="T241" s="95">
        <v>75</v>
      </c>
      <c r="U241" s="95">
        <v>75</v>
      </c>
      <c r="V241" s="95">
        <v>75</v>
      </c>
      <c r="W241" s="95"/>
      <c r="X241" s="95">
        <v>1436.0417414248216</v>
      </c>
      <c r="Y241" s="95">
        <v>2059.8525395778647</v>
      </c>
      <c r="Z241" s="95">
        <v>3328.8623280676761</v>
      </c>
      <c r="AB241" s="93" t="s">
        <v>470</v>
      </c>
      <c r="AC241" s="93">
        <v>1.4285714285714287E-2</v>
      </c>
      <c r="AD241" s="93">
        <v>4.2857142857142858E-2</v>
      </c>
      <c r="AE241" s="93">
        <v>7.1428571428571425E-2</v>
      </c>
      <c r="AF241" s="93">
        <v>0.91</v>
      </c>
      <c r="AG241" s="93">
        <v>1.28</v>
      </c>
      <c r="AH241" s="93">
        <v>1.67</v>
      </c>
      <c r="AI241" s="93">
        <v>61</v>
      </c>
      <c r="AJ241" s="93">
        <v>76</v>
      </c>
      <c r="AK241" s="93">
        <v>92</v>
      </c>
      <c r="AL241" s="96">
        <v>1.5647190601953243E-2</v>
      </c>
      <c r="AM241" s="59">
        <v>8.7621724530902972E-2</v>
      </c>
      <c r="AN241" s="59">
        <v>0.22119957673236204</v>
      </c>
      <c r="AO241" s="59">
        <v>2.3564002462952892E-2</v>
      </c>
      <c r="AP241" s="59">
        <v>0.1080474791876251</v>
      </c>
      <c r="AQ241" s="59">
        <v>0.23726450932357368</v>
      </c>
      <c r="AR241" s="59">
        <v>2.1805434766581019E-2</v>
      </c>
      <c r="AS241" s="59">
        <v>0.10492029322565874</v>
      </c>
      <c r="AT241" s="59">
        <v>0.23842609730312705</v>
      </c>
      <c r="AV241" s="60" t="s">
        <v>42</v>
      </c>
      <c r="AW241" s="60" t="s">
        <v>42</v>
      </c>
      <c r="AX241" s="60" t="s">
        <v>42</v>
      </c>
      <c r="AY241" s="60" t="s">
        <v>42</v>
      </c>
      <c r="AZ241" s="60" t="s">
        <v>42</v>
      </c>
      <c r="BA241" s="60" t="s">
        <v>42</v>
      </c>
      <c r="BB241" s="2"/>
      <c r="BC241" s="61" t="s">
        <v>42</v>
      </c>
      <c r="BD241" s="61" t="s">
        <v>42</v>
      </c>
      <c r="BE241" s="61" t="s">
        <v>42</v>
      </c>
      <c r="BG241" s="60">
        <v>5.6381313960140789</v>
      </c>
      <c r="BH241" s="60">
        <v>5.9072596210548314</v>
      </c>
      <c r="BI241" s="60">
        <v>6.2401913873420414</v>
      </c>
      <c r="BJ241" s="60">
        <v>0.12990381056766581</v>
      </c>
      <c r="BK241" s="60">
        <v>0.3290896534380866</v>
      </c>
      <c r="BL241" s="60">
        <v>1.0392304845413272</v>
      </c>
      <c r="BN241" s="61">
        <v>547.50628713082062</v>
      </c>
      <c r="BO241" s="61">
        <v>3045.7874252357192</v>
      </c>
      <c r="BP241" s="61">
        <v>44102.460359830453</v>
      </c>
      <c r="BR241" s="60">
        <v>6.9202371963496914</v>
      </c>
      <c r="BS241" s="60">
        <v>7.3460344889352625</v>
      </c>
      <c r="BT241" s="60">
        <v>7.8874259583389472</v>
      </c>
      <c r="BU241" s="60">
        <v>0.56842712094039405</v>
      </c>
      <c r="BV241" s="60">
        <v>1.7246527381332264</v>
      </c>
      <c r="BW241" s="60">
        <v>6.9235552662035289</v>
      </c>
      <c r="BX241" s="2"/>
      <c r="BY241" s="61">
        <v>2384.0809683585712</v>
      </c>
      <c r="BZ241" s="61">
        <v>16437.742262346772</v>
      </c>
      <c r="CA241" s="61">
        <v>317515.1213593118</v>
      </c>
      <c r="CC241">
        <v>404</v>
      </c>
      <c r="CD241">
        <v>181</v>
      </c>
      <c r="CE241">
        <v>621</v>
      </c>
    </row>
    <row r="242" spans="1:83" x14ac:dyDescent="0.2">
      <c r="A242">
        <v>404</v>
      </c>
      <c r="B242">
        <v>182</v>
      </c>
      <c r="C242" s="29" t="s">
        <v>142</v>
      </c>
      <c r="D242" s="29" t="s">
        <v>511</v>
      </c>
      <c r="E242" s="29" t="s">
        <v>513</v>
      </c>
      <c r="F242" s="93" t="s">
        <v>519</v>
      </c>
      <c r="G242" s="94">
        <v>5.7</v>
      </c>
      <c r="H242" s="94">
        <v>356</v>
      </c>
      <c r="I242" s="93">
        <v>20.299999999999997</v>
      </c>
      <c r="J242" s="93">
        <v>356</v>
      </c>
      <c r="K242" s="93">
        <v>95.2</v>
      </c>
      <c r="L242" s="93">
        <v>149</v>
      </c>
      <c r="M242" s="93">
        <v>60</v>
      </c>
      <c r="N242" s="93">
        <v>60</v>
      </c>
      <c r="O242" s="93">
        <v>60</v>
      </c>
      <c r="P242" s="93" t="s">
        <v>13</v>
      </c>
      <c r="Q242" s="93">
        <v>0</v>
      </c>
      <c r="R242" s="93">
        <v>0</v>
      </c>
      <c r="S242" s="93" t="s">
        <v>308</v>
      </c>
      <c r="T242" s="95">
        <v>75</v>
      </c>
      <c r="U242" s="95">
        <v>75</v>
      </c>
      <c r="V242" s="95">
        <v>75</v>
      </c>
      <c r="W242" s="95"/>
      <c r="X242" s="95">
        <v>1436.0417414248216</v>
      </c>
      <c r="Y242" s="95">
        <v>2059.8525395778647</v>
      </c>
      <c r="Z242" s="95">
        <v>3328.8623280676761</v>
      </c>
      <c r="AB242" s="93" t="s">
        <v>470</v>
      </c>
      <c r="AC242" s="93">
        <v>1.4285714285714287E-2</v>
      </c>
      <c r="AD242" s="93">
        <v>4.2857142857142858E-2</v>
      </c>
      <c r="AE242" s="93">
        <v>7.1428571428571425E-2</v>
      </c>
      <c r="AF242" s="93">
        <v>0.91</v>
      </c>
      <c r="AG242" s="93">
        <v>1.28</v>
      </c>
      <c r="AH242" s="93">
        <v>1.67</v>
      </c>
      <c r="AI242" s="93">
        <v>61</v>
      </c>
      <c r="AJ242" s="93">
        <v>76</v>
      </c>
      <c r="AK242" s="93">
        <v>92</v>
      </c>
      <c r="AL242" s="96">
        <v>2.3564002462952892E-2</v>
      </c>
      <c r="AM242" s="59">
        <v>0.1080474791876251</v>
      </c>
      <c r="AN242" s="59">
        <v>0.23726450932357368</v>
      </c>
      <c r="AO242" s="59">
        <v>2.3564002462952892E-2</v>
      </c>
      <c r="AP242" s="59">
        <v>0.1080474791876251</v>
      </c>
      <c r="AQ242" s="59">
        <v>0.23726450932357368</v>
      </c>
      <c r="AR242" s="59">
        <v>2.1805434766581019E-2</v>
      </c>
      <c r="AS242" s="59">
        <v>0.10492029322565874</v>
      </c>
      <c r="AT242" s="59">
        <v>0.23842609730312705</v>
      </c>
      <c r="AV242" s="60">
        <v>5.075376138124156</v>
      </c>
      <c r="AW242" s="60">
        <v>5.5083611658035778</v>
      </c>
      <c r="AX242" s="60">
        <v>5.9961948920765309</v>
      </c>
      <c r="AY242" s="60">
        <v>7.0077337844854218E-2</v>
      </c>
      <c r="AZ242" s="60">
        <v>0.21438694419462043</v>
      </c>
      <c r="BA242" s="60">
        <v>0.80918339737637879</v>
      </c>
      <c r="BC242" s="61">
        <v>295.35533167029632</v>
      </c>
      <c r="BD242" s="61">
        <v>1984.1920034278285</v>
      </c>
      <c r="BE242" s="61">
        <v>34339.81127139031</v>
      </c>
      <c r="BG242" s="60">
        <v>5.6381313960140789</v>
      </c>
      <c r="BH242" s="60">
        <v>5.9072596210548314</v>
      </c>
      <c r="BI242" s="60">
        <v>6.2401913873420414</v>
      </c>
      <c r="BJ242" s="60">
        <v>0.12990381056766581</v>
      </c>
      <c r="BK242" s="60">
        <v>0.3290896534380866</v>
      </c>
      <c r="BL242" s="60">
        <v>1.0392304845413272</v>
      </c>
      <c r="BN242" s="61">
        <v>547.50628713082062</v>
      </c>
      <c r="BO242" s="61">
        <v>3045.7874252357192</v>
      </c>
      <c r="BP242" s="61">
        <v>44102.460359830453</v>
      </c>
      <c r="BR242" s="60">
        <v>6.9202371963496914</v>
      </c>
      <c r="BS242" s="60">
        <v>7.3460344889352625</v>
      </c>
      <c r="BT242" s="60">
        <v>7.8874259583389472</v>
      </c>
      <c r="BU242" s="60">
        <v>0.56842712094039405</v>
      </c>
      <c r="BV242" s="60">
        <v>1.7246527381332264</v>
      </c>
      <c r="BW242" s="60">
        <v>6.9235552662035289</v>
      </c>
      <c r="BX242" s="2"/>
      <c r="BY242" s="61">
        <v>2384.0809683585712</v>
      </c>
      <c r="BZ242" s="61">
        <v>16437.742262346772</v>
      </c>
      <c r="CA242" s="61">
        <v>317515.1213593118</v>
      </c>
      <c r="CC242">
        <v>404</v>
      </c>
      <c r="CD242">
        <v>182</v>
      </c>
      <c r="CE242">
        <v>621</v>
      </c>
    </row>
    <row r="243" spans="1:83" x14ac:dyDescent="0.2">
      <c r="A243">
        <v>404</v>
      </c>
      <c r="B243">
        <v>183</v>
      </c>
      <c r="C243" s="29" t="s">
        <v>142</v>
      </c>
      <c r="D243" s="29" t="s">
        <v>511</v>
      </c>
      <c r="E243" s="29" t="s">
        <v>514</v>
      </c>
      <c r="F243" s="93" t="s">
        <v>519</v>
      </c>
      <c r="G243" s="94">
        <v>0.6</v>
      </c>
      <c r="H243" s="94">
        <v>58</v>
      </c>
      <c r="I243" s="93">
        <v>20.299999999999997</v>
      </c>
      <c r="J243" s="93">
        <v>356</v>
      </c>
      <c r="K243" s="93">
        <v>95.2</v>
      </c>
      <c r="L243" s="93">
        <v>149</v>
      </c>
      <c r="M243" s="93">
        <v>60</v>
      </c>
      <c r="N243" s="93">
        <v>60</v>
      </c>
      <c r="O243" s="93">
        <v>60</v>
      </c>
      <c r="P243" s="93" t="s">
        <v>13</v>
      </c>
      <c r="Q243" s="93">
        <v>0</v>
      </c>
      <c r="R243" s="93">
        <v>0</v>
      </c>
      <c r="S243" s="93" t="s">
        <v>308</v>
      </c>
      <c r="T243" s="95">
        <v>75</v>
      </c>
      <c r="U243" s="95">
        <v>75</v>
      </c>
      <c r="V243" s="95">
        <v>75</v>
      </c>
      <c r="W243" s="95"/>
      <c r="X243" s="95">
        <v>1436.0417414248216</v>
      </c>
      <c r="Y243" s="95">
        <v>2059.8525395778647</v>
      </c>
      <c r="Z243" s="95">
        <v>3328.8623280676761</v>
      </c>
      <c r="AB243" s="93" t="s">
        <v>470</v>
      </c>
      <c r="AC243" s="93">
        <v>1.4285714285714287E-2</v>
      </c>
      <c r="AD243" s="93">
        <v>4.2857142857142858E-2</v>
      </c>
      <c r="AE243" s="93">
        <v>7.1428571428571425E-2</v>
      </c>
      <c r="AF243" s="93">
        <v>0.91</v>
      </c>
      <c r="AG243" s="93">
        <v>1.28</v>
      </c>
      <c r="AH243" s="93">
        <v>1.67</v>
      </c>
      <c r="AI243" s="93">
        <v>61</v>
      </c>
      <c r="AJ243" s="93">
        <v>76</v>
      </c>
      <c r="AK243" s="93">
        <v>92</v>
      </c>
      <c r="AL243" s="96">
        <v>1.360734862316543E-3</v>
      </c>
      <c r="AM243" s="59">
        <v>3.3903578811422801E-2</v>
      </c>
      <c r="AN243" s="59">
        <v>0.13340744982802097</v>
      </c>
      <c r="AO243" s="59">
        <v>2.3564002462952892E-2</v>
      </c>
      <c r="AP243" s="59">
        <v>0.1080474791876251</v>
      </c>
      <c r="AQ243" s="59">
        <v>0.23726450932357368</v>
      </c>
      <c r="AR243" s="59">
        <v>2.1805434766581019E-2</v>
      </c>
      <c r="AS243" s="59">
        <v>0.10492029322565874</v>
      </c>
      <c r="AT243" s="59">
        <v>0.23842609730312705</v>
      </c>
      <c r="AV243" s="60" t="s">
        <v>42</v>
      </c>
      <c r="AW243" s="60" t="s">
        <v>42</v>
      </c>
      <c r="AX243" s="60" t="s">
        <v>42</v>
      </c>
      <c r="AY243" s="60" t="s">
        <v>42</v>
      </c>
      <c r="AZ243" s="60" t="s">
        <v>42</v>
      </c>
      <c r="BA243" s="60" t="s">
        <v>42</v>
      </c>
      <c r="BB243" s="2"/>
      <c r="BC243" s="61" t="s">
        <v>42</v>
      </c>
      <c r="BD243" s="61" t="s">
        <v>42</v>
      </c>
      <c r="BE243" s="61" t="s">
        <v>42</v>
      </c>
      <c r="BG243" s="60">
        <v>5.6381313960140789</v>
      </c>
      <c r="BH243" s="60">
        <v>5.9072596210548314</v>
      </c>
      <c r="BI243" s="60">
        <v>6.2401913873420414</v>
      </c>
      <c r="BJ243" s="60">
        <v>0.12990381056766581</v>
      </c>
      <c r="BK243" s="60">
        <v>0.3290896534380866</v>
      </c>
      <c r="BL243" s="60">
        <v>1.0392304845413272</v>
      </c>
      <c r="BN243" s="61">
        <v>547.50628713082062</v>
      </c>
      <c r="BO243" s="61">
        <v>3045.7874252357192</v>
      </c>
      <c r="BP243" s="61">
        <v>44102.460359830453</v>
      </c>
      <c r="BR243" s="60">
        <v>6.9202371963496914</v>
      </c>
      <c r="BS243" s="60">
        <v>7.3460344889352625</v>
      </c>
      <c r="BT243" s="60">
        <v>7.8874259583389472</v>
      </c>
      <c r="BU243" s="60">
        <v>0.56842712094039405</v>
      </c>
      <c r="BV243" s="60">
        <v>1.7246527381332264</v>
      </c>
      <c r="BW243" s="60">
        <v>6.9235552662035289</v>
      </c>
      <c r="BX243" s="2"/>
      <c r="BY243" s="61">
        <v>2384.0809683585712</v>
      </c>
      <c r="BZ243" s="61">
        <v>16437.742262346772</v>
      </c>
      <c r="CA243" s="61">
        <v>317515.1213593118</v>
      </c>
      <c r="CC243">
        <v>404</v>
      </c>
      <c r="CD243">
        <v>183</v>
      </c>
      <c r="CE243">
        <v>621</v>
      </c>
    </row>
    <row r="244" spans="1:83" x14ac:dyDescent="0.2">
      <c r="A244">
        <v>404</v>
      </c>
      <c r="B244">
        <v>184</v>
      </c>
      <c r="C244" s="29" t="s">
        <v>142</v>
      </c>
      <c r="D244" s="29" t="s">
        <v>511</v>
      </c>
      <c r="E244" s="29" t="s">
        <v>515</v>
      </c>
      <c r="F244" s="93" t="s">
        <v>519</v>
      </c>
      <c r="G244" s="94">
        <v>6.5</v>
      </c>
      <c r="H244" s="94">
        <v>9</v>
      </c>
      <c r="I244" s="93">
        <v>20.299999999999997</v>
      </c>
      <c r="J244" s="93">
        <v>356</v>
      </c>
      <c r="K244" s="93">
        <v>95.2</v>
      </c>
      <c r="L244" s="93">
        <v>149</v>
      </c>
      <c r="M244" s="93">
        <v>60</v>
      </c>
      <c r="N244" s="93">
        <v>60</v>
      </c>
      <c r="O244" s="93">
        <v>60</v>
      </c>
      <c r="P244" s="93" t="s">
        <v>13</v>
      </c>
      <c r="Q244" s="93">
        <v>0</v>
      </c>
      <c r="R244" s="93">
        <v>0</v>
      </c>
      <c r="S244" s="93" t="s">
        <v>308</v>
      </c>
      <c r="T244" s="95">
        <v>75</v>
      </c>
      <c r="U244" s="95">
        <v>75</v>
      </c>
      <c r="V244" s="95">
        <v>75</v>
      </c>
      <c r="W244" s="95"/>
      <c r="X244" s="95">
        <v>1436.0417414248216</v>
      </c>
      <c r="Y244" s="95">
        <v>2059.8525395778647</v>
      </c>
      <c r="Z244" s="95">
        <v>3328.8623280676761</v>
      </c>
      <c r="AB244" s="99" t="s">
        <v>470</v>
      </c>
      <c r="AC244" s="93">
        <v>1.4285714285714287E-2</v>
      </c>
      <c r="AD244" s="93">
        <v>4.2857142857142858E-2</v>
      </c>
      <c r="AE244" s="93">
        <v>7.1428571428571425E-2</v>
      </c>
      <c r="AF244" s="93">
        <v>0.91</v>
      </c>
      <c r="AG244" s="93">
        <v>1.28</v>
      </c>
      <c r="AH244" s="93">
        <v>1.67</v>
      </c>
      <c r="AI244" s="93">
        <v>61</v>
      </c>
      <c r="AJ244" s="93">
        <v>76</v>
      </c>
      <c r="AK244" s="93">
        <v>92</v>
      </c>
      <c r="AL244" s="96">
        <v>2.0488279593774767E-2</v>
      </c>
      <c r="AM244" s="59">
        <v>0.10099253249306772</v>
      </c>
      <c r="AN244" s="59">
        <v>0.23679315332014389</v>
      </c>
      <c r="AO244" s="59">
        <v>2.3564002462952892E-2</v>
      </c>
      <c r="AP244" s="59">
        <v>0.1080474791876251</v>
      </c>
      <c r="AQ244" s="59">
        <v>0.23726450932357368</v>
      </c>
      <c r="AR244" s="59">
        <v>2.1805434766581019E-2</v>
      </c>
      <c r="AS244" s="59">
        <v>0.10492029322565874</v>
      </c>
      <c r="AT244" s="59">
        <v>0.23842609730312705</v>
      </c>
      <c r="AV244" s="60">
        <v>5.1704403064080964</v>
      </c>
      <c r="AW244" s="60">
        <v>5.6034253340875182</v>
      </c>
      <c r="AX244" s="60">
        <v>6.0912590603604713</v>
      </c>
      <c r="AY244" s="60">
        <v>7.8182522639762705E-2</v>
      </c>
      <c r="AZ244" s="60">
        <v>0.23918306022517144</v>
      </c>
      <c r="BA244" s="60">
        <v>0.90277400983982015</v>
      </c>
      <c r="BC244" s="61">
        <v>330.17222644972378</v>
      </c>
      <c r="BD244" s="61">
        <v>2368.3242148778604</v>
      </c>
      <c r="BE244" s="61">
        <v>44062.948560801669</v>
      </c>
      <c r="BG244" s="60">
        <v>5.6381313960140789</v>
      </c>
      <c r="BH244" s="60">
        <v>5.9072596210548314</v>
      </c>
      <c r="BI244" s="60">
        <v>6.2401913873420414</v>
      </c>
      <c r="BJ244" s="60">
        <v>0.12990381056766581</v>
      </c>
      <c r="BK244" s="60">
        <v>0.3290896534380866</v>
      </c>
      <c r="BL244" s="60">
        <v>1.0392304845413272</v>
      </c>
      <c r="BN244" s="61">
        <v>547.50628713082062</v>
      </c>
      <c r="BO244" s="61">
        <v>3045.7874252357192</v>
      </c>
      <c r="BP244" s="61">
        <v>44102.460359830453</v>
      </c>
      <c r="BR244" s="60">
        <v>6.9202371963496914</v>
      </c>
      <c r="BS244" s="60">
        <v>7.3460344889352625</v>
      </c>
      <c r="BT244" s="60">
        <v>7.8874259583389472</v>
      </c>
      <c r="BU244" s="60">
        <v>0.56842712094039405</v>
      </c>
      <c r="BV244" s="60">
        <v>1.7246527381332264</v>
      </c>
      <c r="BW244" s="60">
        <v>6.9235552662035289</v>
      </c>
      <c r="BX244" s="2"/>
      <c r="BY244" s="61">
        <v>2384.0809683585712</v>
      </c>
      <c r="BZ244" s="61">
        <v>16437.742262346772</v>
      </c>
      <c r="CA244" s="61">
        <v>317515.1213593118</v>
      </c>
      <c r="CC244">
        <v>404</v>
      </c>
      <c r="CD244">
        <v>184</v>
      </c>
      <c r="CE244">
        <v>621</v>
      </c>
    </row>
    <row r="245" spans="1:83" x14ac:dyDescent="0.2">
      <c r="A245">
        <v>405</v>
      </c>
      <c r="B245">
        <v>185</v>
      </c>
      <c r="C245" s="29" t="s">
        <v>142</v>
      </c>
      <c r="D245" s="29" t="s">
        <v>512</v>
      </c>
      <c r="E245" s="29" t="s">
        <v>526</v>
      </c>
      <c r="F245" s="97" t="s">
        <v>528</v>
      </c>
      <c r="G245" s="94">
        <v>6.4</v>
      </c>
      <c r="H245" s="94">
        <v>347</v>
      </c>
      <c r="I245" s="93">
        <v>20.299999999999997</v>
      </c>
      <c r="J245" s="93">
        <v>356</v>
      </c>
      <c r="K245" s="93">
        <v>40.799999999999997</v>
      </c>
      <c r="L245" s="93">
        <v>160</v>
      </c>
      <c r="M245" s="93">
        <v>60</v>
      </c>
      <c r="N245" s="93">
        <v>60</v>
      </c>
      <c r="O245" s="93">
        <v>60</v>
      </c>
      <c r="P245" s="93" t="s">
        <v>13</v>
      </c>
      <c r="Q245" s="93">
        <v>0</v>
      </c>
      <c r="R245" s="93">
        <v>0</v>
      </c>
      <c r="S245" s="93" t="s">
        <v>308</v>
      </c>
      <c r="T245" s="95">
        <v>75</v>
      </c>
      <c r="U245" s="95">
        <v>75</v>
      </c>
      <c r="V245" s="95">
        <v>75</v>
      </c>
      <c r="W245" s="95" t="s">
        <v>308</v>
      </c>
      <c r="X245" s="95">
        <v>366.54698136821941</v>
      </c>
      <c r="Y245" s="95">
        <v>500.17268116198665</v>
      </c>
      <c r="Z245" s="95">
        <v>682.3895445171238</v>
      </c>
      <c r="AB245" s="99" t="s">
        <v>470</v>
      </c>
      <c r="AC245" s="93">
        <v>1.4285714285714287E-2</v>
      </c>
      <c r="AD245" s="93">
        <v>4.2857142857142858E-2</v>
      </c>
      <c r="AE245" s="93">
        <v>7.1428571428571425E-2</v>
      </c>
      <c r="AF245" s="93">
        <v>0.91</v>
      </c>
      <c r="AG245" s="93">
        <v>1.28</v>
      </c>
      <c r="AH245" s="93">
        <v>1.67</v>
      </c>
      <c r="AI245" s="93">
        <v>61</v>
      </c>
      <c r="AJ245" s="93">
        <v>76</v>
      </c>
      <c r="AK245" s="93">
        <v>92</v>
      </c>
      <c r="AL245" s="96">
        <v>2.4992804094396283E-2</v>
      </c>
      <c r="AM245" s="59">
        <v>0.10597586208428633</v>
      </c>
      <c r="AN245" s="59">
        <v>0.2385350929873104</v>
      </c>
      <c r="AO245" s="59">
        <v>2.3564002462952892E-2</v>
      </c>
      <c r="AP245" s="59">
        <v>0.1080474791876251</v>
      </c>
      <c r="AQ245" s="59">
        <v>0.23726450932357368</v>
      </c>
      <c r="AR245" s="59">
        <v>2.4106780218736464E-2</v>
      </c>
      <c r="AS245" s="59">
        <v>0.10836352079672366</v>
      </c>
      <c r="AT245" s="59">
        <v>0.23726450932357368</v>
      </c>
      <c r="AV245" s="60">
        <v>5.1592180019764813</v>
      </c>
      <c r="AW245" s="60">
        <v>5.5922030296559031</v>
      </c>
      <c r="AX245" s="60">
        <v>6.0800367559288562</v>
      </c>
      <c r="AY245" s="60">
        <v>7.7178889801552339E-2</v>
      </c>
      <c r="AZ245" s="60">
        <v>0.23611265567079681</v>
      </c>
      <c r="BA245" s="60">
        <v>0.89118505605365417</v>
      </c>
      <c r="BB245" s="2"/>
      <c r="BC245" s="61">
        <v>323.55360729105848</v>
      </c>
      <c r="BD245" s="61">
        <v>2227.9852319862057</v>
      </c>
      <c r="BE245" s="61">
        <v>35657.665810034887</v>
      </c>
      <c r="BG245" s="60">
        <v>5.6381313960140789</v>
      </c>
      <c r="BH245" s="60">
        <v>5.9072596210548314</v>
      </c>
      <c r="BI245" s="60">
        <v>6.2401913873420414</v>
      </c>
      <c r="BJ245" s="60">
        <v>0.12990381056766581</v>
      </c>
      <c r="BK245" s="60">
        <v>0.3290896534380866</v>
      </c>
      <c r="BL245" s="60">
        <v>1.0392304845413272</v>
      </c>
      <c r="BN245" s="61">
        <v>547.50628713082062</v>
      </c>
      <c r="BO245" s="61">
        <v>3045.7874252357192</v>
      </c>
      <c r="BP245" s="61">
        <v>44102.460359830453</v>
      </c>
      <c r="BR245" s="60">
        <v>6.327199779925067</v>
      </c>
      <c r="BS245" s="60">
        <v>6.7313183250564039</v>
      </c>
      <c r="BT245" s="60">
        <v>7.1991624879578353</v>
      </c>
      <c r="BU245" s="60">
        <v>0.28718125079442303</v>
      </c>
      <c r="BV245" s="60">
        <v>0.84985254697383106</v>
      </c>
      <c r="BW245" s="60">
        <v>3.1347104237946097</v>
      </c>
      <c r="BX245" s="2"/>
      <c r="BY245" s="61">
        <v>1210.3843580026312</v>
      </c>
      <c r="BZ245" s="61">
        <v>7842.6073712393263</v>
      </c>
      <c r="CA245" s="61">
        <v>130034.38847292535</v>
      </c>
      <c r="CC245">
        <v>405</v>
      </c>
      <c r="CD245">
        <v>185</v>
      </c>
      <c r="CE245">
        <v>622</v>
      </c>
    </row>
    <row r="246" spans="1:83" x14ac:dyDescent="0.2">
      <c r="A246">
        <v>405</v>
      </c>
      <c r="B246">
        <v>186</v>
      </c>
      <c r="C246" s="29" t="s">
        <v>142</v>
      </c>
      <c r="D246" s="29" t="s">
        <v>512</v>
      </c>
      <c r="E246" s="29" t="s">
        <v>525</v>
      </c>
      <c r="F246" s="97" t="s">
        <v>528</v>
      </c>
      <c r="G246" s="94">
        <v>1.1000000000000001</v>
      </c>
      <c r="H246" s="94">
        <v>309</v>
      </c>
      <c r="I246" s="93">
        <v>20.299999999999997</v>
      </c>
      <c r="J246" s="93">
        <v>356</v>
      </c>
      <c r="K246" s="93">
        <v>40.799999999999997</v>
      </c>
      <c r="L246" s="93">
        <v>160</v>
      </c>
      <c r="M246" s="93">
        <v>60</v>
      </c>
      <c r="N246" s="93">
        <v>60</v>
      </c>
      <c r="O246" s="93">
        <v>60</v>
      </c>
      <c r="P246" s="93" t="s">
        <v>13</v>
      </c>
      <c r="Q246" s="93">
        <v>0</v>
      </c>
      <c r="R246" s="93">
        <v>0</v>
      </c>
      <c r="S246" s="93" t="s">
        <v>308</v>
      </c>
      <c r="T246" s="95">
        <v>75</v>
      </c>
      <c r="U246" s="95">
        <v>75</v>
      </c>
      <c r="V246" s="95">
        <v>75</v>
      </c>
      <c r="W246" s="95" t="s">
        <v>308</v>
      </c>
      <c r="X246" s="95">
        <v>366.54698136821941</v>
      </c>
      <c r="Y246" s="95">
        <v>500.17268116198665</v>
      </c>
      <c r="Z246" s="95">
        <v>682.3895445171238</v>
      </c>
      <c r="AB246" s="99" t="s">
        <v>470</v>
      </c>
      <c r="AC246" s="93">
        <v>1.4285714285714287E-2</v>
      </c>
      <c r="AD246" s="93">
        <v>4.2857142857142858E-2</v>
      </c>
      <c r="AE246" s="93">
        <v>7.1428571428571425E-2</v>
      </c>
      <c r="AF246" s="93">
        <v>0.91</v>
      </c>
      <c r="AG246" s="93">
        <v>1.28</v>
      </c>
      <c r="AH246" s="93">
        <v>1.67</v>
      </c>
      <c r="AI246" s="93">
        <v>61</v>
      </c>
      <c r="AJ246" s="93">
        <v>76</v>
      </c>
      <c r="AK246" s="93">
        <v>92</v>
      </c>
      <c r="AL246" s="93" t="s">
        <v>42</v>
      </c>
      <c r="AM246" s="57" t="s">
        <v>42</v>
      </c>
      <c r="AN246" s="57" t="s">
        <v>42</v>
      </c>
      <c r="AO246" s="59">
        <v>2.3564002462952892E-2</v>
      </c>
      <c r="AP246" s="59">
        <v>0.1080474791876251</v>
      </c>
      <c r="AQ246" s="59">
        <v>0.23726450932357368</v>
      </c>
      <c r="AR246" s="59">
        <v>2.4106780218736464E-2</v>
      </c>
      <c r="AS246" s="59">
        <v>0.10836352079672366</v>
      </c>
      <c r="AT246" s="59">
        <v>0.23726450932357368</v>
      </c>
      <c r="AV246" s="60" t="s">
        <v>42</v>
      </c>
      <c r="AW246" s="60" t="s">
        <v>42</v>
      </c>
      <c r="AX246" s="60" t="s">
        <v>42</v>
      </c>
      <c r="AY246" s="60" t="s">
        <v>42</v>
      </c>
      <c r="AZ246" s="60" t="s">
        <v>42</v>
      </c>
      <c r="BA246" s="60" t="s">
        <v>42</v>
      </c>
      <c r="BB246" s="2"/>
      <c r="BC246" s="61" t="s">
        <v>42</v>
      </c>
      <c r="BD246" s="61" t="s">
        <v>42</v>
      </c>
      <c r="BE246" s="61" t="s">
        <v>42</v>
      </c>
      <c r="BG246" s="60">
        <v>5.6381313960140789</v>
      </c>
      <c r="BH246" s="60">
        <v>5.9072596210548314</v>
      </c>
      <c r="BI246" s="60">
        <v>6.2401913873420414</v>
      </c>
      <c r="BJ246" s="60">
        <v>0.12990381056766581</v>
      </c>
      <c r="BK246" s="60">
        <v>0.3290896534380866</v>
      </c>
      <c r="BL246" s="60">
        <v>1.0392304845413272</v>
      </c>
      <c r="BM246" s="2"/>
      <c r="BN246" s="61">
        <v>547.50628713082062</v>
      </c>
      <c r="BO246" s="61">
        <v>3045.7874252357192</v>
      </c>
      <c r="BP246" s="61">
        <v>44102.460359830453</v>
      </c>
      <c r="BR246" s="60">
        <v>6.327199779925067</v>
      </c>
      <c r="BS246" s="60">
        <v>6.7313183250564039</v>
      </c>
      <c r="BT246" s="60">
        <v>7.1991624879578353</v>
      </c>
      <c r="BU246" s="60">
        <v>0.28718125079442303</v>
      </c>
      <c r="BV246" s="60">
        <v>0.84985254697383106</v>
      </c>
      <c r="BW246" s="60">
        <v>3.1347104237946097</v>
      </c>
      <c r="BX246" s="2"/>
      <c r="BY246" s="61">
        <v>1210.3843580026312</v>
      </c>
      <c r="BZ246" s="61">
        <v>7842.6073712393263</v>
      </c>
      <c r="CA246" s="61">
        <v>130034.38847292535</v>
      </c>
      <c r="CC246">
        <v>405</v>
      </c>
      <c r="CD246">
        <v>186</v>
      </c>
      <c r="CE246">
        <v>622</v>
      </c>
    </row>
    <row r="247" spans="1:83" x14ac:dyDescent="0.2">
      <c r="A247">
        <v>405</v>
      </c>
      <c r="B247">
        <v>187</v>
      </c>
      <c r="C247" s="29" t="s">
        <v>142</v>
      </c>
      <c r="D247" s="29" t="s">
        <v>512</v>
      </c>
      <c r="E247" s="29" t="s">
        <v>516</v>
      </c>
      <c r="F247" s="97" t="s">
        <v>528</v>
      </c>
      <c r="G247" s="94">
        <v>5.7</v>
      </c>
      <c r="H247" s="94">
        <v>356</v>
      </c>
      <c r="I247" s="93">
        <v>20.299999999999997</v>
      </c>
      <c r="J247" s="93">
        <v>356</v>
      </c>
      <c r="K247" s="93">
        <v>40.799999999999997</v>
      </c>
      <c r="L247" s="93">
        <v>160</v>
      </c>
      <c r="M247" s="93">
        <v>60</v>
      </c>
      <c r="N247" s="93">
        <v>60</v>
      </c>
      <c r="O247" s="93">
        <v>60</v>
      </c>
      <c r="P247" s="93" t="s">
        <v>13</v>
      </c>
      <c r="Q247" s="93">
        <v>0</v>
      </c>
      <c r="R247" s="93">
        <v>0</v>
      </c>
      <c r="S247" s="93" t="s">
        <v>308</v>
      </c>
      <c r="T247" s="95">
        <v>75</v>
      </c>
      <c r="U247" s="95">
        <v>75</v>
      </c>
      <c r="V247" s="95">
        <v>75</v>
      </c>
      <c r="W247" s="95" t="s">
        <v>308</v>
      </c>
      <c r="X247" s="95">
        <v>366.54698136821941</v>
      </c>
      <c r="Y247" s="95">
        <v>500.17268116198665</v>
      </c>
      <c r="Z247" s="95">
        <v>682.3895445171238</v>
      </c>
      <c r="AB247" s="100" t="s">
        <v>470</v>
      </c>
      <c r="AC247" s="93">
        <v>1.4285714285714287E-2</v>
      </c>
      <c r="AD247" s="93">
        <v>4.2857142857142858E-2</v>
      </c>
      <c r="AE247" s="93">
        <v>7.1428571428571425E-2</v>
      </c>
      <c r="AF247" s="93">
        <v>0.91</v>
      </c>
      <c r="AG247" s="93">
        <v>1.28</v>
      </c>
      <c r="AH247" s="93">
        <v>1.67</v>
      </c>
      <c r="AI247" s="93">
        <v>61</v>
      </c>
      <c r="AJ247" s="93">
        <v>76</v>
      </c>
      <c r="AK247" s="93">
        <v>92</v>
      </c>
      <c r="AL247" s="96">
        <v>2.3564002462952892E-2</v>
      </c>
      <c r="AM247" s="59">
        <v>0.1080474791876251</v>
      </c>
      <c r="AN247" s="59">
        <v>0.23726450932357368</v>
      </c>
      <c r="AO247" s="59">
        <v>2.3564002462952892E-2</v>
      </c>
      <c r="AP247" s="59">
        <v>0.1080474791876251</v>
      </c>
      <c r="AQ247" s="59">
        <v>0.23726450932357368</v>
      </c>
      <c r="AR247" s="59">
        <v>2.4106780218736464E-2</v>
      </c>
      <c r="AS247" s="59">
        <v>0.10836352079672366</v>
      </c>
      <c r="AT247" s="59">
        <v>0.23726450932357368</v>
      </c>
      <c r="AV247" s="60">
        <v>5.075376138124156</v>
      </c>
      <c r="AW247" s="60">
        <v>5.5083611658035778</v>
      </c>
      <c r="AX247" s="60">
        <v>5.9961948920765309</v>
      </c>
      <c r="AY247" s="60">
        <v>7.0077337844854218E-2</v>
      </c>
      <c r="AZ247" s="60">
        <v>0.21438694419462043</v>
      </c>
      <c r="BA247" s="60">
        <v>0.80918339737637879</v>
      </c>
      <c r="BB247" s="2"/>
      <c r="BC247" s="61">
        <v>295.35533167029632</v>
      </c>
      <c r="BD247" s="61">
        <v>1984.1920034278285</v>
      </c>
      <c r="BE247" s="61">
        <v>34339.81127139031</v>
      </c>
      <c r="BG247" s="60">
        <v>5.6381313960140789</v>
      </c>
      <c r="BH247" s="60">
        <v>5.9072596210548314</v>
      </c>
      <c r="BI247" s="60">
        <v>6.2401913873420414</v>
      </c>
      <c r="BJ247" s="60">
        <v>0.12990381056766581</v>
      </c>
      <c r="BK247" s="60">
        <v>0.3290896534380866</v>
      </c>
      <c r="BL247" s="60">
        <v>1.0392304845413272</v>
      </c>
      <c r="BN247" s="61">
        <v>547.50628713082062</v>
      </c>
      <c r="BO247" s="61">
        <v>3045.7874252357192</v>
      </c>
      <c r="BP247" s="61">
        <v>44102.460359830453</v>
      </c>
      <c r="BR247" s="60">
        <v>6.327199779925067</v>
      </c>
      <c r="BS247" s="60">
        <v>6.7313183250564039</v>
      </c>
      <c r="BT247" s="60">
        <v>7.1991624879578353</v>
      </c>
      <c r="BU247" s="60">
        <v>0.28718125079442303</v>
      </c>
      <c r="BV247" s="60">
        <v>0.84985254697383106</v>
      </c>
      <c r="BW247" s="60">
        <v>3.1347104237946097</v>
      </c>
      <c r="BX247" s="2"/>
      <c r="BY247" s="61">
        <v>1210.3843580026312</v>
      </c>
      <c r="BZ247" s="61">
        <v>7842.6073712393263</v>
      </c>
      <c r="CA247" s="61">
        <v>130034.38847292535</v>
      </c>
      <c r="CC247">
        <v>405</v>
      </c>
      <c r="CD247">
        <v>187</v>
      </c>
      <c r="CE247">
        <v>622</v>
      </c>
    </row>
    <row r="248" spans="1:83" x14ac:dyDescent="0.2">
      <c r="A248">
        <v>405</v>
      </c>
      <c r="B248">
        <v>188</v>
      </c>
      <c r="C248" s="29" t="s">
        <v>142</v>
      </c>
      <c r="D248" s="29" t="s">
        <v>512</v>
      </c>
      <c r="E248" s="29" t="s">
        <v>517</v>
      </c>
      <c r="F248" s="97" t="s">
        <v>528</v>
      </c>
      <c r="G248" s="94">
        <v>0.6</v>
      </c>
      <c r="H248" s="94">
        <v>58</v>
      </c>
      <c r="I248" s="93">
        <v>20.299999999999997</v>
      </c>
      <c r="J248" s="93">
        <v>356</v>
      </c>
      <c r="K248" s="93">
        <v>40.799999999999997</v>
      </c>
      <c r="L248" s="93">
        <v>160</v>
      </c>
      <c r="M248" s="93">
        <v>60</v>
      </c>
      <c r="N248" s="93">
        <v>60</v>
      </c>
      <c r="O248" s="93">
        <v>60</v>
      </c>
      <c r="P248" s="93" t="s">
        <v>13</v>
      </c>
      <c r="Q248" s="93">
        <v>0</v>
      </c>
      <c r="R248" s="93">
        <v>0</v>
      </c>
      <c r="S248" s="93" t="s">
        <v>308</v>
      </c>
      <c r="T248" s="95">
        <v>75</v>
      </c>
      <c r="U248" s="95">
        <v>75</v>
      </c>
      <c r="V248" s="95">
        <v>75</v>
      </c>
      <c r="W248" s="95" t="s">
        <v>308</v>
      </c>
      <c r="X248" s="95">
        <v>366.54698136821941</v>
      </c>
      <c r="Y248" s="95">
        <v>500.17268116198665</v>
      </c>
      <c r="Z248" s="95">
        <v>682.3895445171238</v>
      </c>
      <c r="AB248" s="100" t="s">
        <v>470</v>
      </c>
      <c r="AC248" s="93">
        <v>1.4285714285714287E-2</v>
      </c>
      <c r="AD248" s="93">
        <v>4.2857142857142858E-2</v>
      </c>
      <c r="AE248" s="93">
        <v>7.1428571428571425E-2</v>
      </c>
      <c r="AF248" s="93">
        <v>0.91</v>
      </c>
      <c r="AG248" s="93">
        <v>1.28</v>
      </c>
      <c r="AH248" s="93">
        <v>1.67</v>
      </c>
      <c r="AI248" s="93">
        <v>61</v>
      </c>
      <c r="AJ248" s="93">
        <v>76</v>
      </c>
      <c r="AK248" s="93">
        <v>92</v>
      </c>
      <c r="AL248" s="93" t="s">
        <v>42</v>
      </c>
      <c r="AM248" s="57" t="s">
        <v>42</v>
      </c>
      <c r="AN248" s="57" t="s">
        <v>42</v>
      </c>
      <c r="AO248" s="59">
        <v>2.3564002462952892E-2</v>
      </c>
      <c r="AP248" s="59">
        <v>0.1080474791876251</v>
      </c>
      <c r="AQ248" s="59">
        <v>0.23726450932357368</v>
      </c>
      <c r="AR248" s="59">
        <v>2.4106780218736464E-2</v>
      </c>
      <c r="AS248" s="59">
        <v>0.10836352079672366</v>
      </c>
      <c r="AT248" s="59">
        <v>0.23726450932357368</v>
      </c>
      <c r="AV248" s="60" t="s">
        <v>42</v>
      </c>
      <c r="AW248" s="60" t="s">
        <v>42</v>
      </c>
      <c r="AX248" s="60" t="s">
        <v>42</v>
      </c>
      <c r="AY248" s="60" t="s">
        <v>42</v>
      </c>
      <c r="AZ248" s="60" t="s">
        <v>42</v>
      </c>
      <c r="BA248" s="60" t="s">
        <v>42</v>
      </c>
      <c r="BB248" s="2"/>
      <c r="BC248" s="61" t="s">
        <v>42</v>
      </c>
      <c r="BD248" s="61" t="s">
        <v>42</v>
      </c>
      <c r="BE248" s="61" t="s">
        <v>42</v>
      </c>
      <c r="BG248" s="60">
        <v>5.6381313960140789</v>
      </c>
      <c r="BH248" s="60">
        <v>5.9072596210548314</v>
      </c>
      <c r="BI248" s="60">
        <v>6.2401913873420414</v>
      </c>
      <c r="BJ248" s="60">
        <v>0.12990381056766581</v>
      </c>
      <c r="BK248" s="60">
        <v>0.3290896534380866</v>
      </c>
      <c r="BL248" s="60">
        <v>1.0392304845413272</v>
      </c>
      <c r="BM248" s="2"/>
      <c r="BN248" s="61">
        <v>547.50628713082062</v>
      </c>
      <c r="BO248" s="61">
        <v>3045.7874252357192</v>
      </c>
      <c r="BP248" s="61">
        <v>44102.460359830453</v>
      </c>
      <c r="BR248" s="60">
        <v>6.327199779925067</v>
      </c>
      <c r="BS248" s="60">
        <v>6.7313183250564039</v>
      </c>
      <c r="BT248" s="60">
        <v>7.1991624879578353</v>
      </c>
      <c r="BU248" s="60">
        <v>0.28718125079442303</v>
      </c>
      <c r="BV248" s="60">
        <v>0.84985254697383106</v>
      </c>
      <c r="BW248" s="60">
        <v>3.1347104237946097</v>
      </c>
      <c r="BX248" s="2"/>
      <c r="BY248" s="61">
        <v>1210.3843580026312</v>
      </c>
      <c r="BZ248" s="61">
        <v>7842.6073712393263</v>
      </c>
      <c r="CA248" s="61">
        <v>130034.38847292535</v>
      </c>
      <c r="CC248">
        <v>405</v>
      </c>
      <c r="CD248">
        <v>188</v>
      </c>
      <c r="CE248">
        <v>622</v>
      </c>
    </row>
    <row r="249" spans="1:83" x14ac:dyDescent="0.2">
      <c r="A249">
        <v>405</v>
      </c>
      <c r="B249">
        <v>189</v>
      </c>
      <c r="C249" s="29" t="s">
        <v>142</v>
      </c>
      <c r="D249" s="29" t="s">
        <v>512</v>
      </c>
      <c r="E249" s="29" t="s">
        <v>518</v>
      </c>
      <c r="F249" s="97" t="s">
        <v>528</v>
      </c>
      <c r="G249" s="94">
        <v>6.5</v>
      </c>
      <c r="H249" s="94">
        <v>9</v>
      </c>
      <c r="I249" s="93">
        <v>20.299999999999997</v>
      </c>
      <c r="J249" s="93">
        <v>356</v>
      </c>
      <c r="K249" s="93">
        <v>40.799999999999997</v>
      </c>
      <c r="L249" s="93">
        <v>160</v>
      </c>
      <c r="M249" s="93">
        <v>60</v>
      </c>
      <c r="N249" s="93">
        <v>60</v>
      </c>
      <c r="O249" s="93">
        <v>60</v>
      </c>
      <c r="P249" s="93" t="s">
        <v>13</v>
      </c>
      <c r="Q249" s="93">
        <v>0</v>
      </c>
      <c r="R249" s="93">
        <v>0</v>
      </c>
      <c r="S249" s="93" t="s">
        <v>308</v>
      </c>
      <c r="T249" s="95">
        <v>75</v>
      </c>
      <c r="U249" s="95">
        <v>75</v>
      </c>
      <c r="V249" s="95">
        <v>75</v>
      </c>
      <c r="W249" s="95" t="s">
        <v>308</v>
      </c>
      <c r="X249" s="95">
        <v>366.54698136821941</v>
      </c>
      <c r="Y249" s="95">
        <v>500.17268116198665</v>
      </c>
      <c r="Z249" s="95">
        <v>682.3895445171238</v>
      </c>
      <c r="AB249" s="100" t="s">
        <v>470</v>
      </c>
      <c r="AC249" s="93">
        <v>1.4285714285714287E-2</v>
      </c>
      <c r="AD249" s="93">
        <v>4.2857142857142858E-2</v>
      </c>
      <c r="AE249" s="93">
        <v>7.1428571428571425E-2</v>
      </c>
      <c r="AF249" s="93">
        <v>0.91</v>
      </c>
      <c r="AG249" s="93">
        <v>1.28</v>
      </c>
      <c r="AH249" s="93">
        <v>1.67</v>
      </c>
      <c r="AI249" s="93">
        <v>61</v>
      </c>
      <c r="AJ249" s="93">
        <v>76</v>
      </c>
      <c r="AK249" s="93">
        <v>92</v>
      </c>
      <c r="AL249" s="96">
        <v>2.0488279593774767E-2</v>
      </c>
      <c r="AM249" s="59">
        <v>0.10099253249306772</v>
      </c>
      <c r="AN249" s="59">
        <v>0.23679315332014389</v>
      </c>
      <c r="AO249" s="59">
        <v>2.3564002462952892E-2</v>
      </c>
      <c r="AP249" s="59">
        <v>0.1080474791876251</v>
      </c>
      <c r="AQ249" s="59">
        <v>0.23726450932357368</v>
      </c>
      <c r="AR249" s="59">
        <v>2.4106780218736464E-2</v>
      </c>
      <c r="AS249" s="59">
        <v>0.10836352079672366</v>
      </c>
      <c r="AT249" s="59">
        <v>0.23726450932357368</v>
      </c>
      <c r="AV249" s="60">
        <v>5.1704403064080964</v>
      </c>
      <c r="AW249" s="60">
        <v>5.6034253340875182</v>
      </c>
      <c r="AX249" s="60">
        <v>6.0912590603604713</v>
      </c>
      <c r="AY249" s="60">
        <v>7.8182522639762705E-2</v>
      </c>
      <c r="AZ249" s="60">
        <v>0.23918306022517144</v>
      </c>
      <c r="BA249" s="60">
        <v>0.90277400983982015</v>
      </c>
      <c r="BB249" s="2"/>
      <c r="BC249" s="61">
        <v>330.17222644972378</v>
      </c>
      <c r="BD249" s="61">
        <v>2368.3242148778604</v>
      </c>
      <c r="BE249" s="61">
        <v>44062.948560801669</v>
      </c>
      <c r="BG249" s="60">
        <v>5.6381313960140789</v>
      </c>
      <c r="BH249" s="60">
        <v>5.9072596210548314</v>
      </c>
      <c r="BI249" s="60">
        <v>6.2401913873420414</v>
      </c>
      <c r="BJ249" s="60">
        <v>0.12990381056766581</v>
      </c>
      <c r="BK249" s="60">
        <v>0.3290896534380866</v>
      </c>
      <c r="BL249" s="60">
        <v>1.0392304845413272</v>
      </c>
      <c r="BN249" s="61">
        <v>547.50628713082062</v>
      </c>
      <c r="BO249" s="61">
        <v>3045.7874252357192</v>
      </c>
      <c r="BP249" s="61">
        <v>44102.460359830453</v>
      </c>
      <c r="BR249" s="60">
        <v>6.327199779925067</v>
      </c>
      <c r="BS249" s="60">
        <v>6.7313183250564039</v>
      </c>
      <c r="BT249" s="60">
        <v>7.1991624879578353</v>
      </c>
      <c r="BU249" s="60">
        <v>0.28718125079442303</v>
      </c>
      <c r="BV249" s="60">
        <v>0.84985254697383106</v>
      </c>
      <c r="BW249" s="60">
        <v>3.1347104237946097</v>
      </c>
      <c r="BX249" s="2"/>
      <c r="BY249" s="61">
        <v>1210.3843580026312</v>
      </c>
      <c r="BZ249" s="61">
        <v>7842.6073712393263</v>
      </c>
      <c r="CA249" s="61">
        <v>130034.38847292535</v>
      </c>
      <c r="CC249">
        <v>405</v>
      </c>
      <c r="CD249">
        <v>189</v>
      </c>
      <c r="CE249">
        <v>622</v>
      </c>
    </row>
    <row r="250" spans="1:83" x14ac:dyDescent="0.2">
      <c r="A250">
        <v>406</v>
      </c>
      <c r="B250">
        <v>190</v>
      </c>
      <c r="C250" s="29" t="s">
        <v>142</v>
      </c>
      <c r="D250" s="29" t="s">
        <v>8</v>
      </c>
      <c r="E250" s="29" t="s">
        <v>64</v>
      </c>
      <c r="F250" s="97" t="s">
        <v>42</v>
      </c>
      <c r="G250" s="94">
        <v>114.5</v>
      </c>
      <c r="H250" s="94">
        <v>142</v>
      </c>
      <c r="I250" s="93">
        <v>155</v>
      </c>
      <c r="J250" s="93">
        <v>151</v>
      </c>
      <c r="K250" s="93" t="s">
        <v>42</v>
      </c>
      <c r="L250" s="93" t="s">
        <v>42</v>
      </c>
      <c r="M250" s="93">
        <v>60</v>
      </c>
      <c r="N250" s="93">
        <v>65</v>
      </c>
      <c r="O250" s="93">
        <v>70</v>
      </c>
      <c r="P250" s="93" t="s">
        <v>9</v>
      </c>
      <c r="Q250" s="93">
        <v>0</v>
      </c>
      <c r="R250" s="93">
        <v>0</v>
      </c>
      <c r="S250" s="93" t="s">
        <v>211</v>
      </c>
      <c r="T250" s="95">
        <v>5367.0306607703533</v>
      </c>
      <c r="U250" s="95">
        <v>5985.8252103715186</v>
      </c>
      <c r="V250" s="95">
        <v>5985.8252103715186</v>
      </c>
      <c r="W250" s="95" t="s">
        <v>42</v>
      </c>
      <c r="X250" s="95" t="s">
        <v>42</v>
      </c>
      <c r="Y250" s="95" t="s">
        <v>42</v>
      </c>
      <c r="Z250" s="95" t="s">
        <v>42</v>
      </c>
      <c r="AB250" s="100" t="s">
        <v>471</v>
      </c>
      <c r="AC250" s="93">
        <v>0.5</v>
      </c>
      <c r="AD250" s="93">
        <v>0.7</v>
      </c>
      <c r="AE250" s="93">
        <v>0.9</v>
      </c>
      <c r="AF250" s="93">
        <v>0.91</v>
      </c>
      <c r="AG250" s="93">
        <v>1.28</v>
      </c>
      <c r="AH250" s="93">
        <v>1.67</v>
      </c>
      <c r="AI250" s="93">
        <v>61</v>
      </c>
      <c r="AJ250" s="93">
        <v>76</v>
      </c>
      <c r="AK250" s="93">
        <v>92</v>
      </c>
      <c r="AL250" s="96">
        <v>0.69710044323826981</v>
      </c>
      <c r="AM250" s="59">
        <v>1.9368229065075031</v>
      </c>
      <c r="AN250" s="59">
        <v>4.3403746968814261</v>
      </c>
      <c r="AO250" s="59">
        <v>0.78002224363892192</v>
      </c>
      <c r="AP250" s="59">
        <v>2.0478753965582781</v>
      </c>
      <c r="AQ250" s="59">
        <v>4.3944780134451182</v>
      </c>
      <c r="AR250" s="59" t="s">
        <v>42</v>
      </c>
      <c r="AS250" s="59" t="s">
        <v>42</v>
      </c>
      <c r="AT250" s="59" t="s">
        <v>42</v>
      </c>
      <c r="AV250" s="60">
        <v>7.2469271897965157</v>
      </c>
      <c r="AW250" s="60">
        <v>7.6799122174759376</v>
      </c>
      <c r="AX250" s="60">
        <v>8.1677459437488906</v>
      </c>
      <c r="AY250" s="60">
        <v>0.85379404419990712</v>
      </c>
      <c r="AZ250" s="60">
        <v>2.6120041333879747</v>
      </c>
      <c r="BA250" s="60">
        <v>9.8587644250263153</v>
      </c>
      <c r="BB250" s="2"/>
      <c r="BC250" s="61">
        <v>196.70975522305966</v>
      </c>
      <c r="BD250" s="61">
        <v>1348.6024584963034</v>
      </c>
      <c r="BE250" s="61">
        <v>14142.53070795506</v>
      </c>
      <c r="BG250" s="60">
        <v>7.4928042089538209</v>
      </c>
      <c r="BH250" s="60">
        <v>7.8093223886972991</v>
      </c>
      <c r="BI250" s="60">
        <v>8.1422541549845082</v>
      </c>
      <c r="BJ250" s="60">
        <v>1.0989003133466329</v>
      </c>
      <c r="BK250" s="60">
        <v>2.9399883679661825</v>
      </c>
      <c r="BL250" s="60">
        <v>9.2841737935774269</v>
      </c>
      <c r="BN250" s="61">
        <v>250.06390064633254</v>
      </c>
      <c r="BO250" s="61">
        <v>1435.628541124727</v>
      </c>
      <c r="BP250" s="61">
        <v>11902.447486965691</v>
      </c>
      <c r="BR250" s="60" t="s">
        <v>42</v>
      </c>
      <c r="BS250" s="60" t="s">
        <v>42</v>
      </c>
      <c r="BT250" s="60" t="s">
        <v>42</v>
      </c>
      <c r="BU250" s="60" t="s">
        <v>42</v>
      </c>
      <c r="BV250" s="60" t="s">
        <v>42</v>
      </c>
      <c r="BW250" s="60" t="s">
        <v>42</v>
      </c>
      <c r="BY250" s="60" t="s">
        <v>42</v>
      </c>
      <c r="BZ250" s="60" t="s">
        <v>42</v>
      </c>
      <c r="CA250" s="60" t="s">
        <v>42</v>
      </c>
      <c r="CC250">
        <v>406</v>
      </c>
      <c r="CD250">
        <v>190</v>
      </c>
    </row>
    <row r="251" spans="1:83" x14ac:dyDescent="0.2">
      <c r="A251">
        <v>406</v>
      </c>
      <c r="B251">
        <v>191</v>
      </c>
      <c r="C251" s="29" t="s">
        <v>142</v>
      </c>
      <c r="D251" s="29" t="s">
        <v>8</v>
      </c>
      <c r="E251" s="29" t="s">
        <v>279</v>
      </c>
      <c r="F251" s="97" t="s">
        <v>42</v>
      </c>
      <c r="G251" s="94">
        <v>6.3</v>
      </c>
      <c r="H251" s="94">
        <v>202</v>
      </c>
      <c r="I251" s="93">
        <v>155</v>
      </c>
      <c r="J251" s="93">
        <v>151</v>
      </c>
      <c r="K251" s="93" t="s">
        <v>42</v>
      </c>
      <c r="L251" s="93" t="s">
        <v>42</v>
      </c>
      <c r="M251" s="93">
        <v>60</v>
      </c>
      <c r="N251" s="93">
        <v>65</v>
      </c>
      <c r="O251" s="93">
        <v>70</v>
      </c>
      <c r="P251" s="93" t="s">
        <v>9</v>
      </c>
      <c r="Q251" s="93">
        <v>0</v>
      </c>
      <c r="R251" s="93">
        <v>0</v>
      </c>
      <c r="S251" s="93" t="s">
        <v>211</v>
      </c>
      <c r="T251" s="95">
        <v>5367.0306607703533</v>
      </c>
      <c r="U251" s="95">
        <v>5985.8252103715186</v>
      </c>
      <c r="V251" s="95">
        <v>5985.8252103715186</v>
      </c>
      <c r="W251" s="95" t="s">
        <v>42</v>
      </c>
      <c r="X251" s="95" t="s">
        <v>42</v>
      </c>
      <c r="Y251" s="95" t="s">
        <v>42</v>
      </c>
      <c r="Z251" s="95" t="s">
        <v>42</v>
      </c>
      <c r="AB251" s="100" t="s">
        <v>471</v>
      </c>
      <c r="AC251" s="93">
        <v>0.5</v>
      </c>
      <c r="AD251" s="93">
        <v>0.7</v>
      </c>
      <c r="AE251" s="93">
        <v>0.9</v>
      </c>
      <c r="AF251" s="93">
        <v>0.91</v>
      </c>
      <c r="AG251" s="93">
        <v>1.28</v>
      </c>
      <c r="AH251" s="93">
        <v>1.67</v>
      </c>
      <c r="AI251" s="93">
        <v>61</v>
      </c>
      <c r="AJ251" s="93">
        <v>76</v>
      </c>
      <c r="AK251" s="93">
        <v>92</v>
      </c>
      <c r="AL251" s="93" t="s">
        <v>42</v>
      </c>
      <c r="AM251" s="57" t="s">
        <v>42</v>
      </c>
      <c r="AN251" s="57" t="s">
        <v>42</v>
      </c>
      <c r="AO251" s="59">
        <v>0.78002224363892192</v>
      </c>
      <c r="AP251" s="59">
        <v>2.0478753965582781</v>
      </c>
      <c r="AQ251" s="59">
        <v>4.3944780134451182</v>
      </c>
      <c r="AR251" s="59" t="s">
        <v>42</v>
      </c>
      <c r="AS251" s="59" t="s">
        <v>42</v>
      </c>
      <c r="AT251" s="59" t="s">
        <v>42</v>
      </c>
      <c r="AV251" s="60" t="s">
        <v>42</v>
      </c>
      <c r="AW251" s="60" t="s">
        <v>42</v>
      </c>
      <c r="AX251" s="60" t="s">
        <v>42</v>
      </c>
      <c r="AY251" s="60" t="s">
        <v>42</v>
      </c>
      <c r="AZ251" s="60" t="s">
        <v>42</v>
      </c>
      <c r="BA251" s="60" t="s">
        <v>42</v>
      </c>
      <c r="BB251" s="2"/>
      <c r="BC251" s="61" t="s">
        <v>42</v>
      </c>
      <c r="BD251" s="61" t="s">
        <v>42</v>
      </c>
      <c r="BE251" s="61" t="s">
        <v>42</v>
      </c>
      <c r="BG251" s="60">
        <v>7.4928042089538209</v>
      </c>
      <c r="BH251" s="60">
        <v>7.8093223886972991</v>
      </c>
      <c r="BI251" s="60">
        <v>8.1422541549845082</v>
      </c>
      <c r="BJ251" s="60">
        <v>1.0989003133466329</v>
      </c>
      <c r="BK251" s="60">
        <v>2.9399883679661825</v>
      </c>
      <c r="BL251" s="60">
        <v>9.2841737935774269</v>
      </c>
      <c r="BM251" s="2"/>
      <c r="BN251" s="61">
        <v>250.06390064633254</v>
      </c>
      <c r="BO251" s="61">
        <v>1435.628541124727</v>
      </c>
      <c r="BP251" s="61">
        <v>11902.447486965691</v>
      </c>
      <c r="BR251" s="60" t="s">
        <v>42</v>
      </c>
      <c r="BS251" s="60" t="s">
        <v>42</v>
      </c>
      <c r="BT251" s="60" t="s">
        <v>42</v>
      </c>
      <c r="BU251" s="60" t="s">
        <v>42</v>
      </c>
      <c r="BV251" s="60" t="s">
        <v>42</v>
      </c>
      <c r="BW251" s="60" t="s">
        <v>42</v>
      </c>
      <c r="BX251" s="2"/>
      <c r="BY251" s="60" t="s">
        <v>42</v>
      </c>
      <c r="BZ251" s="60" t="s">
        <v>42</v>
      </c>
      <c r="CA251" s="60" t="s">
        <v>42</v>
      </c>
      <c r="CC251">
        <v>406</v>
      </c>
      <c r="CD251">
        <v>191</v>
      </c>
    </row>
    <row r="252" spans="1:83" x14ac:dyDescent="0.2">
      <c r="A252">
        <v>406</v>
      </c>
      <c r="B252">
        <v>192</v>
      </c>
      <c r="C252" s="29" t="s">
        <v>142</v>
      </c>
      <c r="D252" s="29" t="s">
        <v>8</v>
      </c>
      <c r="E252" s="29" t="s">
        <v>65</v>
      </c>
      <c r="F252" s="97" t="s">
        <v>42</v>
      </c>
      <c r="G252" s="94">
        <v>34.200000000000003</v>
      </c>
      <c r="H252" s="94">
        <v>174</v>
      </c>
      <c r="I252" s="93">
        <v>155</v>
      </c>
      <c r="J252" s="93">
        <v>151</v>
      </c>
      <c r="K252" s="93" t="s">
        <v>42</v>
      </c>
      <c r="L252" s="93" t="s">
        <v>42</v>
      </c>
      <c r="M252" s="93">
        <v>60</v>
      </c>
      <c r="N252" s="93">
        <v>65</v>
      </c>
      <c r="O252" s="93">
        <v>70</v>
      </c>
      <c r="P252" s="93" t="s">
        <v>9</v>
      </c>
      <c r="Q252" s="93">
        <v>0</v>
      </c>
      <c r="R252" s="93">
        <v>0</v>
      </c>
      <c r="S252" s="93" t="s">
        <v>211</v>
      </c>
      <c r="T252" s="95">
        <v>5367.0306607703533</v>
      </c>
      <c r="U252" s="95">
        <v>5985.8252103715186</v>
      </c>
      <c r="V252" s="95">
        <v>5985.8252103715186</v>
      </c>
      <c r="W252" s="95" t="s">
        <v>42</v>
      </c>
      <c r="X252" s="95" t="s">
        <v>42</v>
      </c>
      <c r="Y252" s="95" t="s">
        <v>42</v>
      </c>
      <c r="Z252" s="95" t="s">
        <v>42</v>
      </c>
      <c r="AB252" s="100" t="s">
        <v>471</v>
      </c>
      <c r="AC252" s="93">
        <v>0.5</v>
      </c>
      <c r="AD252" s="93">
        <v>0.7</v>
      </c>
      <c r="AE252" s="93">
        <v>0.9</v>
      </c>
      <c r="AF252" s="93">
        <v>0.91</v>
      </c>
      <c r="AG252" s="93">
        <v>1.28</v>
      </c>
      <c r="AH252" s="93">
        <v>1.67</v>
      </c>
      <c r="AI252" s="93">
        <v>61</v>
      </c>
      <c r="AJ252" s="93">
        <v>76</v>
      </c>
      <c r="AK252" s="93">
        <v>92</v>
      </c>
      <c r="AL252" s="96">
        <v>0.8376594166417205</v>
      </c>
      <c r="AM252" s="59">
        <v>2.0994837893134966</v>
      </c>
      <c r="AN252" s="59">
        <v>4.3517112555015904</v>
      </c>
      <c r="AO252" s="59">
        <v>0.78002224363892192</v>
      </c>
      <c r="AP252" s="59">
        <v>2.0478753965582781</v>
      </c>
      <c r="AQ252" s="59">
        <v>4.3944780134451182</v>
      </c>
      <c r="AR252" s="59" t="s">
        <v>42</v>
      </c>
      <c r="AS252" s="59" t="s">
        <v>42</v>
      </c>
      <c r="AT252" s="59" t="s">
        <v>42</v>
      </c>
      <c r="AV252" s="60">
        <v>6.3722948887635624</v>
      </c>
      <c r="AW252" s="60">
        <v>6.8052799164429842</v>
      </c>
      <c r="AX252" s="60">
        <v>7.2931136427159373</v>
      </c>
      <c r="AY252" s="60">
        <v>0.31191550990710454</v>
      </c>
      <c r="AZ252" s="60">
        <v>0.95424020193143577</v>
      </c>
      <c r="BA252" s="60">
        <v>3.6016900721857326</v>
      </c>
      <c r="BB252" s="2"/>
      <c r="BC252" s="61">
        <v>71.67651794745565</v>
      </c>
      <c r="BD252" s="61">
        <v>454.51182180523512</v>
      </c>
      <c r="BE252" s="61">
        <v>4299.7070177105516</v>
      </c>
      <c r="BG252" s="60">
        <v>7.4928042089538209</v>
      </c>
      <c r="BH252" s="60">
        <v>7.8093223886972991</v>
      </c>
      <c r="BI252" s="60">
        <v>8.1422541549845082</v>
      </c>
      <c r="BJ252" s="60">
        <v>1.0989003133466329</v>
      </c>
      <c r="BK252" s="60">
        <v>2.9399883679661825</v>
      </c>
      <c r="BL252" s="60">
        <v>9.2841737935774269</v>
      </c>
      <c r="BN252" s="61">
        <v>250.06390064633254</v>
      </c>
      <c r="BO252" s="61">
        <v>1435.628541124727</v>
      </c>
      <c r="BP252" s="61">
        <v>11902.447486965691</v>
      </c>
      <c r="BR252" s="60" t="s">
        <v>42</v>
      </c>
      <c r="BS252" s="60" t="s">
        <v>42</v>
      </c>
      <c r="BT252" s="60" t="s">
        <v>42</v>
      </c>
      <c r="BU252" s="60" t="s">
        <v>42</v>
      </c>
      <c r="BV252" s="60" t="s">
        <v>42</v>
      </c>
      <c r="BW252" s="60" t="s">
        <v>42</v>
      </c>
      <c r="BY252" s="60" t="s">
        <v>42</v>
      </c>
      <c r="BZ252" s="60" t="s">
        <v>42</v>
      </c>
      <c r="CA252" s="60" t="s">
        <v>42</v>
      </c>
      <c r="CC252">
        <v>406</v>
      </c>
      <c r="CD252">
        <v>192</v>
      </c>
    </row>
    <row r="253" spans="1:83" x14ac:dyDescent="0.2">
      <c r="A253">
        <v>407</v>
      </c>
      <c r="B253">
        <v>193</v>
      </c>
      <c r="C253" s="29" t="s">
        <v>142</v>
      </c>
      <c r="D253" s="29" t="s">
        <v>5</v>
      </c>
      <c r="E253" s="29" t="s">
        <v>66</v>
      </c>
      <c r="F253" s="97" t="s">
        <v>42</v>
      </c>
      <c r="G253" s="94">
        <v>14.2</v>
      </c>
      <c r="H253" s="94">
        <v>152</v>
      </c>
      <c r="I253" s="93">
        <v>40</v>
      </c>
      <c r="J253" s="93">
        <v>157</v>
      </c>
      <c r="K253" s="93" t="s">
        <v>42</v>
      </c>
      <c r="L253" s="93" t="s">
        <v>42</v>
      </c>
      <c r="M253" s="93">
        <v>45</v>
      </c>
      <c r="N253" s="93">
        <v>45</v>
      </c>
      <c r="O253" s="93">
        <v>45</v>
      </c>
      <c r="P253" s="93" t="s">
        <v>9</v>
      </c>
      <c r="Q253" s="93">
        <v>0</v>
      </c>
      <c r="R253" s="93">
        <v>0</v>
      </c>
      <c r="S253" s="93" t="s">
        <v>211</v>
      </c>
      <c r="T253" s="95">
        <v>561.41140573686994</v>
      </c>
      <c r="U253" s="95">
        <v>818.72496669960219</v>
      </c>
      <c r="V253" s="95">
        <v>1169.6070952851458</v>
      </c>
      <c r="W253" s="95" t="s">
        <v>42</v>
      </c>
      <c r="X253" s="95" t="s">
        <v>42</v>
      </c>
      <c r="Y253" s="95" t="s">
        <v>42</v>
      </c>
      <c r="Z253" s="95" t="s">
        <v>42</v>
      </c>
      <c r="AB253" s="100" t="s">
        <v>470</v>
      </c>
      <c r="AC253" s="93">
        <v>1.4285714285714287E-2</v>
      </c>
      <c r="AD253" s="93">
        <v>4.2857142857142858E-2</v>
      </c>
      <c r="AE253" s="93">
        <v>7.1428571428571425E-2</v>
      </c>
      <c r="AF253" s="93">
        <v>0.91</v>
      </c>
      <c r="AG253" s="93">
        <v>1.28</v>
      </c>
      <c r="AH253" s="93">
        <v>1.67</v>
      </c>
      <c r="AI253" s="93">
        <v>61</v>
      </c>
      <c r="AJ253" s="93">
        <v>76</v>
      </c>
      <c r="AK253" s="93">
        <v>92</v>
      </c>
      <c r="AL253" s="96">
        <v>1.5921683328090661E-2</v>
      </c>
      <c r="AM253" s="59">
        <v>7.5275266319295986E-2</v>
      </c>
      <c r="AN253" s="59">
        <v>0.16866978180229089</v>
      </c>
      <c r="AO253" s="59">
        <v>1.66622659334505E-2</v>
      </c>
      <c r="AP253" s="59">
        <v>7.6624580388612779E-2</v>
      </c>
      <c r="AQ253" s="59">
        <v>0.16777134347759781</v>
      </c>
      <c r="AR253" s="59" t="s">
        <v>42</v>
      </c>
      <c r="AS253" s="59" t="s">
        <v>42</v>
      </c>
      <c r="AT253" s="59" t="s">
        <v>42</v>
      </c>
      <c r="AV253" s="60">
        <v>5.7360652859750987</v>
      </c>
      <c r="AW253" s="60">
        <v>6.1690503136545205</v>
      </c>
      <c r="AX253" s="60">
        <v>6.6568840399274736</v>
      </c>
      <c r="AY253" s="60">
        <v>0.14994160975402798</v>
      </c>
      <c r="AZ253" s="60">
        <v>0.45871496422932151</v>
      </c>
      <c r="BA253" s="60">
        <v>1.7313765750842796</v>
      </c>
      <c r="BB253" s="2"/>
      <c r="BC253" s="61">
        <v>888.96545754582496</v>
      </c>
      <c r="BD253" s="61">
        <v>6093.833826951668</v>
      </c>
      <c r="BE253" s="61">
        <v>108743.31183497464</v>
      </c>
      <c r="BG253" s="60">
        <v>6.512351364216606</v>
      </c>
      <c r="BH253" s="60">
        <v>6.9453363918960278</v>
      </c>
      <c r="BI253" s="60">
        <v>7.4331701181689809</v>
      </c>
      <c r="BJ253" s="60">
        <v>0.35541182632376722</v>
      </c>
      <c r="BK253" s="60">
        <v>1.0873080758985574</v>
      </c>
      <c r="BL253" s="60">
        <v>4.1039422720240708</v>
      </c>
      <c r="BN253" s="61">
        <v>2118.4298757864135</v>
      </c>
      <c r="BO253" s="61">
        <v>14190.068909795204</v>
      </c>
      <c r="BP253" s="61">
        <v>246301.5707716656</v>
      </c>
      <c r="BR253" s="60" t="s">
        <v>42</v>
      </c>
      <c r="BS253" s="60" t="s">
        <v>42</v>
      </c>
      <c r="BT253" s="60" t="s">
        <v>42</v>
      </c>
      <c r="BU253" s="60" t="s">
        <v>42</v>
      </c>
      <c r="BV253" s="60" t="s">
        <v>42</v>
      </c>
      <c r="BW253" s="60" t="s">
        <v>42</v>
      </c>
      <c r="BY253" s="60" t="s">
        <v>42</v>
      </c>
      <c r="BZ253" s="60" t="s">
        <v>42</v>
      </c>
      <c r="CA253" s="60" t="s">
        <v>42</v>
      </c>
      <c r="CC253">
        <v>407</v>
      </c>
      <c r="CD253">
        <v>193</v>
      </c>
    </row>
    <row r="254" spans="1:83" x14ac:dyDescent="0.2">
      <c r="A254">
        <v>407</v>
      </c>
      <c r="B254">
        <v>194</v>
      </c>
      <c r="C254" s="29" t="s">
        <v>142</v>
      </c>
      <c r="D254" s="29" t="s">
        <v>5</v>
      </c>
      <c r="E254" s="29" t="s">
        <v>67</v>
      </c>
      <c r="F254" s="97" t="s">
        <v>42</v>
      </c>
      <c r="G254" s="94">
        <v>4.8</v>
      </c>
      <c r="H254" s="94">
        <v>156</v>
      </c>
      <c r="I254" s="93">
        <v>40</v>
      </c>
      <c r="J254" s="93">
        <v>157</v>
      </c>
      <c r="K254" s="93" t="s">
        <v>42</v>
      </c>
      <c r="L254" s="93" t="s">
        <v>42</v>
      </c>
      <c r="M254" s="93">
        <v>45</v>
      </c>
      <c r="N254" s="93">
        <v>45</v>
      </c>
      <c r="O254" s="93">
        <v>45</v>
      </c>
      <c r="P254" s="93" t="s">
        <v>9</v>
      </c>
      <c r="Q254" s="93">
        <v>0</v>
      </c>
      <c r="R254" s="93">
        <v>0</v>
      </c>
      <c r="S254" s="93" t="s">
        <v>211</v>
      </c>
      <c r="T254" s="95">
        <v>561.41140573686994</v>
      </c>
      <c r="U254" s="95">
        <v>818.72496669960219</v>
      </c>
      <c r="V254" s="95">
        <v>1169.6070952851458</v>
      </c>
      <c r="W254" s="95" t="s">
        <v>42</v>
      </c>
      <c r="X254" s="95" t="s">
        <v>42</v>
      </c>
      <c r="Y254" s="95" t="s">
        <v>42</v>
      </c>
      <c r="Z254" s="95" t="s">
        <v>42</v>
      </c>
      <c r="AB254" s="100" t="s">
        <v>470</v>
      </c>
      <c r="AC254" s="93">
        <v>1.4285714285714287E-2</v>
      </c>
      <c r="AD254" s="93">
        <v>4.2857142857142858E-2</v>
      </c>
      <c r="AE254" s="93">
        <v>7.1428571428571425E-2</v>
      </c>
      <c r="AF254" s="93">
        <v>0.91</v>
      </c>
      <c r="AG254" s="93">
        <v>1.28</v>
      </c>
      <c r="AH254" s="93">
        <v>1.67</v>
      </c>
      <c r="AI254" s="93">
        <v>61</v>
      </c>
      <c r="AJ254" s="93">
        <v>76</v>
      </c>
      <c r="AK254" s="93">
        <v>92</v>
      </c>
      <c r="AL254" s="96">
        <v>1.6524127490734158E-2</v>
      </c>
      <c r="AM254" s="59">
        <v>7.640110522368207E-2</v>
      </c>
      <c r="AN254" s="59">
        <v>0.16805353772751525</v>
      </c>
      <c r="AO254" s="59">
        <v>1.66622659334505E-2</v>
      </c>
      <c r="AP254" s="59">
        <v>7.6624580388612779E-2</v>
      </c>
      <c r="AQ254" s="59">
        <v>0.16777134347759781</v>
      </c>
      <c r="AR254" s="59" t="s">
        <v>42</v>
      </c>
      <c r="AS254" s="59" t="s">
        <v>42</v>
      </c>
      <c r="AT254" s="59" t="s">
        <v>42</v>
      </c>
      <c r="AV254" s="60">
        <v>4.9509867742959814</v>
      </c>
      <c r="AW254" s="60">
        <v>5.3839718019754033</v>
      </c>
      <c r="AX254" s="60">
        <v>5.8718055282483563</v>
      </c>
      <c r="AY254" s="60">
        <v>6.0727151901725999E-2</v>
      </c>
      <c r="AZ254" s="60">
        <v>0.18578200779654133</v>
      </c>
      <c r="BA254" s="60">
        <v>0.70121674995161598</v>
      </c>
      <c r="BB254" s="2"/>
      <c r="BC254" s="61">
        <v>361.35598644873511</v>
      </c>
      <c r="BD254" s="61">
        <v>2431.6664955647061</v>
      </c>
      <c r="BE254" s="61">
        <v>42435.931963416559</v>
      </c>
      <c r="BG254" s="60">
        <v>6.512351364216606</v>
      </c>
      <c r="BH254" s="60">
        <v>6.9453363918960278</v>
      </c>
      <c r="BI254" s="60">
        <v>7.4331701181689809</v>
      </c>
      <c r="BJ254" s="60">
        <v>0.35541182632376722</v>
      </c>
      <c r="BK254" s="60">
        <v>1.0873080758985574</v>
      </c>
      <c r="BL254" s="60">
        <v>4.1039422720240708</v>
      </c>
      <c r="BN254" s="61">
        <v>2118.4298757864135</v>
      </c>
      <c r="BO254" s="61">
        <v>14190.068909795204</v>
      </c>
      <c r="BP254" s="61">
        <v>246301.5707716656</v>
      </c>
      <c r="BR254" s="60" t="s">
        <v>42</v>
      </c>
      <c r="BS254" s="60" t="s">
        <v>42</v>
      </c>
      <c r="BT254" s="60" t="s">
        <v>42</v>
      </c>
      <c r="BU254" s="60" t="s">
        <v>42</v>
      </c>
      <c r="BV254" s="60" t="s">
        <v>42</v>
      </c>
      <c r="BW254" s="60" t="s">
        <v>42</v>
      </c>
      <c r="BY254" s="60" t="s">
        <v>42</v>
      </c>
      <c r="BZ254" s="60" t="s">
        <v>42</v>
      </c>
      <c r="CA254" s="60" t="s">
        <v>42</v>
      </c>
      <c r="CC254">
        <v>407</v>
      </c>
      <c r="CD254">
        <v>194</v>
      </c>
    </row>
    <row r="255" spans="1:83" ht="15" customHeight="1" x14ac:dyDescent="0.2">
      <c r="A255">
        <v>407</v>
      </c>
      <c r="B255">
        <v>195</v>
      </c>
      <c r="C255" s="29" t="s">
        <v>142</v>
      </c>
      <c r="D255" s="29" t="s">
        <v>5</v>
      </c>
      <c r="E255" s="29" t="s">
        <v>68</v>
      </c>
      <c r="F255" s="97" t="s">
        <v>42</v>
      </c>
      <c r="G255" s="94">
        <v>21</v>
      </c>
      <c r="H255" s="94">
        <v>161</v>
      </c>
      <c r="I255" s="93">
        <v>40</v>
      </c>
      <c r="J255" s="93">
        <v>157</v>
      </c>
      <c r="K255" s="93" t="s">
        <v>42</v>
      </c>
      <c r="L255" s="93" t="s">
        <v>42</v>
      </c>
      <c r="M255" s="93">
        <v>45</v>
      </c>
      <c r="N255" s="93">
        <v>45</v>
      </c>
      <c r="O255" s="93">
        <v>45</v>
      </c>
      <c r="P255" s="93" t="s">
        <v>9</v>
      </c>
      <c r="Q255" s="93">
        <v>0</v>
      </c>
      <c r="R255" s="93">
        <v>0</v>
      </c>
      <c r="S255" s="93" t="s">
        <v>211</v>
      </c>
      <c r="T255" s="95">
        <v>561.41140573686994</v>
      </c>
      <c r="U255" s="95">
        <v>818.72496669960219</v>
      </c>
      <c r="V255" s="95">
        <v>1169.6070952851458</v>
      </c>
      <c r="W255" s="95" t="s">
        <v>42</v>
      </c>
      <c r="X255" s="95" t="s">
        <v>42</v>
      </c>
      <c r="Y255" s="95" t="s">
        <v>42</v>
      </c>
      <c r="Z255" s="95" t="s">
        <v>42</v>
      </c>
      <c r="AB255" s="100" t="s">
        <v>470</v>
      </c>
      <c r="AC255" s="93">
        <v>1.4285714285714287E-2</v>
      </c>
      <c r="AD255" s="93">
        <v>4.2857142857142858E-2</v>
      </c>
      <c r="AE255" s="93">
        <v>7.1428571428571425E-2</v>
      </c>
      <c r="AF255" s="93">
        <v>0.91</v>
      </c>
      <c r="AG255" s="93">
        <v>1.28</v>
      </c>
      <c r="AH255" s="93">
        <v>1.67</v>
      </c>
      <c r="AI255" s="93">
        <v>61</v>
      </c>
      <c r="AJ255" s="93">
        <v>76</v>
      </c>
      <c r="AK255" s="93">
        <v>92</v>
      </c>
      <c r="AL255" s="96">
        <v>1.7163667309339214E-2</v>
      </c>
      <c r="AM255" s="59">
        <v>7.640110522368207E-2</v>
      </c>
      <c r="AN255" s="59">
        <v>0.16805353772751525</v>
      </c>
      <c r="AO255" s="59">
        <v>1.66622659334505E-2</v>
      </c>
      <c r="AP255" s="59">
        <v>7.6624580388612779E-2</v>
      </c>
      <c r="AQ255" s="59">
        <v>0.16777134347759781</v>
      </c>
      <c r="AR255" s="59" t="s">
        <v>42</v>
      </c>
      <c r="AS255" s="59" t="s">
        <v>42</v>
      </c>
      <c r="AT255" s="59" t="s">
        <v>42</v>
      </c>
      <c r="AV255" s="60">
        <v>6.0192835365598709</v>
      </c>
      <c r="AW255" s="60">
        <v>6.4522685642392927</v>
      </c>
      <c r="AX255" s="60">
        <v>6.9401022905122458</v>
      </c>
      <c r="AY255" s="60">
        <v>0.20774534171548795</v>
      </c>
      <c r="AZ255" s="60">
        <v>0.63555338074705547</v>
      </c>
      <c r="BA255" s="60">
        <v>2.3988365792465558</v>
      </c>
      <c r="BB255" s="2"/>
      <c r="BC255" s="61">
        <v>1236.1854711581832</v>
      </c>
      <c r="BD255" s="61">
        <v>8318.6411883221408</v>
      </c>
      <c r="BE255" s="61">
        <v>139762.47243741923</v>
      </c>
      <c r="BG255" s="60">
        <v>6.512351364216606</v>
      </c>
      <c r="BH255" s="60">
        <v>6.9453363918960278</v>
      </c>
      <c r="BI255" s="60">
        <v>7.4331701181689809</v>
      </c>
      <c r="BJ255" s="60">
        <v>0.35541182632376722</v>
      </c>
      <c r="BK255" s="60">
        <v>1.0873080758985574</v>
      </c>
      <c r="BL255" s="60">
        <v>4.1039422720240708</v>
      </c>
      <c r="BN255" s="61">
        <v>2118.4298757864135</v>
      </c>
      <c r="BO255" s="61">
        <v>14190.068909795204</v>
      </c>
      <c r="BP255" s="61">
        <v>246301.5707716656</v>
      </c>
      <c r="BR255" s="60" t="s">
        <v>42</v>
      </c>
      <c r="BS255" s="60" t="s">
        <v>42</v>
      </c>
      <c r="BT255" s="60" t="s">
        <v>42</v>
      </c>
      <c r="BU255" s="60" t="s">
        <v>42</v>
      </c>
      <c r="BV255" s="60" t="s">
        <v>42</v>
      </c>
      <c r="BW255" s="60" t="s">
        <v>42</v>
      </c>
      <c r="BY255" s="60" t="s">
        <v>42</v>
      </c>
      <c r="BZ255" s="60" t="s">
        <v>42</v>
      </c>
      <c r="CA255" s="60" t="s">
        <v>42</v>
      </c>
      <c r="CC255">
        <v>407</v>
      </c>
      <c r="CD255">
        <v>195</v>
      </c>
    </row>
    <row r="256" spans="1:83" x14ac:dyDescent="0.2">
      <c r="A256">
        <v>408</v>
      </c>
      <c r="B256" t="s">
        <v>416</v>
      </c>
      <c r="C256" s="29" t="s">
        <v>142</v>
      </c>
      <c r="D256" s="29" t="s">
        <v>144</v>
      </c>
      <c r="E256" s="29" t="s">
        <v>42</v>
      </c>
      <c r="F256" s="97" t="s">
        <v>244</v>
      </c>
      <c r="G256" s="94" t="s">
        <v>42</v>
      </c>
      <c r="H256" s="94" t="s">
        <v>42</v>
      </c>
      <c r="I256" s="93">
        <v>21.7</v>
      </c>
      <c r="J256" s="93">
        <v>163</v>
      </c>
      <c r="K256" s="93">
        <v>69.599999999999994</v>
      </c>
      <c r="L256" s="93">
        <v>154</v>
      </c>
      <c r="M256" s="93">
        <v>40</v>
      </c>
      <c r="N256" s="93">
        <v>53</v>
      </c>
      <c r="O256" s="93">
        <v>65</v>
      </c>
      <c r="P256" s="93" t="s">
        <v>10</v>
      </c>
      <c r="Q256" s="93">
        <v>1.5</v>
      </c>
      <c r="R256" s="93">
        <v>0.5</v>
      </c>
      <c r="S256" s="93" t="s">
        <v>211</v>
      </c>
      <c r="T256" s="95">
        <v>202.58819535990952</v>
      </c>
      <c r="U256" s="95">
        <v>295.44111823320134</v>
      </c>
      <c r="V256" s="95">
        <v>422.05874033314478</v>
      </c>
      <c r="W256" s="95" t="s">
        <v>211</v>
      </c>
      <c r="X256" s="95">
        <v>1413.1772762228873</v>
      </c>
      <c r="Y256" s="95">
        <v>2060.8835278250435</v>
      </c>
      <c r="Z256" s="95">
        <v>2944.1193254643481</v>
      </c>
      <c r="AB256" s="100" t="s">
        <v>470</v>
      </c>
      <c r="AC256" s="93">
        <v>1.4285714285714287E-2</v>
      </c>
      <c r="AD256" s="93">
        <v>4.2857142857142858E-2</v>
      </c>
      <c r="AE256" s="93">
        <v>7.1428571428571425E-2</v>
      </c>
      <c r="AF256" s="93">
        <v>0.91</v>
      </c>
      <c r="AG256" s="93">
        <v>1.28</v>
      </c>
      <c r="AH256" s="93">
        <v>1.67</v>
      </c>
      <c r="AI256" s="93">
        <v>61</v>
      </c>
      <c r="AJ256" s="93">
        <v>76</v>
      </c>
      <c r="AK256" s="93">
        <v>92</v>
      </c>
      <c r="AL256" s="93" t="s">
        <v>42</v>
      </c>
      <c r="AM256" s="57" t="s">
        <v>42</v>
      </c>
      <c r="AN256" s="57" t="s">
        <v>42</v>
      </c>
      <c r="AO256" s="59">
        <v>1.604572893022348E-2</v>
      </c>
      <c r="AP256" s="59">
        <v>8.9160922550232086E-2</v>
      </c>
      <c r="AQ256" s="59">
        <v>0.28186722662992303</v>
      </c>
      <c r="AR256" s="59">
        <v>1.4983880909613622E-2</v>
      </c>
      <c r="AS256" s="59">
        <v>8.91609225502321E-2</v>
      </c>
      <c r="AT256" s="59">
        <v>0.28186722662992303</v>
      </c>
      <c r="AV256" s="60" t="s">
        <v>42</v>
      </c>
      <c r="AW256" s="60" t="s">
        <v>42</v>
      </c>
      <c r="AX256" s="60" t="s">
        <v>42</v>
      </c>
      <c r="AY256" s="60" t="s">
        <v>42</v>
      </c>
      <c r="AZ256" s="60" t="s">
        <v>42</v>
      </c>
      <c r="BA256" s="60" t="s">
        <v>42</v>
      </c>
      <c r="BB256" s="2"/>
      <c r="BC256" s="61" t="s">
        <v>42</v>
      </c>
      <c r="BD256" s="61" t="s">
        <v>42</v>
      </c>
      <c r="BE256" s="61" t="s">
        <v>42</v>
      </c>
      <c r="BG256" s="60">
        <v>6.0696842684175536</v>
      </c>
      <c r="BH256" s="60">
        <v>6.5026692960969754</v>
      </c>
      <c r="BI256" s="60">
        <v>6.9905030223699285</v>
      </c>
      <c r="BJ256" s="60">
        <v>0.21350022003730967</v>
      </c>
      <c r="BK256" s="60">
        <v>0.65315922616827704</v>
      </c>
      <c r="BL256" s="60">
        <v>2.4652881902117021</v>
      </c>
      <c r="BN256" s="61">
        <v>757.44960700104491</v>
      </c>
      <c r="BO256" s="61">
        <v>7325.6221165757433</v>
      </c>
      <c r="BP256" s="61">
        <v>153641.39584635038</v>
      </c>
      <c r="BR256" s="60">
        <v>6.9132667780209403</v>
      </c>
      <c r="BS256" s="60">
        <v>7.3462518057003621</v>
      </c>
      <c r="BT256" s="60">
        <v>7.8340855319733151</v>
      </c>
      <c r="BU256" s="60">
        <v>0.56388375322414652</v>
      </c>
      <c r="BV256" s="60">
        <v>1.7250842919055764</v>
      </c>
      <c r="BW256" s="60">
        <v>6.511168734312351</v>
      </c>
      <c r="BX256" s="2"/>
      <c r="BY256" s="61">
        <v>2000.529681886346</v>
      </c>
      <c r="BZ256" s="61">
        <v>19347.986119520989</v>
      </c>
      <c r="CA256" s="61">
        <v>434544.88016751397</v>
      </c>
      <c r="CC256">
        <v>408</v>
      </c>
      <c r="CD256" t="s">
        <v>416</v>
      </c>
      <c r="CE256">
        <v>623</v>
      </c>
    </row>
    <row r="257" spans="1:83" x14ac:dyDescent="0.2">
      <c r="A257">
        <v>409</v>
      </c>
      <c r="B257" t="s">
        <v>416</v>
      </c>
      <c r="C257" s="29" t="s">
        <v>142</v>
      </c>
      <c r="D257" s="29" t="s">
        <v>143</v>
      </c>
      <c r="E257" s="29" t="s">
        <v>42</v>
      </c>
      <c r="F257" s="97" t="s">
        <v>244</v>
      </c>
      <c r="G257" s="94" t="s">
        <v>42</v>
      </c>
      <c r="H257" s="94" t="s">
        <v>42</v>
      </c>
      <c r="I257" s="93">
        <v>22.7</v>
      </c>
      <c r="J257" s="93">
        <v>169</v>
      </c>
      <c r="K257" s="93">
        <v>69.599999999999994</v>
      </c>
      <c r="L257" s="93">
        <v>154</v>
      </c>
      <c r="M257" s="93">
        <v>40</v>
      </c>
      <c r="N257" s="93">
        <v>53</v>
      </c>
      <c r="O257" s="93">
        <v>65</v>
      </c>
      <c r="P257" s="93" t="s">
        <v>9</v>
      </c>
      <c r="Q257" s="93">
        <v>3</v>
      </c>
      <c r="R257" s="93">
        <v>0.5</v>
      </c>
      <c r="S257" s="93" t="s">
        <v>211</v>
      </c>
      <c r="T257" s="95">
        <v>218.38577251926446</v>
      </c>
      <c r="U257" s="95">
        <v>318.479251590594</v>
      </c>
      <c r="V257" s="95">
        <v>454.97035941513428</v>
      </c>
      <c r="W257" s="95" t="s">
        <v>211</v>
      </c>
      <c r="X257" s="95">
        <v>1413.1772762228873</v>
      </c>
      <c r="Y257" s="95">
        <v>2060.8835278250435</v>
      </c>
      <c r="Z257" s="95">
        <v>2944.1193254643481</v>
      </c>
      <c r="AB257" s="99" t="s">
        <v>470</v>
      </c>
      <c r="AC257" s="93">
        <v>1.4285714285714287E-2</v>
      </c>
      <c r="AD257" s="93">
        <v>4.2857142857142858E-2</v>
      </c>
      <c r="AE257" s="93">
        <v>7.1428571428571425E-2</v>
      </c>
      <c r="AF257" s="93">
        <v>0.91</v>
      </c>
      <c r="AG257" s="93">
        <v>1.28</v>
      </c>
      <c r="AH257" s="93">
        <v>1.67</v>
      </c>
      <c r="AI257" s="93">
        <v>61</v>
      </c>
      <c r="AJ257" s="93">
        <v>76</v>
      </c>
      <c r="AK257" s="93">
        <v>92</v>
      </c>
      <c r="AL257" s="93" t="s">
        <v>42</v>
      </c>
      <c r="AM257" s="57" t="s">
        <v>42</v>
      </c>
      <c r="AN257" s="57" t="s">
        <v>42</v>
      </c>
      <c r="AO257" s="59">
        <v>1.6139709416202536E-2</v>
      </c>
      <c r="AP257" s="59">
        <v>8.8816589455831485E-2</v>
      </c>
      <c r="AQ257" s="59">
        <v>0.28186722662992303</v>
      </c>
      <c r="AR257" s="59">
        <v>1.4983880909613622E-2</v>
      </c>
      <c r="AS257" s="59">
        <v>8.91609225502321E-2</v>
      </c>
      <c r="AT257" s="59">
        <v>0.28186722662992303</v>
      </c>
      <c r="AV257" s="60" t="s">
        <v>42</v>
      </c>
      <c r="AW257" s="60" t="s">
        <v>42</v>
      </c>
      <c r="AX257" s="60" t="s">
        <v>42</v>
      </c>
      <c r="AY257" s="60" t="s">
        <v>42</v>
      </c>
      <c r="AZ257" s="60" t="s">
        <v>42</v>
      </c>
      <c r="BA257" s="60" t="s">
        <v>42</v>
      </c>
      <c r="BB257" s="2"/>
      <c r="BC257" s="61" t="s">
        <v>42</v>
      </c>
      <c r="BD257" s="61" t="s">
        <v>42</v>
      </c>
      <c r="BE257" s="61" t="s">
        <v>42</v>
      </c>
      <c r="BG257" s="60">
        <v>6.1022944739918756</v>
      </c>
      <c r="BH257" s="60">
        <v>6.5352795016712975</v>
      </c>
      <c r="BI257" s="60">
        <v>7.0231132279442505</v>
      </c>
      <c r="BJ257" s="60">
        <v>0.22166821787715649</v>
      </c>
      <c r="BK257" s="60">
        <v>0.67814750555968073</v>
      </c>
      <c r="BL257" s="60">
        <v>2.5596041052432188</v>
      </c>
      <c r="BN257" s="61">
        <v>786.42778207129163</v>
      </c>
      <c r="BO257" s="61">
        <v>7635.369807764615</v>
      </c>
      <c r="BP257" s="61">
        <v>158590.47020224854</v>
      </c>
      <c r="BR257" s="60">
        <v>6.9132667780209403</v>
      </c>
      <c r="BS257" s="60">
        <v>7.3462518057003621</v>
      </c>
      <c r="BT257" s="60">
        <v>7.8340855319733151</v>
      </c>
      <c r="BU257" s="60">
        <v>0.56388375322414652</v>
      </c>
      <c r="BV257" s="60">
        <v>1.7250842919055764</v>
      </c>
      <c r="BW257" s="60">
        <v>6.511168734312351</v>
      </c>
      <c r="BX257" s="2"/>
      <c r="BY257" s="61">
        <v>2000.529681886346</v>
      </c>
      <c r="BZ257" s="61">
        <v>19347.986119520989</v>
      </c>
      <c r="CA257" s="61">
        <v>434544.88016751397</v>
      </c>
      <c r="CC257">
        <v>409</v>
      </c>
      <c r="CD257" t="s">
        <v>416</v>
      </c>
      <c r="CE257">
        <v>623</v>
      </c>
    </row>
    <row r="258" spans="1:83" x14ac:dyDescent="0.2">
      <c r="A258">
        <v>410</v>
      </c>
      <c r="B258" t="s">
        <v>416</v>
      </c>
      <c r="C258" s="29" t="s">
        <v>142</v>
      </c>
      <c r="D258" s="29" t="s">
        <v>176</v>
      </c>
      <c r="E258" s="29" t="s">
        <v>42</v>
      </c>
      <c r="F258" s="97" t="s">
        <v>244</v>
      </c>
      <c r="G258" s="94" t="s">
        <v>42</v>
      </c>
      <c r="H258" s="94" t="s">
        <v>42</v>
      </c>
      <c r="I258" s="93">
        <v>25.2</v>
      </c>
      <c r="J258" s="93">
        <v>155</v>
      </c>
      <c r="K258" s="93">
        <v>69.599999999999994</v>
      </c>
      <c r="L258" s="93">
        <v>154</v>
      </c>
      <c r="M258" s="93">
        <v>40</v>
      </c>
      <c r="N258" s="93">
        <v>53</v>
      </c>
      <c r="O258" s="93">
        <v>65</v>
      </c>
      <c r="P258" s="93" t="s">
        <v>10</v>
      </c>
      <c r="Q258" s="93">
        <v>3</v>
      </c>
      <c r="R258" s="93">
        <v>0.5</v>
      </c>
      <c r="S258" s="93" t="s">
        <v>211</v>
      </c>
      <c r="T258" s="95">
        <v>259.92545568155793</v>
      </c>
      <c r="U258" s="95">
        <v>379.0579562022719</v>
      </c>
      <c r="V258" s="95">
        <v>541.5113660032456</v>
      </c>
      <c r="W258" s="95" t="s">
        <v>211</v>
      </c>
      <c r="X258" s="95">
        <v>1413.1772762228873</v>
      </c>
      <c r="Y258" s="95">
        <v>2060.8835278250435</v>
      </c>
      <c r="Z258" s="95">
        <v>2944.1193254643481</v>
      </c>
      <c r="AB258" s="99" t="s">
        <v>470</v>
      </c>
      <c r="AC258" s="93">
        <v>1.4285714285714287E-2</v>
      </c>
      <c r="AD258" s="93">
        <v>4.2857142857142858E-2</v>
      </c>
      <c r="AE258" s="93">
        <v>7.1428571428571425E-2</v>
      </c>
      <c r="AF258" s="93">
        <v>0.91</v>
      </c>
      <c r="AG258" s="93">
        <v>1.28</v>
      </c>
      <c r="AH258" s="93">
        <v>1.67</v>
      </c>
      <c r="AI258" s="93">
        <v>61</v>
      </c>
      <c r="AJ258" s="93">
        <v>76</v>
      </c>
      <c r="AK258" s="93">
        <v>92</v>
      </c>
      <c r="AL258" s="93" t="s">
        <v>42</v>
      </c>
      <c r="AM258" s="57" t="s">
        <v>42</v>
      </c>
      <c r="AN258" s="57" t="s">
        <v>42</v>
      </c>
      <c r="AO258" s="59">
        <v>1.5120643349735464E-2</v>
      </c>
      <c r="AP258" s="59">
        <v>8.9478096363902651E-2</v>
      </c>
      <c r="AQ258" s="59">
        <v>0.28156648932034001</v>
      </c>
      <c r="AR258" s="59">
        <v>1.4983880909613622E-2</v>
      </c>
      <c r="AS258" s="59">
        <v>8.91609225502321E-2</v>
      </c>
      <c r="AT258" s="59">
        <v>0.28186722662992303</v>
      </c>
      <c r="AV258" s="60" t="s">
        <v>42</v>
      </c>
      <c r="AW258" s="60" t="s">
        <v>42</v>
      </c>
      <c r="AX258" s="60" t="s">
        <v>42</v>
      </c>
      <c r="AY258" s="60" t="s">
        <v>42</v>
      </c>
      <c r="AZ258" s="60" t="s">
        <v>42</v>
      </c>
      <c r="BA258" s="60" t="s">
        <v>42</v>
      </c>
      <c r="BB258" s="2"/>
      <c r="BC258" s="60" t="s">
        <v>42</v>
      </c>
      <c r="BD258" s="60" t="s">
        <v>42</v>
      </c>
      <c r="BE258" s="60" t="s">
        <v>42</v>
      </c>
      <c r="BG258" s="60">
        <v>6.1779189466392452</v>
      </c>
      <c r="BH258" s="60">
        <v>6.6109039743186671</v>
      </c>
      <c r="BI258" s="60">
        <v>7.0987377005916201</v>
      </c>
      <c r="BJ258" s="60">
        <v>0.24183305714552478</v>
      </c>
      <c r="BK258" s="60">
        <v>0.73983760971991763</v>
      </c>
      <c r="BL258" s="60">
        <v>2.7924476128383784</v>
      </c>
      <c r="BN258" s="61">
        <v>858.88437125197004</v>
      </c>
      <c r="BO258" s="61">
        <v>8268.3655529621174</v>
      </c>
      <c r="BP258" s="61">
        <v>184677.83071460595</v>
      </c>
      <c r="BR258" s="60">
        <v>6.9132667780209403</v>
      </c>
      <c r="BS258" s="60">
        <v>7.3462518057003621</v>
      </c>
      <c r="BT258" s="60">
        <v>7.8340855319733151</v>
      </c>
      <c r="BU258" s="60">
        <v>0.56388375322414652</v>
      </c>
      <c r="BV258" s="60">
        <v>1.7250842919055764</v>
      </c>
      <c r="BW258" s="60">
        <v>6.511168734312351</v>
      </c>
      <c r="BX258" s="2"/>
      <c r="BY258" s="61">
        <v>2000.529681886346</v>
      </c>
      <c r="BZ258" s="61">
        <v>19347.986119520989</v>
      </c>
      <c r="CA258" s="61">
        <v>434544.88016751397</v>
      </c>
      <c r="CC258">
        <v>410</v>
      </c>
      <c r="CD258" t="s">
        <v>416</v>
      </c>
      <c r="CE258">
        <v>623</v>
      </c>
    </row>
    <row r="259" spans="1:83" x14ac:dyDescent="0.2">
      <c r="A259">
        <v>411</v>
      </c>
      <c r="B259">
        <v>196</v>
      </c>
      <c r="C259" s="29" t="s">
        <v>142</v>
      </c>
      <c r="D259" s="29" t="s">
        <v>332</v>
      </c>
      <c r="E259" s="65" t="s">
        <v>335</v>
      </c>
      <c r="F259" s="98" t="s">
        <v>420</v>
      </c>
      <c r="G259" s="94">
        <v>8.8000000000000007</v>
      </c>
      <c r="H259" s="94">
        <v>139</v>
      </c>
      <c r="I259" s="93">
        <v>45.099999999999994</v>
      </c>
      <c r="J259" s="93">
        <v>166</v>
      </c>
      <c r="K259" s="93">
        <v>93.899999999999991</v>
      </c>
      <c r="L259" s="93">
        <v>150</v>
      </c>
      <c r="M259" s="93">
        <v>40</v>
      </c>
      <c r="N259" s="93">
        <v>53</v>
      </c>
      <c r="O259" s="93">
        <v>65</v>
      </c>
      <c r="P259" s="93" t="s">
        <v>9</v>
      </c>
      <c r="Q259" s="93">
        <v>2</v>
      </c>
      <c r="R259" s="93">
        <v>0.5</v>
      </c>
      <c r="S259" s="93" t="s">
        <v>211</v>
      </c>
      <c r="T259" s="95">
        <v>685.71263072268744</v>
      </c>
      <c r="U259" s="95">
        <v>999.9975864705857</v>
      </c>
      <c r="V259" s="95">
        <v>1428.5679806722653</v>
      </c>
      <c r="W259" s="95" t="s">
        <v>211</v>
      </c>
      <c r="X259" s="95">
        <v>2327.8620118112635</v>
      </c>
      <c r="Y259" s="95">
        <v>3394.7987672247596</v>
      </c>
      <c r="Z259" s="95">
        <v>4056.3560713800007</v>
      </c>
      <c r="AB259" s="99" t="s">
        <v>470</v>
      </c>
      <c r="AC259" s="93">
        <v>1.4285714285714287E-2</v>
      </c>
      <c r="AD259" s="93">
        <v>4.2857142857142858E-2</v>
      </c>
      <c r="AE259" s="93">
        <v>7.1428571428571425E-2</v>
      </c>
      <c r="AF259" s="93">
        <v>0.91</v>
      </c>
      <c r="AG259" s="93">
        <v>1.28</v>
      </c>
      <c r="AH259" s="93">
        <v>1.67</v>
      </c>
      <c r="AI259" s="93">
        <v>61</v>
      </c>
      <c r="AJ259" s="93">
        <v>76</v>
      </c>
      <c r="AK259" s="93">
        <v>92</v>
      </c>
      <c r="AL259" s="96">
        <v>1.2411287891259523E-2</v>
      </c>
      <c r="AM259" s="59">
        <v>8.1217766761695787E-2</v>
      </c>
      <c r="AN259" s="59">
        <v>0.2760861178828542</v>
      </c>
      <c r="AO259" s="59">
        <v>1.6312894322839271E-2</v>
      </c>
      <c r="AP259" s="59">
        <v>8.8046873214655208E-2</v>
      </c>
      <c r="AQ259" s="59">
        <v>0.28225404599033371</v>
      </c>
      <c r="AR259" s="59">
        <v>1.4391626163550476E-2</v>
      </c>
      <c r="AS259" s="59">
        <v>8.7621724530903E-2</v>
      </c>
      <c r="AT259" s="59">
        <v>0.28221105733200125</v>
      </c>
      <c r="AV259" s="60">
        <v>5.3897224989202854</v>
      </c>
      <c r="AW259" s="60">
        <v>5.8227075265997073</v>
      </c>
      <c r="AX259" s="60">
        <v>6.3105412528726603</v>
      </c>
      <c r="AY259" s="60">
        <v>0.10063539962771492</v>
      </c>
      <c r="AZ259" s="60">
        <v>0.30787293677958244</v>
      </c>
      <c r="BA259" s="60">
        <v>1.1620375013013355</v>
      </c>
      <c r="BB259" s="2"/>
      <c r="BC259" s="61">
        <v>364.50727910345501</v>
      </c>
      <c r="BD259" s="61">
        <v>3790.7092136985793</v>
      </c>
      <c r="BE259" s="61">
        <v>93627.471337578463</v>
      </c>
      <c r="BG259" s="60">
        <v>6.5992122817999386</v>
      </c>
      <c r="BH259" s="60">
        <v>7.0321973094793604</v>
      </c>
      <c r="BI259" s="60">
        <v>7.5200310357523135</v>
      </c>
      <c r="BJ259" s="60">
        <v>0.3927917284167336</v>
      </c>
      <c r="BK259" s="60">
        <v>1.2016640607355815</v>
      </c>
      <c r="BL259" s="60">
        <v>4.5355682027371911</v>
      </c>
      <c r="BN259" s="61">
        <v>1391.6247933260288</v>
      </c>
      <c r="BO259" s="61">
        <v>13648.00380594966</v>
      </c>
      <c r="BP259" s="61">
        <v>278035.77421494463</v>
      </c>
      <c r="BR259" s="60">
        <v>7.1300273657801867</v>
      </c>
      <c r="BS259" s="60">
        <v>7.5630123934596112</v>
      </c>
      <c r="BT259" s="60">
        <v>7.9732661947943768</v>
      </c>
      <c r="BU259" s="60">
        <v>0.72371883536186454</v>
      </c>
      <c r="BV259" s="60">
        <v>2.2140662636589177</v>
      </c>
      <c r="BW259" s="60">
        <v>7.6427434490418449</v>
      </c>
      <c r="BX259" s="2"/>
      <c r="BY259" s="61">
        <v>2564.4595297003575</v>
      </c>
      <c r="BZ259" s="61">
        <v>25268.462536115076</v>
      </c>
      <c r="CA259" s="61">
        <v>531054.88998863392</v>
      </c>
      <c r="CC259">
        <v>411</v>
      </c>
      <c r="CD259">
        <v>196</v>
      </c>
      <c r="CE259">
        <v>624</v>
      </c>
    </row>
    <row r="260" spans="1:83" x14ac:dyDescent="0.2">
      <c r="A260">
        <v>411</v>
      </c>
      <c r="B260">
        <v>197</v>
      </c>
      <c r="C260" s="29" t="s">
        <v>142</v>
      </c>
      <c r="D260" s="29" t="s">
        <v>332</v>
      </c>
      <c r="E260" s="65" t="s">
        <v>336</v>
      </c>
      <c r="F260" s="98" t="s">
        <v>420</v>
      </c>
      <c r="G260" s="94">
        <v>36.299999999999997</v>
      </c>
      <c r="H260" s="94">
        <v>172</v>
      </c>
      <c r="I260" s="93">
        <v>45.099999999999994</v>
      </c>
      <c r="J260" s="93">
        <v>166</v>
      </c>
      <c r="K260" s="93">
        <v>93.899999999999991</v>
      </c>
      <c r="L260" s="93">
        <v>150</v>
      </c>
      <c r="M260" s="93">
        <v>40</v>
      </c>
      <c r="N260" s="93">
        <v>53</v>
      </c>
      <c r="O260" s="93">
        <v>65</v>
      </c>
      <c r="P260" s="93" t="s">
        <v>9</v>
      </c>
      <c r="Q260" s="93">
        <v>2</v>
      </c>
      <c r="R260" s="93">
        <v>0.5</v>
      </c>
      <c r="S260" s="93" t="s">
        <v>211</v>
      </c>
      <c r="T260" s="95">
        <v>685.71263072268744</v>
      </c>
      <c r="U260" s="95">
        <v>999.9975864705857</v>
      </c>
      <c r="V260" s="95">
        <v>1428.5679806722653</v>
      </c>
      <c r="W260" s="95" t="s">
        <v>211</v>
      </c>
      <c r="X260" s="95">
        <v>2327.8620118112635</v>
      </c>
      <c r="Y260" s="95">
        <v>3394.7987672247596</v>
      </c>
      <c r="Z260" s="95">
        <v>4056.3560713800007</v>
      </c>
      <c r="AB260" s="99" t="s">
        <v>470</v>
      </c>
      <c r="AC260" s="93">
        <v>1.4285714285714287E-2</v>
      </c>
      <c r="AD260" s="93">
        <v>4.2857142857142858E-2</v>
      </c>
      <c r="AE260" s="93">
        <v>7.1428571428571425E-2</v>
      </c>
      <c r="AF260" s="93">
        <v>0.91</v>
      </c>
      <c r="AG260" s="93">
        <v>1.28</v>
      </c>
      <c r="AH260" s="93">
        <v>1.67</v>
      </c>
      <c r="AI260" s="93">
        <v>61</v>
      </c>
      <c r="AJ260" s="93">
        <v>76</v>
      </c>
      <c r="AK260" s="93">
        <v>92</v>
      </c>
      <c r="AL260" s="96">
        <v>1.5843135021056002E-2</v>
      </c>
      <c r="AM260" s="59">
        <v>8.9768014282626984E-2</v>
      </c>
      <c r="AN260" s="59">
        <v>0.28070782879367046</v>
      </c>
      <c r="AO260" s="59">
        <v>1.6312894322839271E-2</v>
      </c>
      <c r="AP260" s="59">
        <v>8.8046873214655208E-2</v>
      </c>
      <c r="AQ260" s="59">
        <v>0.28225404599033371</v>
      </c>
      <c r="AR260" s="59">
        <v>1.4391626163550476E-2</v>
      </c>
      <c r="AS260" s="59">
        <v>8.7621724530903E-2</v>
      </c>
      <c r="AT260" s="59">
        <v>0.28221105733200125</v>
      </c>
      <c r="AV260" s="60">
        <v>6.4154290870635249</v>
      </c>
      <c r="AW260" s="60">
        <v>6.8484141147429467</v>
      </c>
      <c r="AX260" s="60">
        <v>7.3362478410158998</v>
      </c>
      <c r="AY260" s="60">
        <v>0.32779631694133671</v>
      </c>
      <c r="AZ260" s="60">
        <v>1.0028242063488257</v>
      </c>
      <c r="BA260" s="60">
        <v>3.7850658365089807</v>
      </c>
      <c r="BB260" s="2"/>
      <c r="BC260" s="61">
        <v>1167.7491089223518</v>
      </c>
      <c r="BD260" s="61">
        <v>11171.286502913152</v>
      </c>
      <c r="BE260" s="61">
        <v>238908.89217812728</v>
      </c>
      <c r="BG260" s="60">
        <v>6.5992122817999386</v>
      </c>
      <c r="BH260" s="60">
        <v>7.0321973094793604</v>
      </c>
      <c r="BI260" s="60">
        <v>7.5200310357523135</v>
      </c>
      <c r="BJ260" s="60">
        <v>0.3927917284167336</v>
      </c>
      <c r="BK260" s="60">
        <v>1.2016640607355815</v>
      </c>
      <c r="BL260" s="60">
        <v>4.5355682027371911</v>
      </c>
      <c r="BN260" s="61">
        <v>1391.6247933260288</v>
      </c>
      <c r="BO260" s="61">
        <v>13648.00380594966</v>
      </c>
      <c r="BP260" s="61">
        <v>278035.77421494463</v>
      </c>
      <c r="BR260" s="60">
        <v>7.1300273657801867</v>
      </c>
      <c r="BS260" s="60">
        <v>7.5630123934596112</v>
      </c>
      <c r="BT260" s="60">
        <v>7.9732661947943768</v>
      </c>
      <c r="BU260" s="60">
        <v>0.72371883536186454</v>
      </c>
      <c r="BV260" s="60">
        <v>2.2140662636589177</v>
      </c>
      <c r="BW260" s="60">
        <v>7.6427434490418449</v>
      </c>
      <c r="BX260" s="2"/>
      <c r="BY260" s="61">
        <v>2564.4595297003575</v>
      </c>
      <c r="BZ260" s="61">
        <v>25268.462536115076</v>
      </c>
      <c r="CA260" s="61">
        <v>531054.88998863392</v>
      </c>
      <c r="CC260">
        <v>411</v>
      </c>
      <c r="CD260">
        <v>197</v>
      </c>
      <c r="CE260">
        <v>624</v>
      </c>
    </row>
    <row r="261" spans="1:83" x14ac:dyDescent="0.2">
      <c r="A261">
        <v>412</v>
      </c>
      <c r="B261" t="s">
        <v>416</v>
      </c>
      <c r="C261" s="29" t="s">
        <v>142</v>
      </c>
      <c r="D261" s="29" t="s">
        <v>340</v>
      </c>
      <c r="E261" s="65" t="s">
        <v>42</v>
      </c>
      <c r="F261" s="98" t="s">
        <v>420</v>
      </c>
      <c r="G261" s="94" t="s">
        <v>42</v>
      </c>
      <c r="H261" s="94" t="s">
        <v>42</v>
      </c>
      <c r="I261" s="93">
        <v>48.8</v>
      </c>
      <c r="J261" s="93">
        <v>137</v>
      </c>
      <c r="K261" s="93">
        <v>93.899999999999991</v>
      </c>
      <c r="L261" s="93">
        <v>150</v>
      </c>
      <c r="M261" s="93">
        <v>40</v>
      </c>
      <c r="N261" s="93">
        <v>53</v>
      </c>
      <c r="O261" s="93">
        <v>65</v>
      </c>
      <c r="P261" s="93" t="s">
        <v>9</v>
      </c>
      <c r="Q261" s="93">
        <v>1.5</v>
      </c>
      <c r="R261" s="93">
        <v>0.5</v>
      </c>
      <c r="S261" s="93" t="s">
        <v>211</v>
      </c>
      <c r="T261" s="95">
        <v>782.01355818366801</v>
      </c>
      <c r="U261" s="95">
        <v>1140.4364390178491</v>
      </c>
      <c r="V261" s="95">
        <v>1629.1949128826418</v>
      </c>
      <c r="W261" s="95" t="s">
        <v>211</v>
      </c>
      <c r="X261" s="95">
        <v>2327.8620118112635</v>
      </c>
      <c r="Y261" s="95">
        <v>3394.7987672247596</v>
      </c>
      <c r="Z261" s="95">
        <v>4056.3560713800007</v>
      </c>
      <c r="AB261" s="93" t="s">
        <v>470</v>
      </c>
      <c r="AC261" s="93">
        <v>1.4285714285714287E-2</v>
      </c>
      <c r="AD261" s="93">
        <v>4.2857142857142858E-2</v>
      </c>
      <c r="AE261" s="93">
        <v>7.1428571428571425E-2</v>
      </c>
      <c r="AF261" s="93">
        <v>0.91</v>
      </c>
      <c r="AG261" s="93">
        <v>1.28</v>
      </c>
      <c r="AH261" s="93">
        <v>1.67</v>
      </c>
      <c r="AI261" s="93">
        <v>61</v>
      </c>
      <c r="AJ261" s="93">
        <v>76</v>
      </c>
      <c r="AK261" s="93">
        <v>92</v>
      </c>
      <c r="AL261" s="93" t="s">
        <v>42</v>
      </c>
      <c r="AM261" s="57" t="s">
        <v>42</v>
      </c>
      <c r="AN261" s="57" t="s">
        <v>42</v>
      </c>
      <c r="AO261" s="59">
        <v>1.1999810504463649E-2</v>
      </c>
      <c r="AP261" s="59">
        <v>7.9724062003178636E-2</v>
      </c>
      <c r="AQ261" s="59">
        <v>0.27386989454852939</v>
      </c>
      <c r="AR261" s="59">
        <v>1.4391626163550476E-2</v>
      </c>
      <c r="AS261" s="59">
        <v>8.7621724530903E-2</v>
      </c>
      <c r="AT261" s="59">
        <v>0.28221105733200125</v>
      </c>
      <c r="AV261" s="60" t="s">
        <v>42</v>
      </c>
      <c r="AW261" s="60" t="s">
        <v>42</v>
      </c>
      <c r="AX261" s="60" t="s">
        <v>42</v>
      </c>
      <c r="AY261" s="60" t="s">
        <v>42</v>
      </c>
      <c r="AZ261" s="60" t="s">
        <v>42</v>
      </c>
      <c r="BA261" s="60" t="s">
        <v>42</v>
      </c>
      <c r="BB261" s="2"/>
      <c r="BC261" s="60" t="s">
        <v>42</v>
      </c>
      <c r="BD261" s="60" t="s">
        <v>42</v>
      </c>
      <c r="BE261" s="60" t="s">
        <v>42</v>
      </c>
      <c r="BG261" s="60">
        <v>6.6562844153411875</v>
      </c>
      <c r="BH261" s="60">
        <v>7.0892694430206094</v>
      </c>
      <c r="BI261" s="60">
        <v>7.5771031692935624</v>
      </c>
      <c r="BJ261" s="60">
        <v>0.41946757990496153</v>
      </c>
      <c r="BK261" s="60">
        <v>1.2832732436787466</v>
      </c>
      <c r="BL261" s="60">
        <v>4.8435944034890079</v>
      </c>
      <c r="BN261" s="61">
        <v>1531.630851928606</v>
      </c>
      <c r="BO261" s="61">
        <v>16096.435774027444</v>
      </c>
      <c r="BP261" s="61">
        <v>403639.2409436219</v>
      </c>
      <c r="BR261" s="60">
        <v>7.1300273657801867</v>
      </c>
      <c r="BS261" s="60">
        <v>7.5630123934596112</v>
      </c>
      <c r="BT261" s="60">
        <v>7.9732661947943768</v>
      </c>
      <c r="BU261" s="60">
        <v>0.72371883536186454</v>
      </c>
      <c r="BV261" s="60">
        <v>2.2140662636589177</v>
      </c>
      <c r="BW261" s="60">
        <v>7.6427434490418449</v>
      </c>
      <c r="BX261" s="2"/>
      <c r="BY261" s="61">
        <v>2564.4595297003575</v>
      </c>
      <c r="BZ261" s="61">
        <v>25268.462536115076</v>
      </c>
      <c r="CA261" s="61">
        <v>531054.88998863392</v>
      </c>
      <c r="CC261">
        <v>412</v>
      </c>
      <c r="CD261" t="s">
        <v>416</v>
      </c>
      <c r="CE261">
        <v>624</v>
      </c>
    </row>
    <row r="262" spans="1:83" x14ac:dyDescent="0.2">
      <c r="A262">
        <v>413</v>
      </c>
      <c r="B262">
        <v>198</v>
      </c>
      <c r="C262" s="29" t="s">
        <v>142</v>
      </c>
      <c r="D262" s="29" t="s">
        <v>333</v>
      </c>
      <c r="E262" s="65" t="s">
        <v>337</v>
      </c>
      <c r="F262" s="98" t="s">
        <v>479</v>
      </c>
      <c r="G262" s="94">
        <v>8.8000000000000007</v>
      </c>
      <c r="H262" s="94">
        <v>139</v>
      </c>
      <c r="I262" s="93">
        <v>45.099999999999994</v>
      </c>
      <c r="J262" s="93">
        <v>166</v>
      </c>
      <c r="K262" s="93">
        <v>91.6</v>
      </c>
      <c r="L262" s="93">
        <v>158</v>
      </c>
      <c r="M262" s="93">
        <v>40</v>
      </c>
      <c r="N262" s="93">
        <v>53</v>
      </c>
      <c r="O262" s="93">
        <v>65</v>
      </c>
      <c r="P262" s="93" t="s">
        <v>9</v>
      </c>
      <c r="Q262" s="93">
        <v>2</v>
      </c>
      <c r="R262" s="93">
        <v>0.5</v>
      </c>
      <c r="S262" s="93" t="s">
        <v>211</v>
      </c>
      <c r="T262" s="95">
        <v>685.71263072268744</v>
      </c>
      <c r="U262" s="95">
        <v>999.9975864705857</v>
      </c>
      <c r="V262" s="95">
        <v>1428.5679806722653</v>
      </c>
      <c r="W262" s="95" t="s">
        <v>211</v>
      </c>
      <c r="X262" s="95">
        <v>2233.6084065998539</v>
      </c>
      <c r="Y262" s="95">
        <v>3257.3455929581196</v>
      </c>
      <c r="Z262" s="95">
        <v>3956.9991069053044</v>
      </c>
      <c r="AB262" s="93" t="s">
        <v>470</v>
      </c>
      <c r="AC262" s="93">
        <v>1.4285714285714287E-2</v>
      </c>
      <c r="AD262" s="93">
        <v>4.2857142857142858E-2</v>
      </c>
      <c r="AE262" s="93">
        <v>7.1428571428571425E-2</v>
      </c>
      <c r="AF262" s="93">
        <v>0.91</v>
      </c>
      <c r="AG262" s="93">
        <v>1.28</v>
      </c>
      <c r="AH262" s="93">
        <v>1.67</v>
      </c>
      <c r="AI262" s="93">
        <v>61</v>
      </c>
      <c r="AJ262" s="93">
        <v>76</v>
      </c>
      <c r="AK262" s="93">
        <v>92</v>
      </c>
      <c r="AL262" s="96">
        <v>1.2411287891259523E-2</v>
      </c>
      <c r="AM262" s="59">
        <v>8.1217766761695787E-2</v>
      </c>
      <c r="AN262" s="59">
        <v>0.2760861178828542</v>
      </c>
      <c r="AO262" s="59">
        <v>1.6312894322839271E-2</v>
      </c>
      <c r="AP262" s="59">
        <v>8.8046873214655208E-2</v>
      </c>
      <c r="AQ262" s="59">
        <v>0.28225404599033371</v>
      </c>
      <c r="AR262" s="59">
        <v>1.5503135694059566E-2</v>
      </c>
      <c r="AS262" s="59">
        <v>9.0265737517321074E-2</v>
      </c>
      <c r="AT262" s="59">
        <v>0.28015016713289848</v>
      </c>
      <c r="AV262" s="60">
        <v>5.3897224989202854</v>
      </c>
      <c r="AW262" s="60">
        <v>5.8227075265997073</v>
      </c>
      <c r="AX262" s="60">
        <v>6.3105412528726603</v>
      </c>
      <c r="AY262" s="60">
        <v>0.10063539962771492</v>
      </c>
      <c r="AZ262" s="60">
        <v>0.30787293677958244</v>
      </c>
      <c r="BA262" s="60">
        <v>1.1620375013013355</v>
      </c>
      <c r="BB262" s="2"/>
      <c r="BC262" s="61">
        <v>364.50727910345501</v>
      </c>
      <c r="BD262" s="61">
        <v>3790.7092136985793</v>
      </c>
      <c r="BE262" s="61">
        <v>93627.471337578463</v>
      </c>
      <c r="BG262" s="60">
        <v>6.5992122817999386</v>
      </c>
      <c r="BH262" s="60">
        <v>7.0321973094793604</v>
      </c>
      <c r="BI262" s="60">
        <v>7.5200310357523135</v>
      </c>
      <c r="BJ262" s="60">
        <v>0.3927917284167336</v>
      </c>
      <c r="BK262" s="60">
        <v>1.2016640607355815</v>
      </c>
      <c r="BL262" s="60">
        <v>4.5355682027371911</v>
      </c>
      <c r="BN262" s="61">
        <v>1391.6247933260288</v>
      </c>
      <c r="BO262" s="61">
        <v>13648.00380594966</v>
      </c>
      <c r="BP262" s="61">
        <v>278035.77421494463</v>
      </c>
      <c r="BR262" s="60">
        <v>7.1120771681164214</v>
      </c>
      <c r="BS262" s="60">
        <v>7.5450621957958433</v>
      </c>
      <c r="BT262" s="60">
        <v>7.962496076196115</v>
      </c>
      <c r="BU262" s="60">
        <v>0.70891599748134271</v>
      </c>
      <c r="BV262" s="60">
        <v>2.1687800801905941</v>
      </c>
      <c r="BW262" s="60">
        <v>7.5485619252567817</v>
      </c>
      <c r="BX262" s="2"/>
      <c r="BY262" s="61">
        <v>2530.4857203424226</v>
      </c>
      <c r="BZ262" s="61">
        <v>24026.614525521683</v>
      </c>
      <c r="CA262" s="61">
        <v>486905.49281260645</v>
      </c>
      <c r="CC262">
        <v>413</v>
      </c>
      <c r="CD262">
        <v>198</v>
      </c>
      <c r="CE262">
        <v>625</v>
      </c>
    </row>
    <row r="263" spans="1:83" x14ac:dyDescent="0.2">
      <c r="A263">
        <v>413</v>
      </c>
      <c r="B263">
        <v>199</v>
      </c>
      <c r="C263" s="29" t="s">
        <v>142</v>
      </c>
      <c r="D263" s="29" t="s">
        <v>333</v>
      </c>
      <c r="E263" s="65" t="s">
        <v>338</v>
      </c>
      <c r="F263" s="98" t="s">
        <v>479</v>
      </c>
      <c r="G263" s="94">
        <v>36.299999999999997</v>
      </c>
      <c r="H263" s="94">
        <v>172</v>
      </c>
      <c r="I263" s="93">
        <v>45.099999999999994</v>
      </c>
      <c r="J263" s="93">
        <v>166</v>
      </c>
      <c r="K263" s="93">
        <v>91.6</v>
      </c>
      <c r="L263" s="93">
        <v>158</v>
      </c>
      <c r="M263" s="93">
        <v>40</v>
      </c>
      <c r="N263" s="93">
        <v>53</v>
      </c>
      <c r="O263" s="93">
        <v>65</v>
      </c>
      <c r="P263" s="93" t="s">
        <v>9</v>
      </c>
      <c r="Q263" s="93">
        <v>2</v>
      </c>
      <c r="R263" s="93">
        <v>0.5</v>
      </c>
      <c r="S263" s="93" t="s">
        <v>211</v>
      </c>
      <c r="T263" s="95">
        <v>685.71263072268744</v>
      </c>
      <c r="U263" s="95">
        <v>999.9975864705857</v>
      </c>
      <c r="V263" s="95">
        <v>1428.5679806722653</v>
      </c>
      <c r="W263" s="95" t="s">
        <v>211</v>
      </c>
      <c r="X263" s="95">
        <v>2233.6084065998539</v>
      </c>
      <c r="Y263" s="95">
        <v>3257.3455929581196</v>
      </c>
      <c r="Z263" s="95">
        <v>3956.9991069053044</v>
      </c>
      <c r="AB263" s="93" t="s">
        <v>470</v>
      </c>
      <c r="AC263" s="93">
        <v>1.4285714285714287E-2</v>
      </c>
      <c r="AD263" s="93">
        <v>4.2857142857142858E-2</v>
      </c>
      <c r="AE263" s="93">
        <v>7.1428571428571425E-2</v>
      </c>
      <c r="AF263" s="93">
        <v>0.91</v>
      </c>
      <c r="AG263" s="93">
        <v>1.28</v>
      </c>
      <c r="AH263" s="93">
        <v>1.67</v>
      </c>
      <c r="AI263" s="93">
        <v>61</v>
      </c>
      <c r="AJ263" s="93">
        <v>76</v>
      </c>
      <c r="AK263" s="93">
        <v>92</v>
      </c>
      <c r="AL263" s="96">
        <v>1.5843135021056002E-2</v>
      </c>
      <c r="AM263" s="59">
        <v>8.9768014282626984E-2</v>
      </c>
      <c r="AN263" s="59">
        <v>0.28070782879367046</v>
      </c>
      <c r="AO263" s="59">
        <v>1.6312894322839271E-2</v>
      </c>
      <c r="AP263" s="59">
        <v>8.8046873214655208E-2</v>
      </c>
      <c r="AQ263" s="59">
        <v>0.28225404599033371</v>
      </c>
      <c r="AR263" s="59">
        <v>1.5503135694059566E-2</v>
      </c>
      <c r="AS263" s="59">
        <v>9.0265737517321074E-2</v>
      </c>
      <c r="AT263" s="59">
        <v>0.28015016713289848</v>
      </c>
      <c r="AV263" s="60">
        <v>6.4154290870635249</v>
      </c>
      <c r="AW263" s="60">
        <v>6.8484141147429467</v>
      </c>
      <c r="AX263" s="60">
        <v>7.3362478410158998</v>
      </c>
      <c r="AY263" s="60">
        <v>0.32779631694133671</v>
      </c>
      <c r="AZ263" s="60">
        <v>1.0028242063488257</v>
      </c>
      <c r="BA263" s="60">
        <v>3.7850658365089807</v>
      </c>
      <c r="BB263" s="2"/>
      <c r="BC263" s="61">
        <v>1167.7491089223518</v>
      </c>
      <c r="BD263" s="61">
        <v>11171.286502913152</v>
      </c>
      <c r="BE263" s="61">
        <v>238908.89217812728</v>
      </c>
      <c r="BG263" s="60">
        <v>6.5992122817999386</v>
      </c>
      <c r="BH263" s="60">
        <v>7.0321973094793604</v>
      </c>
      <c r="BI263" s="60">
        <v>7.5200310357523135</v>
      </c>
      <c r="BJ263" s="60">
        <v>0.3927917284167336</v>
      </c>
      <c r="BK263" s="60">
        <v>1.2016640607355815</v>
      </c>
      <c r="BL263" s="60">
        <v>4.5355682027371911</v>
      </c>
      <c r="BN263" s="61">
        <v>1391.6247933260288</v>
      </c>
      <c r="BO263" s="61">
        <v>13648.00380594966</v>
      </c>
      <c r="BP263" s="61">
        <v>278035.77421494463</v>
      </c>
      <c r="BR263" s="60">
        <v>7.1120771681164214</v>
      </c>
      <c r="BS263" s="60">
        <v>7.5450621957958433</v>
      </c>
      <c r="BT263" s="60">
        <v>7.962496076196115</v>
      </c>
      <c r="BU263" s="60">
        <v>0.70891599748134271</v>
      </c>
      <c r="BV263" s="60">
        <v>2.1687800801905941</v>
      </c>
      <c r="BW263" s="60">
        <v>7.5485619252567817</v>
      </c>
      <c r="BX263" s="2"/>
      <c r="BY263" s="61">
        <v>2530.4857203424226</v>
      </c>
      <c r="BZ263" s="61">
        <v>24026.614525521683</v>
      </c>
      <c r="CA263" s="61">
        <v>486905.49281260645</v>
      </c>
      <c r="CC263">
        <v>413</v>
      </c>
      <c r="CD263">
        <v>199</v>
      </c>
      <c r="CE263">
        <v>625</v>
      </c>
    </row>
    <row r="264" spans="1:83" x14ac:dyDescent="0.2">
      <c r="A264">
        <v>414</v>
      </c>
      <c r="B264">
        <v>200</v>
      </c>
      <c r="C264" s="29" t="s">
        <v>142</v>
      </c>
      <c r="D264" s="29" t="s">
        <v>295</v>
      </c>
      <c r="E264" s="65" t="s">
        <v>543</v>
      </c>
      <c r="F264" s="98" t="s">
        <v>479</v>
      </c>
      <c r="G264" s="94">
        <v>25.8</v>
      </c>
      <c r="H264" s="94">
        <v>161</v>
      </c>
      <c r="I264" s="93">
        <v>46.5</v>
      </c>
      <c r="J264" s="93">
        <v>151</v>
      </c>
      <c r="K264" s="93">
        <v>91.6</v>
      </c>
      <c r="L264" s="93">
        <v>158</v>
      </c>
      <c r="M264" s="93">
        <v>40</v>
      </c>
      <c r="N264" s="93">
        <v>53</v>
      </c>
      <c r="O264" s="93">
        <v>65</v>
      </c>
      <c r="P264" s="93" t="s">
        <v>9</v>
      </c>
      <c r="Q264" s="93">
        <v>1.5</v>
      </c>
      <c r="R264" s="93">
        <v>0.5</v>
      </c>
      <c r="S264" s="93" t="s">
        <v>211</v>
      </c>
      <c r="T264" s="95">
        <v>721.55510034282315</v>
      </c>
      <c r="U264" s="95">
        <v>1052.267854666617</v>
      </c>
      <c r="V264" s="95">
        <v>1503.2397923808815</v>
      </c>
      <c r="W264" s="95" t="s">
        <v>211</v>
      </c>
      <c r="X264" s="95">
        <v>2233.6084065998539</v>
      </c>
      <c r="Y264" s="95">
        <v>3257.3455929581196</v>
      </c>
      <c r="Z264" s="95">
        <v>3956.9991069053044</v>
      </c>
      <c r="AB264" s="93" t="s">
        <v>470</v>
      </c>
      <c r="AC264" s="93">
        <v>1.4285714285714287E-2</v>
      </c>
      <c r="AD264" s="93">
        <v>4.2857142857142858E-2</v>
      </c>
      <c r="AE264" s="93">
        <v>7.1428571428571425E-2</v>
      </c>
      <c r="AF264" s="93">
        <v>0.91</v>
      </c>
      <c r="AG264" s="93">
        <v>1.28</v>
      </c>
      <c r="AH264" s="93">
        <v>1.67</v>
      </c>
      <c r="AI264" s="93">
        <v>61</v>
      </c>
      <c r="AJ264" s="93">
        <v>76</v>
      </c>
      <c r="AK264" s="93">
        <v>92</v>
      </c>
      <c r="AL264" s="96">
        <v>1.5843135021056002E-2</v>
      </c>
      <c r="AM264" s="59">
        <v>8.9768014282626984E-2</v>
      </c>
      <c r="AN264" s="59">
        <v>0.28117998413051415</v>
      </c>
      <c r="AO264" s="59">
        <v>1.4546381752679537E-2</v>
      </c>
      <c r="AP264" s="59">
        <v>8.8046873214655194E-2</v>
      </c>
      <c r="AQ264" s="59">
        <v>0.28225404599033371</v>
      </c>
      <c r="AR264" s="59">
        <v>1.5503135694059566E-2</v>
      </c>
      <c r="AS264" s="59">
        <v>9.0265737517321074E-2</v>
      </c>
      <c r="AT264" s="59">
        <v>0.28015016713289848</v>
      </c>
      <c r="AV264" s="60">
        <v>6.1682842219420548</v>
      </c>
      <c r="AW264" s="60">
        <v>6.6012692496214767</v>
      </c>
      <c r="AX264" s="60">
        <v>7.0891029758944297</v>
      </c>
      <c r="AY264" s="60">
        <v>0.24662189873381268</v>
      </c>
      <c r="AZ264" s="60">
        <v>0.75448806799814327</v>
      </c>
      <c r="BA264" s="60">
        <v>2.8477443924404735</v>
      </c>
      <c r="BB264" s="2"/>
      <c r="BC264" s="61">
        <v>877.09621115612276</v>
      </c>
      <c r="BD264" s="61">
        <v>8404.8652967046983</v>
      </c>
      <c r="BE264" s="61">
        <v>179746.26793596946</v>
      </c>
      <c r="BG264" s="60">
        <v>6.6213396334865919</v>
      </c>
      <c r="BH264" s="60">
        <v>7.0543246611660164</v>
      </c>
      <c r="BI264" s="60">
        <v>7.5421583874389695</v>
      </c>
      <c r="BJ264" s="60">
        <v>0.40292666525949233</v>
      </c>
      <c r="BK264" s="60">
        <v>1.2326697782206708</v>
      </c>
      <c r="BL264" s="60">
        <v>4.6525963730249327</v>
      </c>
      <c r="BM264" s="2"/>
      <c r="BN264" s="61">
        <v>1427.5319379240759</v>
      </c>
      <c r="BO264" s="61">
        <v>14000.153931820669</v>
      </c>
      <c r="BP264" s="61">
        <v>319845.61192805861</v>
      </c>
      <c r="BR264" s="60">
        <v>7.1120771681164214</v>
      </c>
      <c r="BS264" s="60">
        <v>7.5450621957958433</v>
      </c>
      <c r="BT264" s="60">
        <v>7.962496076196115</v>
      </c>
      <c r="BU264" s="60">
        <v>0.70891599748134271</v>
      </c>
      <c r="BV264" s="60">
        <v>2.1687800801905941</v>
      </c>
      <c r="BW264" s="60">
        <v>7.5485619252567817</v>
      </c>
      <c r="BX264" s="2"/>
      <c r="BY264" s="61">
        <v>2530.4857203424226</v>
      </c>
      <c r="BZ264" s="61">
        <v>24026.614525521683</v>
      </c>
      <c r="CA264" s="61">
        <v>486905.49281260645</v>
      </c>
      <c r="CC264">
        <v>414</v>
      </c>
      <c r="CD264">
        <v>200</v>
      </c>
      <c r="CE264">
        <v>625</v>
      </c>
    </row>
    <row r="265" spans="1:83" x14ac:dyDescent="0.2">
      <c r="A265">
        <v>414</v>
      </c>
      <c r="B265">
        <v>201</v>
      </c>
      <c r="C265" s="29" t="s">
        <v>142</v>
      </c>
      <c r="D265" s="29" t="s">
        <v>295</v>
      </c>
      <c r="E265" s="65" t="s">
        <v>544</v>
      </c>
      <c r="F265" s="98" t="s">
        <v>479</v>
      </c>
      <c r="G265" s="94">
        <v>20.7</v>
      </c>
      <c r="H265" s="94">
        <v>139</v>
      </c>
      <c r="I265" s="93">
        <v>46.5</v>
      </c>
      <c r="J265" s="93">
        <v>151</v>
      </c>
      <c r="K265" s="93">
        <v>91.6</v>
      </c>
      <c r="L265" s="93">
        <v>158</v>
      </c>
      <c r="M265" s="93">
        <v>40</v>
      </c>
      <c r="N265" s="93">
        <v>53</v>
      </c>
      <c r="O265" s="93">
        <v>65</v>
      </c>
      <c r="P265" s="93" t="s">
        <v>9</v>
      </c>
      <c r="Q265" s="93">
        <v>1.5</v>
      </c>
      <c r="R265" s="93">
        <v>0.5</v>
      </c>
      <c r="S265" s="93" t="s">
        <v>211</v>
      </c>
      <c r="T265" s="95">
        <v>721.55510034282315</v>
      </c>
      <c r="U265" s="95">
        <v>1052.267854666617</v>
      </c>
      <c r="V265" s="95">
        <v>1503.2397923808815</v>
      </c>
      <c r="W265" s="95" t="s">
        <v>211</v>
      </c>
      <c r="X265" s="95">
        <v>2233.6084065998539</v>
      </c>
      <c r="Y265" s="95">
        <v>3257.3455929581196</v>
      </c>
      <c r="Z265" s="95">
        <v>3956.9991069053044</v>
      </c>
      <c r="AB265" s="93" t="s">
        <v>470</v>
      </c>
      <c r="AC265" s="93">
        <v>1.4285714285714287E-2</v>
      </c>
      <c r="AD265" s="93">
        <v>4.2857142857142858E-2</v>
      </c>
      <c r="AE265" s="93">
        <v>7.1428571428571425E-2</v>
      </c>
      <c r="AF265" s="93">
        <v>0.91</v>
      </c>
      <c r="AG265" s="93">
        <v>1.28</v>
      </c>
      <c r="AH265" s="93">
        <v>1.67</v>
      </c>
      <c r="AI265" s="93">
        <v>61</v>
      </c>
      <c r="AJ265" s="93">
        <v>76</v>
      </c>
      <c r="AK265" s="93">
        <v>92</v>
      </c>
      <c r="AL265" s="96">
        <v>1.2411287891259523E-2</v>
      </c>
      <c r="AM265" s="59">
        <v>8.1217766761695787E-2</v>
      </c>
      <c r="AN265" s="59">
        <v>0.2760861178828542</v>
      </c>
      <c r="AO265" s="59">
        <v>1.4546381752679537E-2</v>
      </c>
      <c r="AP265" s="59">
        <v>8.8046873214655194E-2</v>
      </c>
      <c r="AQ265" s="59">
        <v>0.28225404599033371</v>
      </c>
      <c r="AR265" s="59">
        <v>1.5503135694059566E-2</v>
      </c>
      <c r="AS265" s="59">
        <v>9.0265737517321074E-2</v>
      </c>
      <c r="AT265" s="59">
        <v>0.28015016713289848</v>
      </c>
      <c r="AV265" s="60">
        <v>6.0088686210981992</v>
      </c>
      <c r="AW265" s="60">
        <v>6.441853648777621</v>
      </c>
      <c r="AX265" s="60">
        <v>6.9296873750505741</v>
      </c>
      <c r="AY265" s="60">
        <v>0.20526922216424093</v>
      </c>
      <c r="AZ265" s="60">
        <v>0.62797821136451326</v>
      </c>
      <c r="BA265" s="60">
        <v>2.3702448134573926</v>
      </c>
      <c r="BB265" s="2"/>
      <c r="BC265" s="61">
        <v>743.49707887644854</v>
      </c>
      <c r="BD265" s="61">
        <v>7732.030027458015</v>
      </c>
      <c r="BE265" s="61">
        <v>190974.92816411136</v>
      </c>
      <c r="BG265" s="60">
        <v>6.6213396334865919</v>
      </c>
      <c r="BH265" s="60">
        <v>7.0543246611660164</v>
      </c>
      <c r="BI265" s="60">
        <v>7.5421583874389695</v>
      </c>
      <c r="BJ265" s="60">
        <v>0.40292666525949233</v>
      </c>
      <c r="BK265" s="60">
        <v>1.2326697782206708</v>
      </c>
      <c r="BL265" s="60">
        <v>4.6525963730249327</v>
      </c>
      <c r="BM265" s="2"/>
      <c r="BN265" s="61">
        <v>1427.5319379240759</v>
      </c>
      <c r="BO265" s="61">
        <v>14000.153931820669</v>
      </c>
      <c r="BP265" s="61">
        <v>319845.61192805861</v>
      </c>
      <c r="BR265" s="60">
        <v>7.1120771681164214</v>
      </c>
      <c r="BS265" s="60">
        <v>7.5450621957958433</v>
      </c>
      <c r="BT265" s="60">
        <v>7.962496076196115</v>
      </c>
      <c r="BU265" s="60">
        <v>0.70891599748134271</v>
      </c>
      <c r="BV265" s="60">
        <v>2.1687800801905941</v>
      </c>
      <c r="BW265" s="60">
        <v>7.5485619252567817</v>
      </c>
      <c r="BX265" s="2"/>
      <c r="BY265" s="61">
        <v>2530.4857203424226</v>
      </c>
      <c r="BZ265" s="61">
        <v>24026.614525521683</v>
      </c>
      <c r="CA265" s="61">
        <v>486905.49281260645</v>
      </c>
      <c r="CC265">
        <v>414</v>
      </c>
      <c r="CD265">
        <v>201</v>
      </c>
      <c r="CE265">
        <v>625</v>
      </c>
    </row>
    <row r="266" spans="1:83" x14ac:dyDescent="0.2">
      <c r="A266">
        <v>415</v>
      </c>
      <c r="B266" t="s">
        <v>416</v>
      </c>
      <c r="C266" s="29" t="s">
        <v>142</v>
      </c>
      <c r="D266" s="29" t="s">
        <v>481</v>
      </c>
      <c r="E266" s="29" t="s">
        <v>42</v>
      </c>
      <c r="F266" s="98" t="s">
        <v>489</v>
      </c>
      <c r="G266" s="94" t="s">
        <v>42</v>
      </c>
      <c r="H266" s="94" t="s">
        <v>42</v>
      </c>
      <c r="I266" s="93">
        <v>11.1</v>
      </c>
      <c r="J266" s="93">
        <v>137</v>
      </c>
      <c r="K266" s="93">
        <v>54.300000000000004</v>
      </c>
      <c r="L266" s="93">
        <v>158</v>
      </c>
      <c r="M266" s="93">
        <v>40</v>
      </c>
      <c r="N266" s="93">
        <v>53</v>
      </c>
      <c r="O266" s="93">
        <v>65</v>
      </c>
      <c r="P266" s="93" t="s">
        <v>10</v>
      </c>
      <c r="Q266" s="93">
        <v>1</v>
      </c>
      <c r="R266" s="93">
        <v>0</v>
      </c>
      <c r="S266" s="93" t="s">
        <v>211</v>
      </c>
      <c r="T266" s="95">
        <v>66.280566349514956</v>
      </c>
      <c r="U266" s="95">
        <v>96.659159259709298</v>
      </c>
      <c r="V266" s="95">
        <v>138.08451322815611</v>
      </c>
      <c r="W266" s="95" t="s">
        <v>211</v>
      </c>
      <c r="X266" s="95">
        <v>934.36012341832839</v>
      </c>
      <c r="Y266" s="95">
        <v>1362.6085133183956</v>
      </c>
      <c r="Z266" s="95">
        <v>1946.5835904548508</v>
      </c>
      <c r="AB266" s="93" t="s">
        <v>470</v>
      </c>
      <c r="AC266" s="93">
        <v>1.4285714285714287E-2</v>
      </c>
      <c r="AD266" s="93">
        <v>4.2857142857142858E-2</v>
      </c>
      <c r="AE266" s="93">
        <v>7.1428571428571425E-2</v>
      </c>
      <c r="AF266" s="93">
        <v>0.91</v>
      </c>
      <c r="AG266" s="93">
        <v>1.28</v>
      </c>
      <c r="AH266" s="93">
        <v>1.67</v>
      </c>
      <c r="AI266" s="93">
        <v>61</v>
      </c>
      <c r="AJ266" s="93">
        <v>76</v>
      </c>
      <c r="AK266" s="93">
        <v>92</v>
      </c>
      <c r="AL266" s="93" t="s">
        <v>42</v>
      </c>
      <c r="AM266" s="57" t="s">
        <v>42</v>
      </c>
      <c r="AN266" s="57" t="s">
        <v>42</v>
      </c>
      <c r="AO266" s="59">
        <v>1.1999810504463649E-2</v>
      </c>
      <c r="AP266" s="59">
        <v>7.9724062003178636E-2</v>
      </c>
      <c r="AQ266" s="59">
        <v>0.27386989454852939</v>
      </c>
      <c r="AR266" s="59">
        <v>1.5503135694059566E-2</v>
      </c>
      <c r="AS266" s="59">
        <v>9.0265737517321074E-2</v>
      </c>
      <c r="AT266" s="59">
        <v>0.28015016713289848</v>
      </c>
      <c r="AV266" s="60" t="s">
        <v>42</v>
      </c>
      <c r="AW266" s="60" t="s">
        <v>42</v>
      </c>
      <c r="AX266" s="60" t="s">
        <v>42</v>
      </c>
      <c r="AY266" s="60" t="s">
        <v>42</v>
      </c>
      <c r="AZ266" s="60" t="s">
        <v>42</v>
      </c>
      <c r="BA266" s="60" t="s">
        <v>42</v>
      </c>
      <c r="BB266" s="2"/>
      <c r="BC266" s="60" t="s">
        <v>42</v>
      </c>
      <c r="BD266" s="60" t="s">
        <v>42</v>
      </c>
      <c r="BE266" s="60" t="s">
        <v>42</v>
      </c>
      <c r="BG266" s="60">
        <v>5.5844563433144314</v>
      </c>
      <c r="BH266" s="60">
        <v>6.0174413709938532</v>
      </c>
      <c r="BI266" s="60">
        <v>6.5052750972668081</v>
      </c>
      <c r="BJ266" s="60">
        <v>0.12211931636166681</v>
      </c>
      <c r="BK266" s="60">
        <v>0.37359848229217962</v>
      </c>
      <c r="BL266" s="60">
        <v>1.4101124034932297</v>
      </c>
      <c r="BN266" s="61">
        <v>445.90266689582205</v>
      </c>
      <c r="BO266" s="61">
        <v>4686.1445955586669</v>
      </c>
      <c r="BP266" s="61">
        <v>117511.22261211548</v>
      </c>
      <c r="BR266" s="60">
        <v>6.7335844279847477</v>
      </c>
      <c r="BS266" s="60">
        <v>7.1665694556641713</v>
      </c>
      <c r="BT266" s="60">
        <v>7.6544031819371243</v>
      </c>
      <c r="BU266" s="60">
        <v>0.45850957216739069</v>
      </c>
      <c r="BV266" s="60">
        <v>1.4027140454247142</v>
      </c>
      <c r="BW266" s="60">
        <v>5.2944124983372758</v>
      </c>
      <c r="BX266" s="2"/>
      <c r="BY266" s="61">
        <v>1636.6564291567299</v>
      </c>
      <c r="BZ266" s="61">
        <v>15539.828112029192</v>
      </c>
      <c r="CA266" s="61">
        <v>341505.91227592551</v>
      </c>
      <c r="CC266">
        <v>415</v>
      </c>
      <c r="CD266" t="s">
        <v>416</v>
      </c>
      <c r="CE266">
        <v>626</v>
      </c>
    </row>
    <row r="267" spans="1:83" x14ac:dyDescent="0.2">
      <c r="A267">
        <v>416</v>
      </c>
      <c r="B267" t="s">
        <v>416</v>
      </c>
      <c r="C267" s="29" t="s">
        <v>142</v>
      </c>
      <c r="D267" s="29" t="s">
        <v>482</v>
      </c>
      <c r="E267" s="29" t="s">
        <v>42</v>
      </c>
      <c r="F267" s="98" t="s">
        <v>490</v>
      </c>
      <c r="G267" s="94" t="s">
        <v>42</v>
      </c>
      <c r="H267" s="94" t="s">
        <v>42</v>
      </c>
      <c r="I267" s="93">
        <v>11.1</v>
      </c>
      <c r="J267" s="93">
        <v>137</v>
      </c>
      <c r="K267" s="93">
        <v>62.7</v>
      </c>
      <c r="L267" s="93">
        <v>159</v>
      </c>
      <c r="M267" s="93">
        <v>40</v>
      </c>
      <c r="N267" s="93">
        <v>53</v>
      </c>
      <c r="O267" s="93">
        <v>65</v>
      </c>
      <c r="P267" s="93" t="s">
        <v>10</v>
      </c>
      <c r="Q267" s="93">
        <v>1</v>
      </c>
      <c r="R267" s="93">
        <v>0</v>
      </c>
      <c r="S267" s="93" t="s">
        <v>211</v>
      </c>
      <c r="T267" s="95">
        <v>66.280566349514956</v>
      </c>
      <c r="U267" s="95">
        <v>96.659159259709298</v>
      </c>
      <c r="V267" s="95">
        <v>138.08451322815611</v>
      </c>
      <c r="W267" s="95" t="s">
        <v>211</v>
      </c>
      <c r="X267" s="95">
        <v>1187.4823067182112</v>
      </c>
      <c r="Y267" s="95">
        <v>1731.7450306307246</v>
      </c>
      <c r="Z267" s="95">
        <v>2473.9214723296068</v>
      </c>
      <c r="AB267" s="93" t="s">
        <v>470</v>
      </c>
      <c r="AC267" s="93">
        <v>1.4285714285714287E-2</v>
      </c>
      <c r="AD267" s="93">
        <v>4.2857142857142858E-2</v>
      </c>
      <c r="AE267" s="93">
        <v>7.1428571428571425E-2</v>
      </c>
      <c r="AF267" s="93">
        <v>0.91</v>
      </c>
      <c r="AG267" s="93">
        <v>1.28</v>
      </c>
      <c r="AH267" s="93">
        <v>1.67</v>
      </c>
      <c r="AI267" s="93">
        <v>61</v>
      </c>
      <c r="AJ267" s="93">
        <v>76</v>
      </c>
      <c r="AK267" s="93">
        <v>92</v>
      </c>
      <c r="AL267" s="93" t="s">
        <v>42</v>
      </c>
      <c r="AM267" s="57" t="s">
        <v>42</v>
      </c>
      <c r="AN267" s="57" t="s">
        <v>42</v>
      </c>
      <c r="AO267" s="59">
        <v>1.1999810504463649E-2</v>
      </c>
      <c r="AP267" s="59">
        <v>7.9724062003178636E-2</v>
      </c>
      <c r="AQ267" s="59">
        <v>0.27386989454852939</v>
      </c>
      <c r="AR267" s="59">
        <v>1.5621238692313235E-2</v>
      </c>
      <c r="AS267" s="59">
        <v>9.026573751732106E-2</v>
      </c>
      <c r="AT267" s="59">
        <v>0.28015016713289848</v>
      </c>
      <c r="AV267" s="59" t="s">
        <v>42</v>
      </c>
      <c r="AW267" s="59" t="s">
        <v>42</v>
      </c>
      <c r="AX267" s="59" t="s">
        <v>42</v>
      </c>
      <c r="AY267" s="59" t="s">
        <v>42</v>
      </c>
      <c r="AZ267" s="59" t="s">
        <v>42</v>
      </c>
      <c r="BA267" s="59" t="s">
        <v>42</v>
      </c>
      <c r="BB267" s="2"/>
      <c r="BC267" s="60" t="s">
        <v>42</v>
      </c>
      <c r="BD267" s="60" t="s">
        <v>42</v>
      </c>
      <c r="BE267" s="60" t="s">
        <v>42</v>
      </c>
      <c r="BG267" s="60">
        <v>5.5844563433144314</v>
      </c>
      <c r="BH267" s="60">
        <v>6.0174413709938532</v>
      </c>
      <c r="BI267" s="60">
        <v>6.5052750972668081</v>
      </c>
      <c r="BJ267" s="60">
        <v>0.12211931636166681</v>
      </c>
      <c r="BK267" s="60">
        <v>0.37359848229217962</v>
      </c>
      <c r="BL267" s="60">
        <v>1.4101124034932297</v>
      </c>
      <c r="BN267" s="61">
        <v>445.90266689582205</v>
      </c>
      <c r="BO267" s="61">
        <v>4686.1445955586669</v>
      </c>
      <c r="BP267" s="61">
        <v>117511.22261211548</v>
      </c>
      <c r="BR267" s="60">
        <v>6.8376972800545301</v>
      </c>
      <c r="BS267" s="60">
        <v>7.2706823077339537</v>
      </c>
      <c r="BT267" s="60">
        <v>7.7585160340069068</v>
      </c>
      <c r="BU267" s="60">
        <v>0.51689797737232168</v>
      </c>
      <c r="BV267" s="60">
        <v>1.5813411473274106</v>
      </c>
      <c r="BW267" s="60">
        <v>5.9686237275896739</v>
      </c>
      <c r="BX267" s="2"/>
      <c r="BY267" s="61">
        <v>1845.0746707108478</v>
      </c>
      <c r="BZ267" s="61">
        <v>17518.730703595789</v>
      </c>
      <c r="CA267" s="61">
        <v>382083.89521163021</v>
      </c>
      <c r="CC267">
        <v>416</v>
      </c>
      <c r="CD267" t="s">
        <v>416</v>
      </c>
      <c r="CE267">
        <v>627</v>
      </c>
    </row>
    <row r="268" spans="1:83" x14ac:dyDescent="0.2">
      <c r="A268">
        <v>417</v>
      </c>
      <c r="B268">
        <v>202</v>
      </c>
      <c r="C268" s="29" t="s">
        <v>142</v>
      </c>
      <c r="D268" s="29" t="s">
        <v>480</v>
      </c>
      <c r="E268" s="29" t="s">
        <v>483</v>
      </c>
      <c r="F268" s="98" t="s">
        <v>489</v>
      </c>
      <c r="G268" s="94">
        <v>6.3</v>
      </c>
      <c r="H268" s="94">
        <v>192</v>
      </c>
      <c r="I268" s="93">
        <v>43.2</v>
      </c>
      <c r="J268" s="93">
        <v>165</v>
      </c>
      <c r="K268" s="93">
        <v>54.300000000000004</v>
      </c>
      <c r="L268" s="93">
        <v>158</v>
      </c>
      <c r="M268" s="93">
        <v>40</v>
      </c>
      <c r="N268" s="93">
        <v>53</v>
      </c>
      <c r="O268" s="93">
        <v>65</v>
      </c>
      <c r="P268" s="93" t="s">
        <v>10</v>
      </c>
      <c r="Q268" s="93">
        <v>1.5</v>
      </c>
      <c r="R268" s="93">
        <v>0.5</v>
      </c>
      <c r="S268" s="93" t="s">
        <v>211</v>
      </c>
      <c r="T268" s="95">
        <v>638.24510214518421</v>
      </c>
      <c r="U268" s="95">
        <v>930.77410729506039</v>
      </c>
      <c r="V268" s="95">
        <v>1329.6772961358004</v>
      </c>
      <c r="W268" s="95" t="s">
        <v>211</v>
      </c>
      <c r="X268" s="95">
        <v>934.36012341832839</v>
      </c>
      <c r="Y268" s="95">
        <v>1362.6085133183956</v>
      </c>
      <c r="Z268" s="95">
        <v>1946.5835904548508</v>
      </c>
      <c r="AB268" s="93" t="s">
        <v>470</v>
      </c>
      <c r="AC268" s="93">
        <v>1.4285714285714287E-2</v>
      </c>
      <c r="AD268" s="93">
        <v>4.2857142857142858E-2</v>
      </c>
      <c r="AE268" s="93">
        <v>7.1428571428571425E-2</v>
      </c>
      <c r="AF268" s="93">
        <v>0.91</v>
      </c>
      <c r="AG268" s="93">
        <v>1.28</v>
      </c>
      <c r="AH268" s="93">
        <v>1.67</v>
      </c>
      <c r="AI268" s="93">
        <v>61</v>
      </c>
      <c r="AJ268" s="93">
        <v>76</v>
      </c>
      <c r="AK268" s="93">
        <v>92</v>
      </c>
      <c r="AL268" s="96">
        <v>1.2807644035572243E-2</v>
      </c>
      <c r="AM268" s="59">
        <v>8.1927621445445242E-2</v>
      </c>
      <c r="AN268" s="59">
        <v>0.27796597281034496</v>
      </c>
      <c r="AO268" s="59">
        <v>1.6228773590344543E-2</v>
      </c>
      <c r="AP268" s="59">
        <v>8.8445201967897014E-2</v>
      </c>
      <c r="AQ268" s="59">
        <v>0.28221105733200125</v>
      </c>
      <c r="AR268" s="59">
        <v>1.5503135694059566E-2</v>
      </c>
      <c r="AS268" s="59">
        <v>9.0265737517321074E-2</v>
      </c>
      <c r="AT268" s="59">
        <v>0.28015016713289848</v>
      </c>
      <c r="AV268" s="60">
        <v>5.1478189610926393</v>
      </c>
      <c r="AW268" s="60">
        <v>5.5808039887720611</v>
      </c>
      <c r="AX268" s="60">
        <v>6.0686377150450141</v>
      </c>
      <c r="AY268" s="60">
        <v>7.6172639814519064E-2</v>
      </c>
      <c r="AZ268" s="60">
        <v>0.23303424449750787</v>
      </c>
      <c r="BA268" s="60">
        <v>0.87956588203593988</v>
      </c>
      <c r="BB268" s="2"/>
      <c r="BC268" s="61">
        <v>274.0358434681188</v>
      </c>
      <c r="BD268" s="61">
        <v>2844.3916762881122</v>
      </c>
      <c r="BE268" s="61">
        <v>68675.072448376421</v>
      </c>
      <c r="BG268" s="60">
        <v>6.5680576233615255</v>
      </c>
      <c r="BH268" s="60">
        <v>7.0010426510409474</v>
      </c>
      <c r="BI268" s="60">
        <v>7.4888763773139004</v>
      </c>
      <c r="BJ268" s="60">
        <v>0.37895269887238792</v>
      </c>
      <c r="BK268" s="60">
        <v>1.1593264470950655</v>
      </c>
      <c r="BL268" s="60">
        <v>4.3757688540821675</v>
      </c>
      <c r="BN268" s="61">
        <v>1342.7989053829915</v>
      </c>
      <c r="BO268" s="61">
        <v>13107.850073267589</v>
      </c>
      <c r="BP268" s="61">
        <v>269630.28535228141</v>
      </c>
      <c r="BR268" s="60">
        <v>6.7335844279847477</v>
      </c>
      <c r="BS268" s="60">
        <v>7.1665694556641713</v>
      </c>
      <c r="BT268" s="60">
        <v>7.6544031819371243</v>
      </c>
      <c r="BU268" s="60">
        <v>0.45850957216739069</v>
      </c>
      <c r="BV268" s="60">
        <v>1.4027140454247142</v>
      </c>
      <c r="BW268" s="60">
        <v>5.2944124983372758</v>
      </c>
      <c r="BX268" s="2"/>
      <c r="BY268" s="61">
        <v>1636.6564291567299</v>
      </c>
      <c r="BZ268" s="61">
        <v>15539.828112029192</v>
      </c>
      <c r="CA268" s="61">
        <v>341505.91227592551</v>
      </c>
      <c r="CC268">
        <v>417</v>
      </c>
      <c r="CD268">
        <v>202</v>
      </c>
      <c r="CE268">
        <v>626</v>
      </c>
    </row>
    <row r="269" spans="1:83" x14ac:dyDescent="0.2">
      <c r="A269">
        <v>417</v>
      </c>
      <c r="B269">
        <v>203</v>
      </c>
      <c r="C269" s="29" t="s">
        <v>142</v>
      </c>
      <c r="D269" s="29" t="s">
        <v>480</v>
      </c>
      <c r="E269" s="29" t="s">
        <v>484</v>
      </c>
      <c r="F269" s="98" t="s">
        <v>489</v>
      </c>
      <c r="G269" s="94">
        <v>8.1</v>
      </c>
      <c r="H269" s="94">
        <v>144</v>
      </c>
      <c r="I269" s="93">
        <v>43.2</v>
      </c>
      <c r="J269" s="93">
        <v>165</v>
      </c>
      <c r="K269" s="93">
        <v>54.300000000000004</v>
      </c>
      <c r="L269" s="93">
        <v>158</v>
      </c>
      <c r="M269" s="93">
        <v>40</v>
      </c>
      <c r="N269" s="93">
        <v>53</v>
      </c>
      <c r="O269" s="93">
        <v>65</v>
      </c>
      <c r="P269" s="93" t="s">
        <v>10</v>
      </c>
      <c r="Q269" s="93">
        <v>1.5</v>
      </c>
      <c r="R269" s="93">
        <v>0.5</v>
      </c>
      <c r="S269" s="95" t="s">
        <v>211</v>
      </c>
      <c r="T269" s="95">
        <v>638.24510214518421</v>
      </c>
      <c r="U269" s="95">
        <v>930.77410729506039</v>
      </c>
      <c r="V269" s="95">
        <v>1329.6772961358004</v>
      </c>
      <c r="W269" s="95" t="s">
        <v>211</v>
      </c>
      <c r="X269" s="95">
        <v>934.36012341832839</v>
      </c>
      <c r="Y269" s="95">
        <v>1362.6085133183956</v>
      </c>
      <c r="Z269" s="95">
        <v>1946.5835904548508</v>
      </c>
      <c r="AB269" s="93" t="s">
        <v>470</v>
      </c>
      <c r="AC269" s="93">
        <v>1.4285714285714287E-2</v>
      </c>
      <c r="AD269" s="93">
        <v>4.2857142857142858E-2</v>
      </c>
      <c r="AE269" s="93">
        <v>7.1428571428571425E-2</v>
      </c>
      <c r="AF269" s="93">
        <v>0.91</v>
      </c>
      <c r="AG269" s="93">
        <v>1.28</v>
      </c>
      <c r="AH269" s="93">
        <v>1.67</v>
      </c>
      <c r="AI269" s="93">
        <v>61</v>
      </c>
      <c r="AJ269" s="93">
        <v>76</v>
      </c>
      <c r="AK269" s="93">
        <v>92</v>
      </c>
      <c r="AL269" s="96">
        <v>1.3372774763795682E-2</v>
      </c>
      <c r="AM269" s="59">
        <v>8.4515432829193771E-2</v>
      </c>
      <c r="AN269" s="59">
        <v>0.28015016713289848</v>
      </c>
      <c r="AO269" s="59">
        <v>1.6228773590344543E-2</v>
      </c>
      <c r="AP269" s="59">
        <v>8.8445201967897014E-2</v>
      </c>
      <c r="AQ269" s="59">
        <v>0.28221105733200125</v>
      </c>
      <c r="AR269" s="59">
        <v>1.5503135694059566E-2</v>
      </c>
      <c r="AS269" s="59">
        <v>9.0265737517321074E-2</v>
      </c>
      <c r="AT269" s="59">
        <v>0.28015016713289848</v>
      </c>
      <c r="AV269" s="60">
        <v>5.3297264101344197</v>
      </c>
      <c r="AW269" s="60">
        <v>5.7627114378138415</v>
      </c>
      <c r="AX269" s="60">
        <v>6.2505451640867946</v>
      </c>
      <c r="AY269" s="60">
        <v>9.3918842426046131E-2</v>
      </c>
      <c r="AZ269" s="60">
        <v>0.28732503615638716</v>
      </c>
      <c r="BA269" s="60">
        <v>1.0844813791331154</v>
      </c>
      <c r="BB269" s="2"/>
      <c r="BC269" s="61">
        <v>335.24464178346403</v>
      </c>
      <c r="BD269" s="61">
        <v>3399.6753792537856</v>
      </c>
      <c r="BE269" s="61">
        <v>81096.212139095354</v>
      </c>
      <c r="BG269" s="60">
        <v>6.5680576233615255</v>
      </c>
      <c r="BH269" s="60">
        <v>7.0010426510409474</v>
      </c>
      <c r="BI269" s="60">
        <v>7.4888763773139004</v>
      </c>
      <c r="BJ269" s="60">
        <v>0.37895269887238792</v>
      </c>
      <c r="BK269" s="60">
        <v>1.1593264470950655</v>
      </c>
      <c r="BL269" s="60">
        <v>4.3757688540821675</v>
      </c>
      <c r="BN269" s="61">
        <v>1342.7989053829915</v>
      </c>
      <c r="BO269" s="61">
        <v>13107.850073267589</v>
      </c>
      <c r="BP269" s="61">
        <v>269630.28535228141</v>
      </c>
      <c r="BR269" s="60">
        <v>6.7335844279847477</v>
      </c>
      <c r="BS269" s="60">
        <v>7.1665694556641713</v>
      </c>
      <c r="BT269" s="60">
        <v>7.6544031819371243</v>
      </c>
      <c r="BU269" s="60">
        <v>0.45850957216739069</v>
      </c>
      <c r="BV269" s="60">
        <v>1.4027140454247142</v>
      </c>
      <c r="BW269" s="60">
        <v>5.2944124983372758</v>
      </c>
      <c r="BX269" s="2"/>
      <c r="BY269" s="61">
        <v>1636.6564291567299</v>
      </c>
      <c r="BZ269" s="61">
        <v>15539.828112029192</v>
      </c>
      <c r="CA269" s="61">
        <v>341505.91227592551</v>
      </c>
      <c r="CC269">
        <v>417</v>
      </c>
      <c r="CD269">
        <v>203</v>
      </c>
      <c r="CE269">
        <v>626</v>
      </c>
    </row>
    <row r="270" spans="1:83" x14ac:dyDescent="0.2">
      <c r="A270">
        <v>417</v>
      </c>
      <c r="B270">
        <v>204</v>
      </c>
      <c r="C270" s="29" t="s">
        <v>142</v>
      </c>
      <c r="D270" s="29" t="s">
        <v>480</v>
      </c>
      <c r="E270" s="29" t="s">
        <v>485</v>
      </c>
      <c r="F270" s="98" t="s">
        <v>489</v>
      </c>
      <c r="G270" s="94">
        <v>28.8</v>
      </c>
      <c r="H270" s="94">
        <v>166</v>
      </c>
      <c r="I270" s="93">
        <v>43.2</v>
      </c>
      <c r="J270" s="93">
        <v>165</v>
      </c>
      <c r="K270" s="93">
        <v>54.300000000000004</v>
      </c>
      <c r="L270" s="93">
        <v>158</v>
      </c>
      <c r="M270" s="93">
        <v>40</v>
      </c>
      <c r="N270" s="93">
        <v>53</v>
      </c>
      <c r="O270" s="93">
        <v>65</v>
      </c>
      <c r="P270" s="93" t="s">
        <v>10</v>
      </c>
      <c r="Q270" s="93">
        <v>1.5</v>
      </c>
      <c r="R270" s="93">
        <v>0.5</v>
      </c>
      <c r="S270" s="93" t="s">
        <v>211</v>
      </c>
      <c r="T270" s="95">
        <v>638.24510214518421</v>
      </c>
      <c r="U270" s="95">
        <v>930.77410729506039</v>
      </c>
      <c r="V270" s="95">
        <v>1329.6772961358004</v>
      </c>
      <c r="W270" s="95" t="s">
        <v>211</v>
      </c>
      <c r="X270" s="95">
        <v>934.36012341832839</v>
      </c>
      <c r="Y270" s="95">
        <v>1362.6085133183956</v>
      </c>
      <c r="Z270" s="95">
        <v>1946.5835904548508</v>
      </c>
      <c r="AB270" s="93" t="s">
        <v>470</v>
      </c>
      <c r="AC270" s="93">
        <v>1.4285714285714287E-2</v>
      </c>
      <c r="AD270" s="93">
        <v>4.2857142857142858E-2</v>
      </c>
      <c r="AE270" s="93">
        <v>7.1428571428571425E-2</v>
      </c>
      <c r="AF270" s="93">
        <v>0.91</v>
      </c>
      <c r="AG270" s="93">
        <v>1.28</v>
      </c>
      <c r="AH270" s="93">
        <v>1.67</v>
      </c>
      <c r="AI270" s="93">
        <v>61</v>
      </c>
      <c r="AJ270" s="93">
        <v>76</v>
      </c>
      <c r="AK270" s="93">
        <v>92</v>
      </c>
      <c r="AL270" s="96">
        <v>1.6312894322839271E-2</v>
      </c>
      <c r="AM270" s="59">
        <v>8.8046873214655208E-2</v>
      </c>
      <c r="AN270" s="59">
        <v>0.28225404599033371</v>
      </c>
      <c r="AO270" s="59">
        <v>1.6228773590344543E-2</v>
      </c>
      <c r="AP270" s="59">
        <v>8.8445201967897014E-2</v>
      </c>
      <c r="AQ270" s="59">
        <v>0.28221105733200125</v>
      </c>
      <c r="AR270" s="59">
        <v>1.5503135694059566E-2</v>
      </c>
      <c r="AS270" s="59">
        <v>9.0265737517321074E-2</v>
      </c>
      <c r="AT270" s="59">
        <v>0.28015016713289848</v>
      </c>
      <c r="AV270" s="60">
        <v>6.2479055249353879</v>
      </c>
      <c r="AW270" s="60">
        <v>6.6808905526148097</v>
      </c>
      <c r="AX270" s="60">
        <v>7.1687242788877628</v>
      </c>
      <c r="AY270" s="60">
        <v>0.27029766160022517</v>
      </c>
      <c r="AZ270" s="60">
        <v>0.82691910788216416</v>
      </c>
      <c r="BA270" s="60">
        <v>3.1211285537243278</v>
      </c>
      <c r="BB270" s="2"/>
      <c r="BC270" s="61">
        <v>957.63963507358187</v>
      </c>
      <c r="BD270" s="61">
        <v>9391.8054973532599</v>
      </c>
      <c r="BE270" s="61">
        <v>191328.92618292235</v>
      </c>
      <c r="BG270" s="60">
        <v>6.5680576233615255</v>
      </c>
      <c r="BH270" s="60">
        <v>7.0010426510409474</v>
      </c>
      <c r="BI270" s="60">
        <v>7.4888763773139004</v>
      </c>
      <c r="BJ270" s="60">
        <v>0.37895269887238792</v>
      </c>
      <c r="BK270" s="60">
        <v>1.1593264470950655</v>
      </c>
      <c r="BL270" s="60">
        <v>4.3757688540821675</v>
      </c>
      <c r="BN270" s="61">
        <v>1342.7989053829915</v>
      </c>
      <c r="BO270" s="61">
        <v>13107.850073267589</v>
      </c>
      <c r="BP270" s="61">
        <v>269630.28535228141</v>
      </c>
      <c r="BR270" s="60">
        <v>6.7335844279847477</v>
      </c>
      <c r="BS270" s="60">
        <v>7.1665694556641713</v>
      </c>
      <c r="BT270" s="60">
        <v>7.6544031819371243</v>
      </c>
      <c r="BU270" s="60">
        <v>0.45850957216739069</v>
      </c>
      <c r="BV270" s="60">
        <v>1.4027140454247142</v>
      </c>
      <c r="BW270" s="60">
        <v>5.2944124983372758</v>
      </c>
      <c r="BX270" s="2"/>
      <c r="BY270" s="61">
        <v>1636.6564291567299</v>
      </c>
      <c r="BZ270" s="61">
        <v>15539.828112029192</v>
      </c>
      <c r="CA270" s="61">
        <v>341505.91227592551</v>
      </c>
      <c r="CC270">
        <v>417</v>
      </c>
      <c r="CD270">
        <v>204</v>
      </c>
      <c r="CE270">
        <v>626</v>
      </c>
    </row>
    <row r="271" spans="1:83" x14ac:dyDescent="0.2">
      <c r="A271">
        <v>418</v>
      </c>
      <c r="B271">
        <v>205</v>
      </c>
      <c r="C271" s="29" t="s">
        <v>142</v>
      </c>
      <c r="D271" s="29" t="s">
        <v>421</v>
      </c>
      <c r="E271" s="29" t="s">
        <v>486</v>
      </c>
      <c r="F271" s="98" t="s">
        <v>490</v>
      </c>
      <c r="G271" s="94">
        <v>11</v>
      </c>
      <c r="H271" s="94">
        <v>189</v>
      </c>
      <c r="I271" s="93">
        <v>51.6</v>
      </c>
      <c r="J271" s="93">
        <v>166</v>
      </c>
      <c r="K271" s="93">
        <v>62.7</v>
      </c>
      <c r="L271" s="93">
        <v>159</v>
      </c>
      <c r="M271" s="93">
        <v>40</v>
      </c>
      <c r="N271" s="93">
        <v>53</v>
      </c>
      <c r="O271" s="93">
        <v>65</v>
      </c>
      <c r="P271" s="93" t="s">
        <v>10</v>
      </c>
      <c r="Q271" s="93">
        <v>1.5</v>
      </c>
      <c r="R271" s="93">
        <v>0.5</v>
      </c>
      <c r="S271" s="95" t="s">
        <v>211</v>
      </c>
      <c r="T271" s="95">
        <v>858.21759761352121</v>
      </c>
      <c r="U271" s="95">
        <v>1251.5673298530519</v>
      </c>
      <c r="V271" s="95">
        <v>1787.9533283615028</v>
      </c>
      <c r="W271" s="95" t="s">
        <v>211</v>
      </c>
      <c r="X271" s="95">
        <v>1187.4823067182112</v>
      </c>
      <c r="Y271" s="95">
        <v>1731.7450306307246</v>
      </c>
      <c r="Z271" s="95">
        <v>2473.9214723296068</v>
      </c>
      <c r="AB271" s="93" t="s">
        <v>470</v>
      </c>
      <c r="AC271" s="93">
        <v>1.4285714285714287E-2</v>
      </c>
      <c r="AD271" s="93">
        <v>4.2857142857142858E-2</v>
      </c>
      <c r="AE271" s="93">
        <v>7.1428571428571425E-2</v>
      </c>
      <c r="AF271" s="93">
        <v>0.91</v>
      </c>
      <c r="AG271" s="93">
        <v>1.28</v>
      </c>
      <c r="AH271" s="93">
        <v>1.67</v>
      </c>
      <c r="AI271" s="93">
        <v>61</v>
      </c>
      <c r="AJ271" s="93">
        <v>76</v>
      </c>
      <c r="AK271" s="93">
        <v>92</v>
      </c>
      <c r="AL271" s="96">
        <v>1.3372774763795683E-2</v>
      </c>
      <c r="AM271" s="59">
        <v>8.3906622972049039E-2</v>
      </c>
      <c r="AN271" s="59">
        <v>0.28015016713289848</v>
      </c>
      <c r="AO271" s="59">
        <v>1.6312894322839271E-2</v>
      </c>
      <c r="AP271" s="59">
        <v>8.8046873214655208E-2</v>
      </c>
      <c r="AQ271" s="59">
        <v>0.28225404599033371</v>
      </c>
      <c r="AR271" s="59">
        <v>1.5621238692313235E-2</v>
      </c>
      <c r="AS271" s="59">
        <v>9.026573751732106E-2</v>
      </c>
      <c r="AT271" s="59">
        <v>0.28015016713289848</v>
      </c>
      <c r="AV271" s="60">
        <v>5.5512391872670461</v>
      </c>
      <c r="AW271" s="60">
        <v>5.9842242149464679</v>
      </c>
      <c r="AX271" s="60">
        <v>6.472057941219421</v>
      </c>
      <c r="AY271" s="60">
        <v>0.12120181395692346</v>
      </c>
      <c r="AZ271" s="60">
        <v>0.37079157576728256</v>
      </c>
      <c r="BA271" s="60">
        <v>1.3995179982860144</v>
      </c>
      <c r="BB271" s="2"/>
      <c r="BC271" s="61">
        <v>432.63159610905166</v>
      </c>
      <c r="BD271" s="61">
        <v>4419.0978332044251</v>
      </c>
      <c r="BE271" s="61">
        <v>104654.2713091191</v>
      </c>
      <c r="BG271" s="60">
        <v>6.6966675480486897</v>
      </c>
      <c r="BH271" s="60">
        <v>7.1296525757281115</v>
      </c>
      <c r="BI271" s="60">
        <v>7.6174863020010646</v>
      </c>
      <c r="BJ271" s="60">
        <v>0.43943026689458092</v>
      </c>
      <c r="BK271" s="60">
        <v>1.3443449052634551</v>
      </c>
      <c r="BL271" s="60">
        <v>5.0741036576331089</v>
      </c>
      <c r="BN271" s="61">
        <v>1556.8608249804504</v>
      </c>
      <c r="BO271" s="61">
        <v>15268.51387426319</v>
      </c>
      <c r="BP271" s="61">
        <v>311048.64392635616</v>
      </c>
      <c r="BR271" s="60">
        <v>6.8376972800545301</v>
      </c>
      <c r="BS271" s="60">
        <v>7.2706823077339537</v>
      </c>
      <c r="BT271" s="60">
        <v>7.7585160340069068</v>
      </c>
      <c r="BU271" s="60">
        <v>0.51689797737232168</v>
      </c>
      <c r="BV271" s="60">
        <v>1.5813411473274106</v>
      </c>
      <c r="BW271" s="60">
        <v>5.9686237275896739</v>
      </c>
      <c r="BX271" s="2"/>
      <c r="BY271" s="61">
        <v>1845.0746707108478</v>
      </c>
      <c r="BZ271" s="61">
        <v>17518.730703595789</v>
      </c>
      <c r="CA271" s="61">
        <v>382083.89521163021</v>
      </c>
      <c r="CC271">
        <v>418</v>
      </c>
      <c r="CD271">
        <v>205</v>
      </c>
      <c r="CE271">
        <v>627</v>
      </c>
    </row>
    <row r="272" spans="1:83" x14ac:dyDescent="0.2">
      <c r="A272">
        <v>418</v>
      </c>
      <c r="B272">
        <v>206</v>
      </c>
      <c r="C272" s="29" t="s">
        <v>142</v>
      </c>
      <c r="D272" s="29" t="s">
        <v>421</v>
      </c>
      <c r="E272" s="29" t="s">
        <v>487</v>
      </c>
      <c r="F272" s="98" t="s">
        <v>490</v>
      </c>
      <c r="G272" s="94">
        <v>11.8</v>
      </c>
      <c r="H272" s="94">
        <v>144</v>
      </c>
      <c r="I272" s="93">
        <v>51.6</v>
      </c>
      <c r="J272" s="93">
        <v>166</v>
      </c>
      <c r="K272" s="93">
        <v>62.7</v>
      </c>
      <c r="L272" s="93">
        <v>159</v>
      </c>
      <c r="M272" s="93">
        <v>40</v>
      </c>
      <c r="N272" s="93">
        <v>53</v>
      </c>
      <c r="O272" s="93">
        <v>65</v>
      </c>
      <c r="P272" s="93" t="s">
        <v>10</v>
      </c>
      <c r="Q272" s="93">
        <v>1.5</v>
      </c>
      <c r="R272" s="93">
        <v>0.5</v>
      </c>
      <c r="S272" s="93" t="s">
        <v>211</v>
      </c>
      <c r="T272" s="95">
        <v>858.21759761352121</v>
      </c>
      <c r="U272" s="95">
        <v>1251.5673298530519</v>
      </c>
      <c r="V272" s="95">
        <v>1787.9533283615028</v>
      </c>
      <c r="W272" s="95" t="s">
        <v>211</v>
      </c>
      <c r="X272" s="95">
        <v>1187.4823067182112</v>
      </c>
      <c r="Y272" s="95">
        <v>1731.7450306307246</v>
      </c>
      <c r="Z272" s="95">
        <v>2473.9214723296068</v>
      </c>
      <c r="AB272" s="93" t="s">
        <v>470</v>
      </c>
      <c r="AC272" s="93">
        <v>1.4285714285714287E-2</v>
      </c>
      <c r="AD272" s="93">
        <v>4.2857142857142858E-2</v>
      </c>
      <c r="AE272" s="93">
        <v>7.1428571428571425E-2</v>
      </c>
      <c r="AF272" s="93">
        <v>0.91</v>
      </c>
      <c r="AG272" s="93">
        <v>1.28</v>
      </c>
      <c r="AH272" s="93">
        <v>1.67</v>
      </c>
      <c r="AI272" s="93">
        <v>61</v>
      </c>
      <c r="AJ272" s="93">
        <v>76</v>
      </c>
      <c r="AK272" s="93">
        <v>92</v>
      </c>
      <c r="AL272" s="96">
        <v>1.3372774763795682E-2</v>
      </c>
      <c r="AM272" s="59">
        <v>8.4515432829193771E-2</v>
      </c>
      <c r="AN272" s="59">
        <v>0.28015016713289848</v>
      </c>
      <c r="AO272" s="59">
        <v>1.6312894322839271E-2</v>
      </c>
      <c r="AP272" s="59">
        <v>8.8046873214655208E-2</v>
      </c>
      <c r="AQ272" s="59">
        <v>0.28225404599033371</v>
      </c>
      <c r="AR272" s="59">
        <v>1.5621238692313235E-2</v>
      </c>
      <c r="AS272" s="59">
        <v>9.026573751732106E-2</v>
      </c>
      <c r="AT272" s="59">
        <v>0.28015016713289848</v>
      </c>
      <c r="AV272" s="60">
        <v>5.6020547241802134</v>
      </c>
      <c r="AW272" s="60">
        <v>6.0350397518596353</v>
      </c>
      <c r="AX272" s="60">
        <v>6.5228734781325883</v>
      </c>
      <c r="AY272" s="60">
        <v>0.12850407155148461</v>
      </c>
      <c r="AZ272" s="60">
        <v>0.39313130412405622</v>
      </c>
      <c r="BA272" s="60">
        <v>1.4838372060442533</v>
      </c>
      <c r="BB272" s="2"/>
      <c r="BC272" s="61">
        <v>458.69710829236971</v>
      </c>
      <c r="BD272" s="61">
        <v>4651.5919159826954</v>
      </c>
      <c r="BE272" s="61">
        <v>110959.56017007543</v>
      </c>
      <c r="BG272" s="60">
        <v>6.6966675480486897</v>
      </c>
      <c r="BH272" s="60">
        <v>7.1296525757281115</v>
      </c>
      <c r="BI272" s="60">
        <v>7.6174863020010646</v>
      </c>
      <c r="BJ272" s="60">
        <v>0.43943026689458092</v>
      </c>
      <c r="BK272" s="60">
        <v>1.3443449052634551</v>
      </c>
      <c r="BL272" s="60">
        <v>5.0741036576331089</v>
      </c>
      <c r="BN272" s="61">
        <v>1556.8608249804504</v>
      </c>
      <c r="BO272" s="61">
        <v>15268.51387426319</v>
      </c>
      <c r="BP272" s="61">
        <v>311048.64392635616</v>
      </c>
      <c r="BR272" s="60">
        <v>6.8376972800545301</v>
      </c>
      <c r="BS272" s="60">
        <v>7.2706823077339537</v>
      </c>
      <c r="BT272" s="60">
        <v>7.7585160340069068</v>
      </c>
      <c r="BU272" s="60">
        <v>0.51689797737232168</v>
      </c>
      <c r="BV272" s="60">
        <v>1.5813411473274106</v>
      </c>
      <c r="BW272" s="60">
        <v>5.9686237275896739</v>
      </c>
      <c r="BX272" s="2"/>
      <c r="BY272" s="61">
        <v>1845.0746707108478</v>
      </c>
      <c r="BZ272" s="61">
        <v>17518.730703595789</v>
      </c>
      <c r="CA272" s="61">
        <v>382083.89521163021</v>
      </c>
      <c r="CC272">
        <v>418</v>
      </c>
      <c r="CD272">
        <v>206</v>
      </c>
      <c r="CE272">
        <v>627</v>
      </c>
    </row>
    <row r="273" spans="1:83" x14ac:dyDescent="0.2">
      <c r="A273">
        <v>418</v>
      </c>
      <c r="B273">
        <v>207</v>
      </c>
      <c r="C273" s="29" t="s">
        <v>142</v>
      </c>
      <c r="D273" s="29" t="s">
        <v>421</v>
      </c>
      <c r="E273" s="29" t="s">
        <v>488</v>
      </c>
      <c r="F273" s="98" t="s">
        <v>490</v>
      </c>
      <c r="G273" s="94">
        <v>28.8</v>
      </c>
      <c r="H273" s="94">
        <v>166</v>
      </c>
      <c r="I273" s="93">
        <v>51.6</v>
      </c>
      <c r="J273" s="93">
        <v>166</v>
      </c>
      <c r="K273" s="93">
        <v>62.7</v>
      </c>
      <c r="L273" s="93">
        <v>159</v>
      </c>
      <c r="M273" s="93">
        <v>40</v>
      </c>
      <c r="N273" s="93">
        <v>53</v>
      </c>
      <c r="O273" s="93">
        <v>65</v>
      </c>
      <c r="P273" s="93" t="s">
        <v>10</v>
      </c>
      <c r="Q273" s="93">
        <v>1.5</v>
      </c>
      <c r="R273" s="93">
        <v>0.5</v>
      </c>
      <c r="S273" s="95" t="s">
        <v>211</v>
      </c>
      <c r="T273" s="95">
        <v>858.21759761352121</v>
      </c>
      <c r="U273" s="95">
        <v>1251.5673298530519</v>
      </c>
      <c r="V273" s="95">
        <v>1787.9533283615028</v>
      </c>
      <c r="W273" s="95" t="s">
        <v>211</v>
      </c>
      <c r="X273" s="95">
        <v>1187.4823067182112</v>
      </c>
      <c r="Y273" s="95">
        <v>1731.7450306307246</v>
      </c>
      <c r="Z273" s="95">
        <v>2473.9214723296068</v>
      </c>
      <c r="AB273" s="93" t="s">
        <v>470</v>
      </c>
      <c r="AC273" s="93">
        <v>1.4285714285714287E-2</v>
      </c>
      <c r="AD273" s="93">
        <v>4.2857142857142858E-2</v>
      </c>
      <c r="AE273" s="93">
        <v>7.1428571428571425E-2</v>
      </c>
      <c r="AF273" s="93">
        <v>0.91</v>
      </c>
      <c r="AG273" s="93">
        <v>1.28</v>
      </c>
      <c r="AH273" s="93">
        <v>1.67</v>
      </c>
      <c r="AI273" s="93">
        <v>61</v>
      </c>
      <c r="AJ273" s="93">
        <v>76</v>
      </c>
      <c r="AK273" s="93">
        <v>92</v>
      </c>
      <c r="AL273" s="96">
        <v>1.6312894322839271E-2</v>
      </c>
      <c r="AM273" s="59">
        <v>8.8046873214655208E-2</v>
      </c>
      <c r="AN273" s="59">
        <v>0.28225404599033371</v>
      </c>
      <c r="AO273" s="59">
        <v>1.6312894322839271E-2</v>
      </c>
      <c r="AP273" s="59">
        <v>8.8046873214655208E-2</v>
      </c>
      <c r="AQ273" s="59">
        <v>0.28225404599033371</v>
      </c>
      <c r="AR273" s="59">
        <v>1.5621238692313235E-2</v>
      </c>
      <c r="AS273" s="59">
        <v>9.026573751732106E-2</v>
      </c>
      <c r="AT273" s="59">
        <v>0.28015016713289848</v>
      </c>
      <c r="AV273" s="60">
        <v>6.2479055249353879</v>
      </c>
      <c r="AW273" s="60">
        <v>6.6808905526148097</v>
      </c>
      <c r="AX273" s="60">
        <v>7.1687242788877628</v>
      </c>
      <c r="AY273" s="60">
        <v>0.27029766160022517</v>
      </c>
      <c r="AZ273" s="60">
        <v>0.82691910788216416</v>
      </c>
      <c r="BA273" s="60">
        <v>3.1211285537243278</v>
      </c>
      <c r="BB273" s="2"/>
      <c r="BC273" s="61">
        <v>957.63963507358187</v>
      </c>
      <c r="BD273" s="61">
        <v>9391.8054973532599</v>
      </c>
      <c r="BE273" s="61">
        <v>191328.92618292235</v>
      </c>
      <c r="BG273" s="60">
        <v>6.6966675480486897</v>
      </c>
      <c r="BH273" s="60">
        <v>7.1296525757281115</v>
      </c>
      <c r="BI273" s="60">
        <v>7.6174863020010646</v>
      </c>
      <c r="BJ273" s="60">
        <v>0.43943026689458092</v>
      </c>
      <c r="BK273" s="60">
        <v>1.3443449052634551</v>
      </c>
      <c r="BL273" s="60">
        <v>5.0741036576331089</v>
      </c>
      <c r="BN273" s="61">
        <v>1556.8608249804504</v>
      </c>
      <c r="BO273" s="61">
        <v>15268.51387426319</v>
      </c>
      <c r="BP273" s="61">
        <v>311048.64392635616</v>
      </c>
      <c r="BR273" s="60">
        <v>6.8376972800545301</v>
      </c>
      <c r="BS273" s="60">
        <v>7.2706823077339537</v>
      </c>
      <c r="BT273" s="60">
        <v>7.7585160340069068</v>
      </c>
      <c r="BU273" s="60">
        <v>0.51689797737232168</v>
      </c>
      <c r="BV273" s="60">
        <v>1.5813411473274106</v>
      </c>
      <c r="BW273" s="60">
        <v>5.9686237275896739</v>
      </c>
      <c r="BX273" s="2"/>
      <c r="BY273" s="61">
        <v>1845.0746707108478</v>
      </c>
      <c r="BZ273" s="61">
        <v>17518.730703595789</v>
      </c>
      <c r="CA273" s="61">
        <v>382083.89521163021</v>
      </c>
      <c r="CC273">
        <v>418</v>
      </c>
      <c r="CD273">
        <v>207</v>
      </c>
      <c r="CE273">
        <v>627</v>
      </c>
    </row>
    <row r="274" spans="1:83" x14ac:dyDescent="0.2">
      <c r="A274">
        <v>419</v>
      </c>
      <c r="B274" t="s">
        <v>416</v>
      </c>
      <c r="C274" s="29" t="s">
        <v>142</v>
      </c>
      <c r="D274" s="29" t="s">
        <v>177</v>
      </c>
      <c r="E274" s="29" t="s">
        <v>42</v>
      </c>
      <c r="F274" s="97" t="s">
        <v>42</v>
      </c>
      <c r="G274" s="94" t="s">
        <v>42</v>
      </c>
      <c r="H274" s="94" t="s">
        <v>42</v>
      </c>
      <c r="I274" s="93">
        <v>23.9</v>
      </c>
      <c r="J274" s="93">
        <v>155</v>
      </c>
      <c r="K274" s="93">
        <v>56.4</v>
      </c>
      <c r="L274" s="93" t="s">
        <v>42</v>
      </c>
      <c r="M274" s="93">
        <v>40</v>
      </c>
      <c r="N274" s="93">
        <v>53</v>
      </c>
      <c r="O274" s="93">
        <v>65</v>
      </c>
      <c r="P274" s="93" t="s">
        <v>9</v>
      </c>
      <c r="Q274" s="93">
        <v>1.5</v>
      </c>
      <c r="R274" s="93">
        <v>0.5</v>
      </c>
      <c r="S274" s="93" t="s">
        <v>211</v>
      </c>
      <c r="T274" s="95">
        <v>237.96390163287674</v>
      </c>
      <c r="U274" s="95">
        <v>347.03068988127865</v>
      </c>
      <c r="V274" s="95">
        <v>495.75812840182653</v>
      </c>
      <c r="W274" s="95" t="s">
        <v>211</v>
      </c>
      <c r="X274" s="95" t="s">
        <v>42</v>
      </c>
      <c r="Y274" s="95" t="s">
        <v>42</v>
      </c>
      <c r="Z274" s="95" t="s">
        <v>42</v>
      </c>
      <c r="AB274" s="93" t="s">
        <v>470</v>
      </c>
      <c r="AC274" s="93">
        <v>1.4285714285714287E-2</v>
      </c>
      <c r="AD274" s="93">
        <v>4.2857142857142858E-2</v>
      </c>
      <c r="AE274" s="93">
        <v>7.1428571428571425E-2</v>
      </c>
      <c r="AF274" s="93">
        <v>0.91</v>
      </c>
      <c r="AG274" s="93">
        <v>1.28</v>
      </c>
      <c r="AH274" s="93">
        <v>1.67</v>
      </c>
      <c r="AI274" s="93">
        <v>61</v>
      </c>
      <c r="AJ274" s="93">
        <v>76</v>
      </c>
      <c r="AK274" s="93">
        <v>92</v>
      </c>
      <c r="AL274" s="93" t="s">
        <v>42</v>
      </c>
      <c r="AM274" s="57" t="s">
        <v>42</v>
      </c>
      <c r="AN274" s="57" t="s">
        <v>42</v>
      </c>
      <c r="AO274" s="59">
        <v>1.5120643349735464E-2</v>
      </c>
      <c r="AP274" s="59">
        <v>8.9478096363902651E-2</v>
      </c>
      <c r="AQ274" s="59">
        <v>0.28156648932034001</v>
      </c>
      <c r="AR274" s="58" t="s">
        <v>42</v>
      </c>
      <c r="AS274" s="58" t="s">
        <v>42</v>
      </c>
      <c r="AT274" s="58" t="s">
        <v>42</v>
      </c>
      <c r="AV274" s="59" t="s">
        <v>42</v>
      </c>
      <c r="AW274" s="59" t="s">
        <v>42</v>
      </c>
      <c r="AX274" s="59" t="s">
        <v>42</v>
      </c>
      <c r="AY274" s="59" t="s">
        <v>42</v>
      </c>
      <c r="AZ274" s="59" t="s">
        <v>42</v>
      </c>
      <c r="BA274" s="59" t="s">
        <v>42</v>
      </c>
      <c r="BB274" s="2"/>
      <c r="BC274" s="60" t="s">
        <v>42</v>
      </c>
      <c r="BD274" s="60" t="s">
        <v>42</v>
      </c>
      <c r="BE274" s="60" t="s">
        <v>42</v>
      </c>
      <c r="BG274" s="60">
        <v>6.1395812135835683</v>
      </c>
      <c r="BH274" s="60">
        <v>6.5725662412629902</v>
      </c>
      <c r="BI274" s="60">
        <v>7.0603999675359432</v>
      </c>
      <c r="BJ274" s="60">
        <v>0.23139117932064177</v>
      </c>
      <c r="BK274" s="60">
        <v>0.7078928705592159</v>
      </c>
      <c r="BL274" s="60">
        <v>2.67187519337755</v>
      </c>
      <c r="BN274" s="61">
        <v>821.7994260580723</v>
      </c>
      <c r="BO274" s="61">
        <v>7911.3537203591513</v>
      </c>
      <c r="BP274" s="61">
        <v>176703.80363969726</v>
      </c>
      <c r="BR274" s="60" t="s">
        <v>42</v>
      </c>
      <c r="BS274" s="60" t="s">
        <v>42</v>
      </c>
      <c r="BT274" s="60" t="s">
        <v>42</v>
      </c>
      <c r="BU274" s="60" t="s">
        <v>42</v>
      </c>
      <c r="BV274" s="60" t="s">
        <v>42</v>
      </c>
      <c r="BW274" s="60" t="s">
        <v>42</v>
      </c>
      <c r="BY274" s="60" t="s">
        <v>42</v>
      </c>
      <c r="BZ274" s="60" t="s">
        <v>42</v>
      </c>
      <c r="CA274" s="60" t="s">
        <v>42</v>
      </c>
      <c r="CC274">
        <v>419</v>
      </c>
      <c r="CD274" t="s">
        <v>416</v>
      </c>
    </row>
    <row r="275" spans="1:83" x14ac:dyDescent="0.2">
      <c r="D275"/>
      <c r="AL275" s="16"/>
      <c r="AM275" s="16"/>
      <c r="AN275" s="16"/>
      <c r="AO275" s="16"/>
      <c r="AP275" s="16"/>
      <c r="AQ275" s="16"/>
      <c r="AR275" s="16"/>
      <c r="AS275" s="16"/>
      <c r="AT275" s="16"/>
      <c r="AV275" s="16"/>
      <c r="AW275" s="16"/>
      <c r="AX275" s="16"/>
      <c r="AY275" s="16"/>
      <c r="AZ275" s="16"/>
      <c r="BA275" s="16"/>
    </row>
    <row r="276" spans="1:83" x14ac:dyDescent="0.2">
      <c r="D276"/>
      <c r="AL276" s="16"/>
      <c r="AM276" s="16"/>
      <c r="AN276" s="16"/>
      <c r="AO276" s="16"/>
      <c r="AP276" s="16"/>
      <c r="AQ276" s="16"/>
      <c r="AR276" s="16"/>
      <c r="AS276" s="16"/>
      <c r="AT276" s="16"/>
    </row>
    <row r="277" spans="1:83" x14ac:dyDescent="0.2">
      <c r="D277"/>
      <c r="AL277" s="16"/>
      <c r="AM277" s="16"/>
      <c r="AN277" s="16"/>
      <c r="AO277" s="16"/>
      <c r="AP277" s="16"/>
      <c r="AQ277" s="16"/>
      <c r="AR277" s="16"/>
      <c r="AS277" s="16"/>
      <c r="AT277" s="16"/>
    </row>
    <row r="278" spans="1:83" x14ac:dyDescent="0.2">
      <c r="D278"/>
      <c r="AL278" s="16"/>
      <c r="AM278" s="16"/>
      <c r="AN278" s="16"/>
      <c r="AO278" s="16"/>
      <c r="AP278" s="16"/>
      <c r="AQ278" s="16"/>
      <c r="AR278" s="16"/>
      <c r="AS278" s="16"/>
      <c r="AT278" s="16"/>
    </row>
    <row r="279" spans="1:83" x14ac:dyDescent="0.2">
      <c r="D279"/>
      <c r="AL279" s="16"/>
      <c r="AM279" s="16"/>
      <c r="AN279" s="16"/>
      <c r="AO279" s="16"/>
      <c r="AP279" s="16"/>
      <c r="AQ279" s="16"/>
      <c r="AR279" s="16"/>
      <c r="AS279" s="16"/>
      <c r="AT279" s="16"/>
    </row>
    <row r="280" spans="1:83" x14ac:dyDescent="0.2">
      <c r="D280"/>
      <c r="AL280" s="16"/>
      <c r="AM280" s="16"/>
      <c r="AN280" s="16"/>
      <c r="AO280" s="16"/>
      <c r="AP280" s="16"/>
      <c r="AQ280" s="16"/>
      <c r="AR280" s="16"/>
      <c r="AS280" s="16"/>
      <c r="AT280" s="16"/>
    </row>
    <row r="281" spans="1:83" x14ac:dyDescent="0.2">
      <c r="D281"/>
      <c r="AL281" s="16"/>
      <c r="AM281" s="16"/>
      <c r="AN281" s="16"/>
      <c r="AO281" s="16"/>
      <c r="AP281" s="16"/>
      <c r="AQ281" s="16"/>
      <c r="AR281" s="16"/>
      <c r="AS281" s="16"/>
      <c r="AT281" s="16"/>
    </row>
    <row r="282" spans="1:83" x14ac:dyDescent="0.2">
      <c r="D282"/>
      <c r="AL282" s="16"/>
      <c r="AM282" s="16"/>
      <c r="AN282" s="16"/>
      <c r="AO282" s="16"/>
      <c r="AP282" s="16"/>
      <c r="AQ282" s="16"/>
      <c r="AR282" s="16"/>
      <c r="AS282" s="16"/>
      <c r="AT282" s="16"/>
    </row>
    <row r="283" spans="1:83" x14ac:dyDescent="0.2">
      <c r="D283"/>
      <c r="AL283" s="16"/>
      <c r="AM283" s="16"/>
      <c r="AN283" s="16"/>
      <c r="AO283" s="16"/>
      <c r="AP283" s="16"/>
      <c r="AQ283" s="16"/>
      <c r="AR283" s="16"/>
      <c r="AS283" s="16"/>
      <c r="AT283" s="16"/>
    </row>
    <row r="284" spans="1:83" x14ac:dyDescent="0.2">
      <c r="D284"/>
      <c r="AL284" s="16"/>
      <c r="AM284" s="16"/>
      <c r="AN284" s="16"/>
      <c r="AO284" s="16"/>
      <c r="AP284" s="16"/>
      <c r="AQ284" s="16"/>
      <c r="AR284" s="16"/>
      <c r="AS284" s="16"/>
      <c r="AT284" s="16"/>
    </row>
    <row r="285" spans="1:83" x14ac:dyDescent="0.2">
      <c r="D285"/>
      <c r="AL285" s="16"/>
      <c r="AM285" s="16"/>
      <c r="AN285" s="16"/>
      <c r="AO285" s="16"/>
      <c r="AP285" s="16"/>
      <c r="AQ285" s="16"/>
      <c r="AR285" s="16"/>
      <c r="AS285" s="16"/>
      <c r="AT285" s="16"/>
    </row>
    <row r="286" spans="1:83" x14ac:dyDescent="0.2">
      <c r="D286"/>
      <c r="AL286" s="16"/>
      <c r="AM286" s="16"/>
      <c r="AN286" s="16"/>
      <c r="AO286" s="16"/>
      <c r="AP286" s="16"/>
      <c r="AQ286" s="16"/>
      <c r="AR286" s="16"/>
      <c r="AS286" s="16"/>
      <c r="AT286" s="16"/>
    </row>
    <row r="287" spans="1:83" x14ac:dyDescent="0.2">
      <c r="D287"/>
      <c r="AL287" s="16"/>
      <c r="AM287" s="16"/>
      <c r="AN287" s="16"/>
      <c r="AO287" s="16"/>
      <c r="AP287" s="16"/>
      <c r="AQ287" s="16"/>
      <c r="AR287" s="16"/>
      <c r="AS287" s="16"/>
      <c r="AT287" s="16"/>
    </row>
    <row r="288" spans="1:83" x14ac:dyDescent="0.2">
      <c r="D288"/>
      <c r="AL288" s="16"/>
      <c r="AM288" s="16"/>
      <c r="AN288" s="16"/>
      <c r="AO288" s="16"/>
      <c r="AP288" s="16"/>
      <c r="AQ288" s="16"/>
      <c r="AR288" s="16"/>
      <c r="AS288" s="16"/>
      <c r="AT288" s="16"/>
    </row>
    <row r="289" spans="4:83" x14ac:dyDescent="0.2">
      <c r="D289"/>
      <c r="AL289" s="16"/>
      <c r="AM289" s="16"/>
      <c r="AN289" s="16"/>
      <c r="AO289" s="16"/>
      <c r="AP289" s="16"/>
      <c r="AQ289" s="16"/>
      <c r="AR289" s="16"/>
      <c r="AS289" s="16"/>
      <c r="AT289" s="16"/>
    </row>
    <row r="290" spans="4:83" x14ac:dyDescent="0.2">
      <c r="D290"/>
      <c r="AL290" s="16"/>
      <c r="AM290" s="16"/>
      <c r="AN290" s="16"/>
      <c r="AO290" s="16"/>
      <c r="AP290" s="16"/>
      <c r="AQ290" s="16"/>
      <c r="AR290" s="16"/>
      <c r="AS290" s="16"/>
      <c r="AT290" s="16"/>
    </row>
    <row r="291" spans="4:83" x14ac:dyDescent="0.2">
      <c r="D291"/>
      <c r="AL291" s="16"/>
      <c r="AM291" s="16"/>
      <c r="AN291" s="16"/>
      <c r="AO291" s="16"/>
      <c r="AP291" s="16"/>
      <c r="AQ291" s="16"/>
      <c r="AR291" s="16"/>
      <c r="AS291" s="16"/>
      <c r="AT291" s="16"/>
    </row>
    <row r="292" spans="4:83" x14ac:dyDescent="0.2">
      <c r="D292"/>
      <c r="AL292" s="16"/>
      <c r="AM292" s="16"/>
      <c r="AN292" s="16"/>
      <c r="AO292" s="16"/>
      <c r="AP292" s="16"/>
      <c r="AQ292" s="16"/>
      <c r="AR292" s="16"/>
      <c r="AS292" s="16"/>
      <c r="AT292" s="16"/>
    </row>
    <row r="293" spans="4:83" x14ac:dyDescent="0.2">
      <c r="D293"/>
      <c r="AL293" s="16"/>
      <c r="AM293" s="16"/>
      <c r="AN293" s="16"/>
      <c r="AO293" s="16"/>
      <c r="AP293" s="16"/>
      <c r="AQ293" s="16"/>
      <c r="AR293" s="16"/>
      <c r="AS293" s="16"/>
      <c r="AT293" s="16"/>
    </row>
    <row r="294" spans="4:83" x14ac:dyDescent="0.2">
      <c r="D294"/>
      <c r="AL294" s="16"/>
      <c r="AM294" s="16"/>
      <c r="AN294" s="16"/>
      <c r="AO294" s="16"/>
      <c r="AP294" s="16"/>
      <c r="AQ294" s="16"/>
      <c r="AR294" s="16"/>
      <c r="AS294" s="16"/>
      <c r="AT294" s="16"/>
    </row>
    <row r="295" spans="4:83" x14ac:dyDescent="0.2">
      <c r="D295"/>
      <c r="AL295" s="16"/>
      <c r="AM295" s="16"/>
      <c r="AN295" s="16"/>
      <c r="AO295" s="16"/>
      <c r="AP295" s="16"/>
      <c r="AQ295" s="16"/>
      <c r="AR295" s="16"/>
      <c r="AS295" s="16"/>
      <c r="AT295" s="16"/>
    </row>
    <row r="296" spans="4:83" x14ac:dyDescent="0.2">
      <c r="D296"/>
      <c r="AL296" s="16"/>
      <c r="AM296" s="16"/>
      <c r="AN296" s="16"/>
      <c r="AO296" s="16"/>
      <c r="AP296" s="16"/>
      <c r="AQ296" s="16"/>
      <c r="AR296" s="16"/>
      <c r="AS296" s="16"/>
      <c r="AT296" s="16"/>
    </row>
    <row r="297" spans="4:83" x14ac:dyDescent="0.2">
      <c r="D297"/>
      <c r="AL297" s="16"/>
      <c r="AM297" s="16"/>
      <c r="AN297" s="16"/>
      <c r="AO297" s="16"/>
      <c r="AP297" s="16"/>
      <c r="AQ297" s="16"/>
      <c r="AR297" s="16"/>
      <c r="AS297" s="16"/>
      <c r="AT297" s="16"/>
    </row>
    <row r="298" spans="4:83" x14ac:dyDescent="0.2">
      <c r="D298"/>
      <c r="AL298" s="16"/>
      <c r="AM298" s="16"/>
      <c r="AN298" s="16"/>
      <c r="AO298" s="16"/>
      <c r="AP298" s="16"/>
      <c r="AQ298" s="16"/>
      <c r="AR298" s="16"/>
      <c r="AS298" s="16"/>
      <c r="AT298" s="16"/>
    </row>
    <row r="299" spans="4:83" x14ac:dyDescent="0.2">
      <c r="D299"/>
      <c r="AL299" s="16"/>
      <c r="AM299" s="16"/>
      <c r="AN299" s="16"/>
      <c r="AO299" s="16"/>
      <c r="AP299" s="16"/>
      <c r="AQ299" s="16"/>
      <c r="AR299" s="16"/>
      <c r="AS299" s="16"/>
      <c r="AT299" s="16"/>
    </row>
    <row r="300" spans="4:83" x14ac:dyDescent="0.2">
      <c r="D300"/>
      <c r="AL300" s="16"/>
      <c r="AM300" s="16"/>
      <c r="AN300" s="16"/>
      <c r="AO300" s="16"/>
      <c r="AP300" s="16"/>
      <c r="AQ300" s="16"/>
      <c r="AR300" s="16"/>
      <c r="AS300" s="16"/>
      <c r="AT300" s="16"/>
    </row>
    <row r="301" spans="4:83" x14ac:dyDescent="0.2">
      <c r="D301"/>
      <c r="AL301" s="16"/>
      <c r="AM301" s="16"/>
      <c r="AN301" s="16"/>
      <c r="AO301" s="16"/>
      <c r="AP301" s="16"/>
      <c r="AQ301" s="16"/>
      <c r="AR301" s="16"/>
      <c r="AS301" s="16"/>
      <c r="AT301" s="16"/>
    </row>
    <row r="302" spans="4:83" x14ac:dyDescent="0.2">
      <c r="D302"/>
      <c r="AL302" s="16"/>
      <c r="AM302" s="16"/>
      <c r="AN302" s="16"/>
      <c r="AO302" s="16"/>
      <c r="AP302" s="16"/>
      <c r="AQ302" s="16"/>
      <c r="AR302" s="16"/>
      <c r="AS302" s="16"/>
      <c r="AT302" s="16"/>
    </row>
    <row r="303" spans="4:83" x14ac:dyDescent="0.2">
      <c r="D303"/>
      <c r="AE303" s="7"/>
      <c r="AF303" s="7"/>
      <c r="AG303" s="7"/>
      <c r="AH303" s="7"/>
      <c r="AI303" s="7"/>
      <c r="AJ303" s="7"/>
      <c r="AK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</row>
    <row r="304" spans="4:83" x14ac:dyDescent="0.2">
      <c r="D304"/>
      <c r="AE304" s="7"/>
      <c r="AF304" s="7"/>
      <c r="AG304" s="7"/>
      <c r="AH304" s="7"/>
      <c r="AI304" s="7"/>
      <c r="AJ304" s="7"/>
      <c r="AK304" s="7"/>
      <c r="AV304" s="6"/>
      <c r="AW304" s="6"/>
      <c r="AX304" s="6"/>
      <c r="AY304" s="6"/>
      <c r="AZ304" s="6"/>
      <c r="BA304" s="6"/>
      <c r="BB304" s="6"/>
      <c r="BD304" s="7"/>
      <c r="BE304" s="7"/>
      <c r="BF304" s="7"/>
      <c r="BG304" s="7"/>
      <c r="BH304" s="7"/>
      <c r="BI304" s="7"/>
      <c r="BJ304" s="7"/>
      <c r="BK304" s="7"/>
      <c r="BL304" s="2"/>
      <c r="BM304" s="6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</row>
    <row r="305" spans="4:83" x14ac:dyDescent="0.2">
      <c r="D305"/>
      <c r="AE305" s="7"/>
      <c r="AF305" s="7"/>
      <c r="AG305" s="7"/>
      <c r="AH305" s="7"/>
      <c r="AI305" s="7"/>
      <c r="AJ305" s="7"/>
      <c r="AK305" s="7"/>
      <c r="AV305" s="6"/>
      <c r="AW305" s="6"/>
      <c r="AX305" s="6"/>
      <c r="AY305" s="6"/>
      <c r="AZ305" s="6"/>
      <c r="BA305" s="6"/>
      <c r="BB305" s="6"/>
      <c r="BD305" s="7"/>
      <c r="BE305" s="7"/>
      <c r="BF305" s="7"/>
      <c r="BG305" s="7"/>
      <c r="BH305" s="7"/>
      <c r="BI305" s="7"/>
      <c r="BJ305" s="7"/>
      <c r="BK305" s="7"/>
      <c r="BL305" s="2"/>
      <c r="BM305" s="6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</row>
    <row r="306" spans="4:83" x14ac:dyDescent="0.2">
      <c r="D306"/>
      <c r="AE306" s="7"/>
      <c r="AF306" s="7"/>
      <c r="AG306" s="7"/>
      <c r="AH306" s="7"/>
      <c r="AI306" s="7"/>
      <c r="AJ306" s="7"/>
      <c r="AK306" s="7"/>
      <c r="AV306" s="6"/>
      <c r="AW306" s="6"/>
      <c r="AX306" s="6"/>
      <c r="AY306" s="6"/>
      <c r="AZ306" s="6"/>
      <c r="BA306" s="6"/>
      <c r="BB306" s="6"/>
      <c r="BD306" s="7"/>
      <c r="BE306" s="7"/>
      <c r="BF306" s="7"/>
      <c r="BG306" s="7"/>
      <c r="BH306" s="7"/>
      <c r="BI306" s="7"/>
      <c r="BJ306" s="7"/>
      <c r="BK306" s="7"/>
      <c r="BL306" s="2"/>
      <c r="BM306" s="6"/>
      <c r="BW306" s="2"/>
      <c r="BX306" s="6"/>
    </row>
    <row r="307" spans="4:83" x14ac:dyDescent="0.2">
      <c r="D307"/>
      <c r="AE307" s="7"/>
      <c r="AF307" s="7"/>
      <c r="AG307" s="7"/>
      <c r="AH307" s="7"/>
      <c r="AI307" s="7"/>
      <c r="AJ307" s="7"/>
      <c r="AK307" s="7"/>
      <c r="AV307" s="6"/>
      <c r="AW307" s="6"/>
      <c r="AX307" s="6"/>
      <c r="AY307" s="6"/>
      <c r="AZ307" s="6"/>
      <c r="BA307" s="6"/>
      <c r="BB307" s="6"/>
      <c r="BD307" s="7"/>
      <c r="BE307" s="7"/>
      <c r="BF307" s="7"/>
      <c r="BG307" s="7"/>
      <c r="BH307" s="7"/>
      <c r="BI307" s="7"/>
      <c r="BJ307" s="7"/>
      <c r="BK307" s="7"/>
      <c r="BL307" s="2"/>
      <c r="BM307" s="6"/>
      <c r="BW307" s="2"/>
      <c r="BX307" s="6"/>
    </row>
    <row r="308" spans="4:83" x14ac:dyDescent="0.2">
      <c r="D308"/>
      <c r="AE308" s="7"/>
      <c r="AF308" s="7"/>
      <c r="AG308" s="7"/>
      <c r="AH308" s="7"/>
      <c r="AI308" s="7"/>
      <c r="AJ308" s="7"/>
      <c r="AK308" s="7"/>
      <c r="AV308" s="6"/>
      <c r="AW308" s="6"/>
      <c r="AX308" s="6"/>
      <c r="AY308" s="6"/>
      <c r="AZ308" s="6"/>
      <c r="BA308" s="6"/>
      <c r="BB308" s="6"/>
      <c r="BG308" s="2"/>
      <c r="BH308" s="2"/>
      <c r="BI308" s="2"/>
      <c r="BJ308" s="2"/>
      <c r="BK308" s="2"/>
      <c r="BL308" s="2"/>
      <c r="BM308" s="6"/>
      <c r="BR308" s="2"/>
      <c r="BS308" s="2"/>
      <c r="BT308" s="2"/>
      <c r="BU308" s="2"/>
      <c r="BV308" s="2"/>
      <c r="BW308" s="2"/>
      <c r="BX308" s="6"/>
    </row>
    <row r="309" spans="4:83" x14ac:dyDescent="0.2">
      <c r="D309"/>
      <c r="AE309" s="7"/>
      <c r="AF309" s="7"/>
      <c r="AG309" s="7"/>
      <c r="AH309" s="7"/>
      <c r="AI309" s="7"/>
      <c r="AJ309" s="7"/>
      <c r="AK309" s="7"/>
      <c r="AV309" s="6"/>
      <c r="AW309" s="6"/>
      <c r="AX309" s="6"/>
      <c r="AY309" s="6"/>
      <c r="AZ309" s="6"/>
      <c r="BA309" s="6"/>
      <c r="BB309" s="6"/>
      <c r="BG309" s="6"/>
      <c r="BH309" s="6"/>
      <c r="BI309" s="6"/>
      <c r="BJ309" s="6"/>
      <c r="BK309" s="6"/>
      <c r="BL309" s="6"/>
      <c r="BM309" s="6"/>
      <c r="BR309" s="6"/>
      <c r="BS309" s="6"/>
      <c r="BT309" s="6"/>
      <c r="BU309" s="6"/>
      <c r="BV309" s="6"/>
      <c r="BW309" s="6"/>
      <c r="BX309" s="6"/>
    </row>
    <row r="310" spans="4:83" x14ac:dyDescent="0.2">
      <c r="D310"/>
      <c r="AE310" s="4"/>
      <c r="AF310" s="4"/>
      <c r="AG310" s="4"/>
      <c r="AH310" s="4"/>
      <c r="AI310" s="4"/>
      <c r="AJ310" s="4"/>
      <c r="AK310" s="4"/>
      <c r="AM310" s="4"/>
    </row>
    <row r="311" spans="4:83" x14ac:dyDescent="0.2">
      <c r="D311"/>
    </row>
  </sheetData>
  <mergeCells count="8">
    <mergeCell ref="BR2:BW2"/>
    <mergeCell ref="BY2:CA2"/>
    <mergeCell ref="E2:U2"/>
    <mergeCell ref="AV2:BA2"/>
    <mergeCell ref="BC2:BE2"/>
    <mergeCell ref="BG2:BL2"/>
    <mergeCell ref="BN2:BP2"/>
    <mergeCell ref="AB2:AQ2"/>
  </mergeCells>
  <phoneticPr fontId="1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137F-E7DA-B441-900E-E7FF6616DA06}">
  <dimension ref="A1:AC208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W20" sqref="W20"/>
    </sheetView>
  </sheetViews>
  <sheetFormatPr baseColWidth="10" defaultRowHeight="16" x14ac:dyDescent="0.2"/>
  <cols>
    <col min="2" max="2" width="23.1640625" bestFit="1" customWidth="1"/>
    <col min="3" max="3" width="30.83203125" customWidth="1"/>
    <col min="4" max="4" width="23.1640625" customWidth="1"/>
    <col min="5" max="5" width="8.33203125" customWidth="1"/>
    <col min="23" max="25" width="13.33203125" customWidth="1"/>
    <col min="26" max="26" width="12.1640625" bestFit="1" customWidth="1"/>
    <col min="27" max="28" width="15.5" customWidth="1"/>
    <col min="30" max="31" width="12.1640625" bestFit="1" customWidth="1"/>
    <col min="34" max="35" width="12.1640625" bestFit="1" customWidth="1"/>
    <col min="41" max="41" width="24.1640625" customWidth="1"/>
  </cols>
  <sheetData>
    <row r="1" spans="1:29" ht="17" x14ac:dyDescent="0.2">
      <c r="A1" t="s">
        <v>184</v>
      </c>
      <c r="B1" t="s">
        <v>125</v>
      </c>
      <c r="C1" t="s">
        <v>130</v>
      </c>
      <c r="D1" s="38" t="s">
        <v>186</v>
      </c>
      <c r="E1" t="s">
        <v>260</v>
      </c>
      <c r="F1" t="s">
        <v>128</v>
      </c>
      <c r="G1" t="s">
        <v>129</v>
      </c>
      <c r="H1" t="s">
        <v>127</v>
      </c>
      <c r="I1" t="s">
        <v>126</v>
      </c>
      <c r="J1" t="s">
        <v>131</v>
      </c>
      <c r="K1" t="s">
        <v>46</v>
      </c>
      <c r="L1" t="s">
        <v>319</v>
      </c>
      <c r="M1" t="s">
        <v>320</v>
      </c>
      <c r="N1" t="s">
        <v>132</v>
      </c>
      <c r="O1" t="s">
        <v>134</v>
      </c>
      <c r="P1" t="s">
        <v>334</v>
      </c>
      <c r="Q1" t="s">
        <v>232</v>
      </c>
      <c r="R1" t="s">
        <v>227</v>
      </c>
      <c r="S1" t="s">
        <v>230</v>
      </c>
      <c r="T1" t="s">
        <v>321</v>
      </c>
      <c r="U1" t="s">
        <v>322</v>
      </c>
      <c r="V1" t="s">
        <v>323</v>
      </c>
      <c r="W1" t="s">
        <v>324</v>
      </c>
      <c r="X1" t="s">
        <v>325</v>
      </c>
      <c r="Y1" t="s">
        <v>326</v>
      </c>
      <c r="Z1" t="s">
        <v>327</v>
      </c>
      <c r="AA1" t="s">
        <v>474</v>
      </c>
      <c r="AB1" t="s">
        <v>473</v>
      </c>
      <c r="AC1" t="s">
        <v>565</v>
      </c>
    </row>
    <row r="2" spans="1:29" x14ac:dyDescent="0.2">
      <c r="A2">
        <f>VLOOKUP(C2,Leonard2010!E:CD,78,FALSE)</f>
        <v>1</v>
      </c>
      <c r="B2" s="40" t="s">
        <v>3</v>
      </c>
      <c r="C2" s="40" t="s">
        <v>97</v>
      </c>
      <c r="D2" s="40" t="s">
        <v>42</v>
      </c>
      <c r="E2">
        <v>1</v>
      </c>
      <c r="F2">
        <v>-15.5</v>
      </c>
      <c r="G2">
        <v>33.802</v>
      </c>
      <c r="H2">
        <v>30.4</v>
      </c>
      <c r="I2">
        <v>132</v>
      </c>
      <c r="J2">
        <v>53</v>
      </c>
      <c r="K2" t="str">
        <f>VLOOKUP(C2,Leonard2010!E:P,12,FALSE)</f>
        <v>SW</v>
      </c>
      <c r="L2">
        <f>VLOOKUP(C2,Leonard2010!E:Q,13,FALSE)</f>
        <v>0</v>
      </c>
      <c r="M2">
        <f>VLOOKUP(C2,Leonard2010!E:R,14,FALSE)</f>
        <v>0</v>
      </c>
      <c r="N2">
        <f>MIN((((H2*1000)^(2/3)*17.5)/1000),((35-M2)/SIN(RADIANS(J2))))</f>
        <v>17.045919681314007</v>
      </c>
      <c r="O2">
        <f>VLOOKUP(B2,Leonard2010!D:CC,78,FALSE)</f>
        <v>302</v>
      </c>
      <c r="P2">
        <f>VLOOKUP(B2,FaultGeometry!B:G,6,FALSE)</f>
        <v>127</v>
      </c>
      <c r="Q2">
        <f>VLOOKUP(B2,FaultGeometry!B:L,11,FALSE)</f>
        <v>43.824748035467898</v>
      </c>
      <c r="R2">
        <f>VLOOKUP(C2,Leonard2010!E:CE,79,FALSE)</f>
        <v>0</v>
      </c>
      <c r="S2" t="str">
        <f>VLOOKUP(R2,FaultGeometry!W:X,2,FALSE)</f>
        <v>NA</v>
      </c>
      <c r="T2">
        <f>VLOOKUP(C2,Leonard2010!E:BA,44,FALSE)</f>
        <v>6.2870406846845936</v>
      </c>
      <c r="U2">
        <f>VLOOKUP(C2,Leonard2010!E:BA,45,FALSE)</f>
        <v>6.7200257123640155</v>
      </c>
      <c r="V2">
        <f>VLOOKUP(C2,Leonard2010!E:BB,46,FALSE)</f>
        <v>7.2078594386369685</v>
      </c>
      <c r="W2">
        <v>314.20487706474194</v>
      </c>
      <c r="X2">
        <v>1005.9066243276908</v>
      </c>
      <c r="Y2">
        <v>3220.345101956641</v>
      </c>
      <c r="Z2">
        <f>IF(U2="NA",0,E2*10^(U2*1.5+9.05)/X2)</f>
        <v>1.3411609518369818E+16</v>
      </c>
      <c r="AA2">
        <v>0.82925809104901693</v>
      </c>
      <c r="AB2">
        <v>0.42135102646154088</v>
      </c>
      <c r="AC2">
        <f>N2*H2</f>
        <v>518.19595831194579</v>
      </c>
    </row>
    <row r="3" spans="1:29" x14ac:dyDescent="0.2">
      <c r="A3">
        <f>VLOOKUP(C3,Leonard2010!E:CD,78,FALSE)</f>
        <v>2</v>
      </c>
      <c r="B3" s="40" t="s">
        <v>3</v>
      </c>
      <c r="C3" s="40" t="s">
        <v>297</v>
      </c>
      <c r="D3" s="40" t="s">
        <v>42</v>
      </c>
      <c r="E3">
        <v>1</v>
      </c>
      <c r="F3">
        <v>-15.894</v>
      </c>
      <c r="G3">
        <v>34.405999999999999</v>
      </c>
      <c r="H3">
        <v>62.4</v>
      </c>
      <c r="I3">
        <v>130</v>
      </c>
      <c r="J3">
        <v>53</v>
      </c>
      <c r="K3" t="str">
        <f>VLOOKUP(C3,Leonard2010!E:P,12,FALSE)</f>
        <v>SW</v>
      </c>
      <c r="L3">
        <f>VLOOKUP(C3,Leonard2010!E:Q,13,FALSE)</f>
        <v>0</v>
      </c>
      <c r="M3">
        <f>VLOOKUP(C3,Leonard2010!E:R,14,FALSE)</f>
        <v>0</v>
      </c>
      <c r="N3">
        <f t="shared" ref="N3:N62" si="0">MIN((((H3*1000)^(2/3)*17.5)/1000),((35-M3)/SIN(RADIANS(J3))))</f>
        <v>27.531366963530729</v>
      </c>
      <c r="O3">
        <f>VLOOKUP(B3,Leonard2010!D:CC,78,FALSE)</f>
        <v>302</v>
      </c>
      <c r="P3">
        <f>VLOOKUP(B3,FaultGeometry!B:G,6,FALSE)</f>
        <v>127</v>
      </c>
      <c r="Q3">
        <f>VLOOKUP(B3,FaultGeometry!B:L,11,FALSE)</f>
        <v>43.824748035467898</v>
      </c>
      <c r="R3">
        <f>VLOOKUP(C3,Leonard2010!E:CE,79,FALSE)</f>
        <v>0</v>
      </c>
      <c r="S3" t="str">
        <f>VLOOKUP(R3,FaultGeometry!W:X,2,FALSE)</f>
        <v>NA</v>
      </c>
      <c r="T3">
        <f>VLOOKUP(C3,Leonard2010!E:BA,44,FALSE)</f>
        <v>6.8075590281407115</v>
      </c>
      <c r="U3">
        <f>VLOOKUP(C3,Leonard2010!E:BA,45,FALSE)</f>
        <v>7.2405440558201333</v>
      </c>
      <c r="V3">
        <f>VLOOKUP(C3,Leonard2010!E:BB,46,FALSE)</f>
        <v>7.7283777820930863</v>
      </c>
      <c r="W3">
        <v>572.89337237127131</v>
      </c>
      <c r="X3">
        <v>1841.1092239582297</v>
      </c>
      <c r="Y3">
        <v>5916.7784757463469</v>
      </c>
      <c r="Z3">
        <f t="shared" ref="Z3:Z68" si="1">IF(U3="NA",0,E3*10^(U3*1.5+9.05)/X3)</f>
        <v>4.4231995210588816E+16</v>
      </c>
      <c r="AA3">
        <v>0.82310537479035228</v>
      </c>
      <c r="AB3">
        <v>0.42765611986107177</v>
      </c>
      <c r="AC3">
        <f t="shared" ref="AC3:AC66" si="2">N3*H3</f>
        <v>1717.9572985243174</v>
      </c>
    </row>
    <row r="4" spans="1:29" x14ac:dyDescent="0.2">
      <c r="A4">
        <f>VLOOKUP(C4,Leonard2010!E:CD,78,FALSE)</f>
        <v>3</v>
      </c>
      <c r="B4" s="40" t="s">
        <v>3</v>
      </c>
      <c r="C4" s="40" t="s">
        <v>156</v>
      </c>
      <c r="D4" s="40" t="s">
        <v>42</v>
      </c>
      <c r="E4">
        <v>1</v>
      </c>
      <c r="F4">
        <v>-15.893000000000001</v>
      </c>
      <c r="G4">
        <v>34.399000000000001</v>
      </c>
      <c r="H4">
        <v>0.8</v>
      </c>
      <c r="I4">
        <v>100</v>
      </c>
      <c r="J4">
        <v>53</v>
      </c>
      <c r="K4" t="str">
        <f>VLOOKUP(C4,Leonard2010!E:P,12,FALSE)</f>
        <v>SW</v>
      </c>
      <c r="L4">
        <f>VLOOKUP(C4,Leonard2010!E:Q,13,FALSE)</f>
        <v>0</v>
      </c>
      <c r="M4">
        <f>VLOOKUP(C4,Leonard2010!E:R,14,FALSE)</f>
        <v>0</v>
      </c>
      <c r="N4">
        <f t="shared" si="0"/>
        <v>1.5081042830223179</v>
      </c>
      <c r="O4">
        <f>VLOOKUP(B4,Leonard2010!D:CC,78,FALSE)</f>
        <v>302</v>
      </c>
      <c r="P4">
        <f>VLOOKUP(B4,FaultGeometry!B:G,6,FALSE)</f>
        <v>127</v>
      </c>
      <c r="Q4">
        <f>VLOOKUP(B4,FaultGeometry!B:L,11,FALSE)</f>
        <v>43.824748035467898</v>
      </c>
      <c r="R4">
        <f>VLOOKUP(C4,Leonard2010!E:CE,79,FALSE)</f>
        <v>0</v>
      </c>
      <c r="S4" t="str">
        <f>VLOOKUP(R4,FaultGeometry!W:X,2,FALSE)</f>
        <v>NA</v>
      </c>
      <c r="T4" t="str">
        <f>VLOOKUP(C4,Leonard2010!E:BA,44,FALSE)</f>
        <v>NA</v>
      </c>
      <c r="U4" t="str">
        <f>VLOOKUP(C4,Leonard2010!E:BA,45,FALSE)</f>
        <v>NA</v>
      </c>
      <c r="V4" t="str">
        <f>VLOOKUP(C4,Leonard2010!E:BB,46,FALSE)</f>
        <v>NA</v>
      </c>
      <c r="W4" t="str">
        <f>IF(T4="NA","NA",VLOOKUP(C4,Leonard2010!E:BD,51,FALSE)/E4)</f>
        <v>NA</v>
      </c>
      <c r="X4" t="str">
        <f>IF(U4="NA","NA",VLOOKUP(C4,Leonard2010!E:BE,52,FALSE)/E4)</f>
        <v>NA</v>
      </c>
      <c r="Y4" t="str">
        <f>IF(V4="NA","NA",VLOOKUP(C4,Leonard2010!E:BF,53,FALSE)/E4)</f>
        <v>NA</v>
      </c>
      <c r="Z4">
        <f t="shared" si="1"/>
        <v>0</v>
      </c>
      <c r="AA4" t="str">
        <f>IF(X4="NA","NA",VLOOKUP(E4,Leonard2010!G:BH,53,FALSE)/G4)</f>
        <v>NA</v>
      </c>
      <c r="AB4" t="str">
        <f>IF(Y4="NA","NA",VLOOKUP(F4,Leonard2010!H:BI,53,FALSE)/H4)</f>
        <v>NA</v>
      </c>
      <c r="AC4">
        <f t="shared" si="2"/>
        <v>1.2064834264178543</v>
      </c>
    </row>
    <row r="5" spans="1:29" x14ac:dyDescent="0.2">
      <c r="A5">
        <f>VLOOKUP(C5,Leonard2010!E:CD,78,FALSE)</f>
        <v>4</v>
      </c>
      <c r="B5" s="40" t="s">
        <v>3</v>
      </c>
      <c r="C5" s="40" t="s">
        <v>300</v>
      </c>
      <c r="D5" s="40" t="s">
        <v>42</v>
      </c>
      <c r="E5">
        <v>1</v>
      </c>
      <c r="F5">
        <v>-15.826000000000001</v>
      </c>
      <c r="G5">
        <v>34.335999999999999</v>
      </c>
      <c r="H5">
        <v>10</v>
      </c>
      <c r="I5">
        <v>138</v>
      </c>
      <c r="J5">
        <v>53</v>
      </c>
      <c r="K5" t="str">
        <f>VLOOKUP(C5,Leonard2010!E:P,12,FALSE)</f>
        <v>SW</v>
      </c>
      <c r="L5">
        <f>VLOOKUP(C5,Leonard2010!E:Q,13,FALSE)</f>
        <v>0</v>
      </c>
      <c r="M5">
        <f>VLOOKUP(C5,Leonard2010!E:R,14,FALSE)</f>
        <v>0</v>
      </c>
      <c r="N5">
        <f t="shared" si="0"/>
        <v>8.1227804588223673</v>
      </c>
      <c r="O5">
        <f>VLOOKUP(B5,Leonard2010!D:CC,78,FALSE)</f>
        <v>302</v>
      </c>
      <c r="P5">
        <f>VLOOKUP(B5,FaultGeometry!B:G,6,FALSE)</f>
        <v>127</v>
      </c>
      <c r="Q5">
        <f>VLOOKUP(B5,FaultGeometry!B:L,11,FALSE)</f>
        <v>43.824748035467898</v>
      </c>
      <c r="R5">
        <f>VLOOKUP(C5,Leonard2010!E:CE,79,FALSE)</f>
        <v>0</v>
      </c>
      <c r="S5" t="str">
        <f>VLOOKUP(R5,FaultGeometry!W:X,2,FALSE)</f>
        <v>NA</v>
      </c>
      <c r="T5">
        <f>VLOOKUP(C5,Leonard2010!E:BA,44,FALSE)</f>
        <v>5.4822513786700044</v>
      </c>
      <c r="U5">
        <f>VLOOKUP(C5,Leonard2010!E:BA,45,FALSE)</f>
        <v>5.9152364063494263</v>
      </c>
      <c r="V5">
        <f>VLOOKUP(C5,Leonard2010!E:BB,46,FALSE)</f>
        <v>6.4030701326223793</v>
      </c>
      <c r="W5">
        <v>124.90986501318906</v>
      </c>
      <c r="X5">
        <v>380.02378687220903</v>
      </c>
      <c r="Y5">
        <v>1156.178325654625</v>
      </c>
      <c r="Z5">
        <f t="shared" si="1"/>
        <v>2203148789620414.2</v>
      </c>
      <c r="AA5">
        <v>0.86148551361838821</v>
      </c>
      <c r="AB5">
        <v>0.42453880260942239</v>
      </c>
      <c r="AC5">
        <f t="shared" si="2"/>
        <v>81.227804588223677</v>
      </c>
    </row>
    <row r="6" spans="1:29" x14ac:dyDescent="0.2">
      <c r="A6">
        <f>VLOOKUP(C6,Leonard2010!E:CD,78,FALSE)</f>
        <v>5</v>
      </c>
      <c r="B6" s="40" t="s">
        <v>3</v>
      </c>
      <c r="C6" s="40" t="s">
        <v>157</v>
      </c>
      <c r="D6" s="40" t="s">
        <v>42</v>
      </c>
      <c r="E6">
        <v>1</v>
      </c>
      <c r="F6">
        <v>-15.83</v>
      </c>
      <c r="G6">
        <v>34.317</v>
      </c>
      <c r="H6">
        <v>2.1</v>
      </c>
      <c r="I6">
        <v>80</v>
      </c>
      <c r="J6">
        <v>53</v>
      </c>
      <c r="K6" t="str">
        <f>VLOOKUP(C6,Leonard2010!E:P,12,FALSE)</f>
        <v>SE</v>
      </c>
      <c r="L6">
        <f>VLOOKUP(C6,Leonard2010!E:Q,13,FALSE)</f>
        <v>0</v>
      </c>
      <c r="M6">
        <f>VLOOKUP(C6,Leonard2010!E:R,14,FALSE)</f>
        <v>0</v>
      </c>
      <c r="N6">
        <f t="shared" si="0"/>
        <v>2.8697952461501175</v>
      </c>
      <c r="O6">
        <f>VLOOKUP(B6,Leonard2010!D:CC,78,FALSE)</f>
        <v>302</v>
      </c>
      <c r="P6">
        <f>VLOOKUP(B6,FaultGeometry!B:G,6,FALSE)</f>
        <v>127</v>
      </c>
      <c r="Q6">
        <f>VLOOKUP(B6,FaultGeometry!B:L,11,FALSE)</f>
        <v>43.824748035467898</v>
      </c>
      <c r="R6">
        <f>VLOOKUP(C6,Leonard2010!E:CE,79,FALSE)</f>
        <v>0</v>
      </c>
      <c r="S6" t="str">
        <f>VLOOKUP(R6,FaultGeometry!W:X,2,FALSE)</f>
        <v>NA</v>
      </c>
      <c r="T6" t="str">
        <f>VLOOKUP(C6,Leonard2010!E:BA,44,FALSE)</f>
        <v>NA</v>
      </c>
      <c r="U6" t="str">
        <f>VLOOKUP(C6,Leonard2010!E:BA,45,FALSE)</f>
        <v>NA</v>
      </c>
      <c r="V6" t="str">
        <f>VLOOKUP(C6,Leonard2010!E:BB,46,FALSE)</f>
        <v>NA</v>
      </c>
      <c r="W6" t="str">
        <f>IF(T6="NA","NA",VLOOKUP(C6,Leonard2010!E:BD,51,FALSE)/E6)</f>
        <v>NA</v>
      </c>
      <c r="X6" t="str">
        <f>IF(U6="NA","NA",VLOOKUP(C6,Leonard2010!E:BE,52,FALSE)/E6)</f>
        <v>NA</v>
      </c>
      <c r="Y6" t="str">
        <f>IF(V6="NA","NA",VLOOKUP(C6,Leonard2010!E:BF,53,FALSE)/E6)</f>
        <v>NA</v>
      </c>
      <c r="Z6">
        <f t="shared" si="1"/>
        <v>0</v>
      </c>
      <c r="AA6" t="str">
        <f>IF(X6="NA","NA",VLOOKUP(E6,Leonard2010!G:BH,53,FALSE)/G6)</f>
        <v>NA</v>
      </c>
      <c r="AB6" t="str">
        <f>IF(Y6="NA","NA",VLOOKUP(F6,Leonard2010!H:BI,53,FALSE)/H6)</f>
        <v>NA</v>
      </c>
      <c r="AC6">
        <f t="shared" si="2"/>
        <v>6.0265700169152474</v>
      </c>
    </row>
    <row r="7" spans="1:29" x14ac:dyDescent="0.2">
      <c r="A7">
        <f>VLOOKUP(C7,Leonard2010!E:CD,78,FALSE)</f>
        <v>6</v>
      </c>
      <c r="B7" s="40" t="s">
        <v>3</v>
      </c>
      <c r="C7" s="40" t="s">
        <v>298</v>
      </c>
      <c r="D7" s="40" t="s">
        <v>42</v>
      </c>
      <c r="E7">
        <v>1</v>
      </c>
      <c r="F7">
        <v>-15.698</v>
      </c>
      <c r="G7">
        <v>34.167999999999999</v>
      </c>
      <c r="H7">
        <v>21.6</v>
      </c>
      <c r="I7">
        <v>133</v>
      </c>
      <c r="J7">
        <v>53</v>
      </c>
      <c r="K7" t="str">
        <f>VLOOKUP(C7,Leonard2010!E:P,12,FALSE)</f>
        <v>SW</v>
      </c>
      <c r="L7">
        <f>VLOOKUP(C7,Leonard2010!E:Q,13,FALSE)</f>
        <v>0</v>
      </c>
      <c r="M7">
        <f>VLOOKUP(C7,Leonard2010!E:R,14,FALSE)</f>
        <v>0</v>
      </c>
      <c r="N7">
        <f t="shared" si="0"/>
        <v>13.572938547200868</v>
      </c>
      <c r="O7">
        <f>VLOOKUP(B7,Leonard2010!D:CC,78,FALSE)</f>
        <v>302</v>
      </c>
      <c r="P7">
        <f>VLOOKUP(B7,FaultGeometry!B:G,6,FALSE)</f>
        <v>127</v>
      </c>
      <c r="Q7">
        <f>VLOOKUP(B7,FaultGeometry!B:L,11,FALSE)</f>
        <v>43.824748035467898</v>
      </c>
      <c r="R7">
        <f>VLOOKUP(C7,Leonard2010!E:CE,79,FALSE)</f>
        <v>0</v>
      </c>
      <c r="S7" t="str">
        <f>VLOOKUP(R7,FaultGeometry!W:X,2,FALSE)</f>
        <v>NA</v>
      </c>
      <c r="T7">
        <f>VLOOKUP(C7,Leonard2010!E:BA,44,FALSE)</f>
        <v>6.039674297254888</v>
      </c>
      <c r="U7">
        <f>VLOOKUP(C7,Leonard2010!E:BA,45,FALSE)</f>
        <v>6.4726593249343098</v>
      </c>
      <c r="V7">
        <f>VLOOKUP(C7,Leonard2010!E:BB,46,FALSE)</f>
        <v>6.9604930512072629</v>
      </c>
      <c r="W7">
        <v>233.47019436709013</v>
      </c>
      <c r="X7">
        <v>751.51174449384098</v>
      </c>
      <c r="Y7">
        <v>2419.0235659125569</v>
      </c>
      <c r="Z7">
        <f t="shared" si="1"/>
        <v>7639293842996906</v>
      </c>
      <c r="AA7">
        <v>0.83559498980302438</v>
      </c>
      <c r="AB7">
        <v>0.43226757631089041</v>
      </c>
      <c r="AC7">
        <f t="shared" si="2"/>
        <v>293.17547261953877</v>
      </c>
    </row>
    <row r="8" spans="1:29" ht="17" customHeight="1" x14ac:dyDescent="0.2">
      <c r="A8">
        <f>VLOOKUP(C8,Leonard2010!E:CD,78,FALSE)</f>
        <v>7</v>
      </c>
      <c r="B8" s="40" t="s">
        <v>3</v>
      </c>
      <c r="C8" s="40" t="s">
        <v>299</v>
      </c>
      <c r="D8" s="40" t="s">
        <v>42</v>
      </c>
      <c r="E8">
        <v>1</v>
      </c>
      <c r="F8">
        <v>-15.683999999999999</v>
      </c>
      <c r="G8">
        <v>34.012999999999998</v>
      </c>
      <c r="H8">
        <v>16.7</v>
      </c>
      <c r="I8">
        <v>96</v>
      </c>
      <c r="J8">
        <v>53</v>
      </c>
      <c r="K8" t="str">
        <f>VLOOKUP(C8,Leonard2010!E:P,12,FALSE)</f>
        <v>SW</v>
      </c>
      <c r="L8">
        <f>VLOOKUP(C8,Leonard2010!E:Q,13,FALSE)</f>
        <v>0</v>
      </c>
      <c r="M8">
        <f>VLOOKUP(C8,Leonard2010!E:R,14,FALSE)</f>
        <v>0</v>
      </c>
      <c r="N8">
        <f t="shared" si="0"/>
        <v>11.433583368357672</v>
      </c>
      <c r="O8">
        <f>VLOOKUP(B8,Leonard2010!D:CC,78,FALSE)</f>
        <v>302</v>
      </c>
      <c r="P8">
        <f>VLOOKUP(B8,FaultGeometry!B:G,6,FALSE)</f>
        <v>127</v>
      </c>
      <c r="Q8">
        <f>VLOOKUP(B8,FaultGeometry!B:L,11,FALSE)</f>
        <v>43.824748035467898</v>
      </c>
      <c r="R8">
        <f>VLOOKUP(C8,Leonard2010!E:CE,79,FALSE)</f>
        <v>0</v>
      </c>
      <c r="S8" t="str">
        <f>VLOOKUP(R8,FaultGeometry!W:X,2,FALSE)</f>
        <v>NA</v>
      </c>
      <c r="T8">
        <f>VLOOKUP(C8,Leonard2010!E:BA,44,FALSE)</f>
        <v>5.8534454972493108</v>
      </c>
      <c r="U8">
        <f>VLOOKUP(C8,Leonard2010!E:BA,45,FALSE)</f>
        <v>6.2864305249287327</v>
      </c>
      <c r="V8">
        <f>VLOOKUP(C8,Leonard2010!E:BB,46,FALSE)</f>
        <v>6.7742642512016857</v>
      </c>
      <c r="W8">
        <v>208.89198265063163</v>
      </c>
      <c r="X8">
        <v>821.21043830446285</v>
      </c>
      <c r="Y8">
        <v>3228.3985982751078</v>
      </c>
      <c r="Z8">
        <f t="shared" si="1"/>
        <v>3674441406383205.5</v>
      </c>
      <c r="AA8">
        <v>0.60159066321763643</v>
      </c>
      <c r="AB8">
        <v>0.4170314418586657</v>
      </c>
      <c r="AC8">
        <f t="shared" si="2"/>
        <v>190.94084225157312</v>
      </c>
    </row>
    <row r="9" spans="1:29" x14ac:dyDescent="0.2">
      <c r="A9">
        <f>VLOOKUP(C9,Leonard2010!E:CD,78,FALSE)</f>
        <v>8</v>
      </c>
      <c r="B9" s="8" t="s">
        <v>53</v>
      </c>
      <c r="C9" s="8" t="s">
        <v>50</v>
      </c>
      <c r="D9" s="8" t="s">
        <v>42</v>
      </c>
      <c r="E9">
        <v>1</v>
      </c>
      <c r="F9">
        <v>-16.579000000000001</v>
      </c>
      <c r="G9">
        <v>35.414999999999999</v>
      </c>
      <c r="H9">
        <v>13.8</v>
      </c>
      <c r="I9">
        <v>120</v>
      </c>
      <c r="J9">
        <v>53</v>
      </c>
      <c r="K9" t="str">
        <f>VLOOKUP(C9,Leonard2010!E:P,12,FALSE)</f>
        <v>SW</v>
      </c>
      <c r="L9">
        <f>VLOOKUP(C9,Leonard2010!E:Q,13,FALSE)</f>
        <v>0</v>
      </c>
      <c r="M9">
        <f>VLOOKUP(C9,Leonard2010!E:R,14,FALSE)</f>
        <v>0</v>
      </c>
      <c r="N9">
        <f t="shared" si="0"/>
        <v>10.068329954954319</v>
      </c>
      <c r="O9">
        <f>VLOOKUP(B9,Leonard2010!D:CC,78,FALSE)</f>
        <v>309</v>
      </c>
      <c r="P9">
        <f>VLOOKUP(B9,FaultGeometry!B:G,6,FALSE)</f>
        <v>135</v>
      </c>
      <c r="Q9">
        <f>VLOOKUP(B9,FaultGeometry!B:L,11,FALSE)</f>
        <v>19.079766224737462</v>
      </c>
      <c r="R9">
        <f>VLOOKUP(C9,Leonard2010!E:CE,79,FALSE)</f>
        <v>0</v>
      </c>
      <c r="S9" t="str">
        <f>VLOOKUP(R9,FaultGeometry!W:X,2,FALSE)</f>
        <v>NA</v>
      </c>
      <c r="T9">
        <f>VLOOKUP(C9,Leonard2010!E:BA,44,FALSE)</f>
        <v>5.7153831893387332</v>
      </c>
      <c r="U9">
        <f>VLOOKUP(C9,Leonard2010!E:BA,45,FALSE)</f>
        <v>6.1483682170181551</v>
      </c>
      <c r="V9">
        <f>VLOOKUP(C9,Leonard2010!E:BB,46,FALSE)</f>
        <v>6.6362019432911081</v>
      </c>
      <c r="W9">
        <v>1471.3907229949996</v>
      </c>
      <c r="X9">
        <v>6295.7511143486172</v>
      </c>
      <c r="Y9">
        <v>26938.107923599106</v>
      </c>
      <c r="Z9">
        <f t="shared" si="1"/>
        <v>297512196631532.69</v>
      </c>
      <c r="AA9">
        <v>6.8305355480299729E-2</v>
      </c>
      <c r="AB9">
        <v>6.1112070208147559E-2</v>
      </c>
      <c r="AC9">
        <f t="shared" si="2"/>
        <v>138.94295337836959</v>
      </c>
    </row>
    <row r="10" spans="1:29" x14ac:dyDescent="0.2">
      <c r="A10">
        <f>VLOOKUP(C10,Leonard2010!E:CD,78,FALSE)</f>
        <v>9</v>
      </c>
      <c r="B10" s="8" t="s">
        <v>53</v>
      </c>
      <c r="C10" s="8" t="s">
        <v>51</v>
      </c>
      <c r="D10" s="8" t="s">
        <v>42</v>
      </c>
      <c r="E10">
        <v>1</v>
      </c>
      <c r="F10">
        <v>-16.497</v>
      </c>
      <c r="G10">
        <v>35.380000000000003</v>
      </c>
      <c r="H10">
        <v>9.8000000000000007</v>
      </c>
      <c r="I10">
        <v>158</v>
      </c>
      <c r="J10">
        <v>53</v>
      </c>
      <c r="K10" t="str">
        <f>VLOOKUP(C10,Leonard2010!E:P,12,FALSE)</f>
        <v>SW</v>
      </c>
      <c r="L10">
        <f>VLOOKUP(C10,Leonard2010!E:Q,13,FALSE)</f>
        <v>0</v>
      </c>
      <c r="M10">
        <f>VLOOKUP(C10,Leonard2010!E:R,14,FALSE)</f>
        <v>0</v>
      </c>
      <c r="N10">
        <f t="shared" si="0"/>
        <v>8.0141124599620479</v>
      </c>
      <c r="O10">
        <f>VLOOKUP(B10,Leonard2010!D:CC,78,FALSE)</f>
        <v>309</v>
      </c>
      <c r="P10">
        <f>VLOOKUP(B10,FaultGeometry!B:G,6,FALSE)</f>
        <v>135</v>
      </c>
      <c r="Q10">
        <f>VLOOKUP(B10,FaultGeometry!B:L,11,FALSE)</f>
        <v>19.079766224737462</v>
      </c>
      <c r="R10">
        <f>VLOOKUP(C10,Leonard2010!E:CE,79,FALSE)</f>
        <v>0</v>
      </c>
      <c r="S10" t="str">
        <f>VLOOKUP(R10,FaultGeometry!W:X,2,FALSE)</f>
        <v>NA</v>
      </c>
      <c r="T10">
        <f>VLOOKUP(C10,Leonard2010!E:BA,44,FALSE)</f>
        <v>5.4676281714908272</v>
      </c>
      <c r="U10">
        <f>VLOOKUP(C10,Leonard2010!E:BA,45,FALSE)</f>
        <v>5.9006131991702491</v>
      </c>
      <c r="V10">
        <f>VLOOKUP(C10,Leonard2010!E:BB,46,FALSE)</f>
        <v>6.3884469254432021</v>
      </c>
      <c r="W10">
        <v>1061.5948579567062</v>
      </c>
      <c r="X10">
        <v>3877.6705454744592</v>
      </c>
      <c r="Y10">
        <v>14163.905134376037</v>
      </c>
      <c r="Z10">
        <f t="shared" si="1"/>
        <v>205281064432478.47</v>
      </c>
      <c r="AA10">
        <v>8.4231219999837348E-2</v>
      </c>
      <c r="AB10">
        <v>6.5987163092405821E-2</v>
      </c>
      <c r="AC10">
        <f t="shared" si="2"/>
        <v>78.53830210762807</v>
      </c>
    </row>
    <row r="11" spans="1:29" x14ac:dyDescent="0.2">
      <c r="A11">
        <f>VLOOKUP(C11,Leonard2010!E:CD,78,FALSE)</f>
        <v>10</v>
      </c>
      <c r="B11" s="8" t="s">
        <v>53</v>
      </c>
      <c r="C11" s="8" t="s">
        <v>52</v>
      </c>
      <c r="D11" s="8" t="s">
        <v>42</v>
      </c>
      <c r="E11">
        <v>1</v>
      </c>
      <c r="F11">
        <v>-16.420000000000002</v>
      </c>
      <c r="G11">
        <v>35.295999999999999</v>
      </c>
      <c r="H11">
        <v>12.4</v>
      </c>
      <c r="I11">
        <v>134</v>
      </c>
      <c r="J11">
        <v>53</v>
      </c>
      <c r="K11" t="str">
        <f>VLOOKUP(C11,Leonard2010!E:P,12,FALSE)</f>
        <v>SW</v>
      </c>
      <c r="L11">
        <f>VLOOKUP(C11,Leonard2010!E:Q,13,FALSE)</f>
        <v>0</v>
      </c>
      <c r="M11">
        <f>VLOOKUP(C11,Leonard2010!E:R,14,FALSE)</f>
        <v>0</v>
      </c>
      <c r="N11">
        <f t="shared" si="0"/>
        <v>9.3753143598292255</v>
      </c>
      <c r="O11">
        <f>VLOOKUP(B11,Leonard2010!D:CC,78,FALSE)</f>
        <v>309</v>
      </c>
      <c r="P11">
        <f>VLOOKUP(B11,FaultGeometry!B:G,6,FALSE)</f>
        <v>135</v>
      </c>
      <c r="Q11">
        <f>VLOOKUP(B11,FaultGeometry!B:L,11,FALSE)</f>
        <v>19.079766224737462</v>
      </c>
      <c r="R11">
        <f>VLOOKUP(C11,Leonard2010!E:CE,79,FALSE)</f>
        <v>0</v>
      </c>
      <c r="S11" t="str">
        <f>VLOOKUP(R11,FaultGeometry!W:X,2,FALSE)</f>
        <v>NA</v>
      </c>
      <c r="T11">
        <f>VLOOKUP(C11,Leonard2010!E:BA,44,FALSE)</f>
        <v>5.6379541872737278</v>
      </c>
      <c r="U11">
        <f>VLOOKUP(C11,Leonard2010!E:BA,45,FALSE)</f>
        <v>6.0709392149531496</v>
      </c>
      <c r="V11">
        <f>VLOOKUP(C11,Leonard2010!E:BB,46,FALSE)</f>
        <v>6.5587729412261027</v>
      </c>
      <c r="W11">
        <v>1308.3825143968236</v>
      </c>
      <c r="X11">
        <v>5228.9581852508772</v>
      </c>
      <c r="Y11">
        <v>20897.561227121005</v>
      </c>
      <c r="Z11">
        <f t="shared" si="1"/>
        <v>274153410885426.53</v>
      </c>
      <c r="AA11">
        <v>7.5722605643380694E-2</v>
      </c>
      <c r="AB11">
        <v>6.4367023161238074E-2</v>
      </c>
      <c r="AC11">
        <f t="shared" si="2"/>
        <v>116.2538980618824</v>
      </c>
    </row>
    <row r="12" spans="1:29" x14ac:dyDescent="0.2">
      <c r="A12">
        <f>VLOOKUP(C12,Leonard2010!E:CD,78,FALSE)</f>
        <v>11</v>
      </c>
      <c r="B12" s="8" t="s">
        <v>433</v>
      </c>
      <c r="C12" s="62" t="s">
        <v>358</v>
      </c>
      <c r="D12" s="8" t="s">
        <v>42</v>
      </c>
      <c r="E12">
        <v>0.25</v>
      </c>
      <c r="F12">
        <v>-15.813000000000001</v>
      </c>
      <c r="G12">
        <v>34.735999999999997</v>
      </c>
      <c r="H12">
        <v>32.4</v>
      </c>
      <c r="I12">
        <v>153</v>
      </c>
      <c r="J12">
        <v>53</v>
      </c>
      <c r="K12" t="str">
        <f>VLOOKUP(C12,Leonard2010!E:P,12,FALSE)</f>
        <v>SW</v>
      </c>
      <c r="L12">
        <f>VLOOKUP(C12,Leonard2010!E:Q,13,FALSE)</f>
        <v>0</v>
      </c>
      <c r="M12">
        <f>VLOOKUP(C12,Leonard2010!E:R,14,FALSE)</f>
        <v>0</v>
      </c>
      <c r="N12">
        <f t="shared" si="0"/>
        <v>17.785580945851439</v>
      </c>
      <c r="O12">
        <f>VLOOKUP(B12,Leonard2010!D:CC,78,FALSE)</f>
        <v>310</v>
      </c>
      <c r="P12">
        <f>VLOOKUP(B12,FaultGeometry!B:G,6,FALSE)</f>
        <v>146</v>
      </c>
      <c r="Q12">
        <f>VLOOKUP(B12,FaultGeometry!B:L,11,FALSE)</f>
        <v>36.460704841292539</v>
      </c>
      <c r="R12">
        <f>VLOOKUP(C12,Leonard2010!E:CE,79,FALSE)</f>
        <v>0</v>
      </c>
      <c r="S12" t="str">
        <f>VLOOKUP(R12,FaultGeometry!W:X,2,FALSE)</f>
        <v>NA</v>
      </c>
      <c r="T12">
        <f>VLOOKUP(C12,Leonard2010!E:BA,44,FALSE)</f>
        <v>6.3331597290143575</v>
      </c>
      <c r="U12">
        <f>VLOOKUP(C12,Leonard2010!E:BA,45,FALSE)</f>
        <v>6.7661447566937793</v>
      </c>
      <c r="V12">
        <f>VLOOKUP(C12,Leonard2010!E:BB,46,FALSE)</f>
        <v>7.2539784829667324</v>
      </c>
      <c r="W12">
        <v>497.74964742089753</v>
      </c>
      <c r="X12">
        <v>1545.6961051893827</v>
      </c>
      <c r="Y12">
        <v>4799.956086312076</v>
      </c>
      <c r="Z12">
        <f t="shared" si="1"/>
        <v>2558780492531247.5</v>
      </c>
      <c r="AA12">
        <v>0.57524964854370597</v>
      </c>
      <c r="AB12">
        <v>0.3216383733127407</v>
      </c>
      <c r="AC12">
        <f t="shared" si="2"/>
        <v>576.25282264558666</v>
      </c>
    </row>
    <row r="13" spans="1:29" x14ac:dyDescent="0.2">
      <c r="A13">
        <f>VLOOKUP(C13,Leonard2010!E:CD,78,FALSE)</f>
        <v>12</v>
      </c>
      <c r="B13" s="8" t="s">
        <v>433</v>
      </c>
      <c r="C13" s="62" t="s">
        <v>357</v>
      </c>
      <c r="D13" s="8" t="s">
        <v>42</v>
      </c>
      <c r="E13">
        <v>0.25</v>
      </c>
      <c r="F13">
        <v>-16.073</v>
      </c>
      <c r="G13">
        <v>34.875999999999998</v>
      </c>
      <c r="H13">
        <v>14</v>
      </c>
      <c r="I13">
        <v>132</v>
      </c>
      <c r="J13">
        <v>53</v>
      </c>
      <c r="K13" t="str">
        <f>VLOOKUP(C13,Leonard2010!E:P,12,FALSE)</f>
        <v>SW</v>
      </c>
      <c r="L13">
        <f>VLOOKUP(C13,Leonard2010!E:Q,13,FALSE)</f>
        <v>0</v>
      </c>
      <c r="M13">
        <f>VLOOKUP(C13,Leonard2010!E:R,14,FALSE)</f>
        <v>0</v>
      </c>
      <c r="N13">
        <f t="shared" si="0"/>
        <v>10.165375033736478</v>
      </c>
      <c r="O13">
        <f>VLOOKUP(B13,Leonard2010!D:CC,78,FALSE)</f>
        <v>310</v>
      </c>
      <c r="P13">
        <f>VLOOKUP(B13,FaultGeometry!B:G,6,FALSE)</f>
        <v>146</v>
      </c>
      <c r="Q13">
        <f>VLOOKUP(B13,FaultGeometry!B:L,11,FALSE)</f>
        <v>36.460704841292539</v>
      </c>
      <c r="R13">
        <f>VLOOKUP(C13,Leonard2010!E:CE,79,FALSE)</f>
        <v>0</v>
      </c>
      <c r="S13" t="str">
        <f>VLOOKUP(R13,FaultGeometry!W:X,2,FALSE)</f>
        <v>NA</v>
      </c>
      <c r="T13">
        <f>VLOOKUP(C13,Leonard2010!E:BA,44,FALSE)</f>
        <v>5.7257981048004014</v>
      </c>
      <c r="U13">
        <f>VLOOKUP(C13,Leonard2010!E:BA,45,FALSE)</f>
        <v>6.1587831324798232</v>
      </c>
      <c r="V13">
        <f>VLOOKUP(C13,Leonard2010!E:BB,46,FALSE)</f>
        <v>6.6466168587527763</v>
      </c>
      <c r="W13">
        <v>247.56227244938549</v>
      </c>
      <c r="X13">
        <v>840.13424644717747</v>
      </c>
      <c r="Y13">
        <v>2851.1030581110613</v>
      </c>
      <c r="Z13">
        <f t="shared" si="1"/>
        <v>577784675788955.38</v>
      </c>
      <c r="AA13">
        <v>0.52860208123979113</v>
      </c>
      <c r="AB13">
        <v>0.32950289338324673</v>
      </c>
      <c r="AC13">
        <f t="shared" si="2"/>
        <v>142.31525047231068</v>
      </c>
    </row>
    <row r="14" spans="1:29" x14ac:dyDescent="0.2">
      <c r="A14">
        <f>VLOOKUP(C14,Leonard2010!E:CD,78,FALSE)</f>
        <v>13</v>
      </c>
      <c r="B14" s="8" t="s">
        <v>433</v>
      </c>
      <c r="C14" s="62" t="s">
        <v>301</v>
      </c>
      <c r="D14" s="8" t="s">
        <v>42</v>
      </c>
      <c r="E14">
        <v>0.25</v>
      </c>
      <c r="F14">
        <v>-16.157</v>
      </c>
      <c r="G14">
        <v>34.973999999999997</v>
      </c>
      <c r="H14">
        <v>17.3</v>
      </c>
      <c r="I14">
        <v>138</v>
      </c>
      <c r="J14">
        <v>53</v>
      </c>
      <c r="K14" t="str">
        <f>VLOOKUP(C14,Leonard2010!E:P,12,FALSE)</f>
        <v>SW</v>
      </c>
      <c r="L14">
        <f>VLOOKUP(C14,Leonard2010!E:Q,13,FALSE)</f>
        <v>0</v>
      </c>
      <c r="M14">
        <f>VLOOKUP(C14,Leonard2010!E:R,14,FALSE)</f>
        <v>0</v>
      </c>
      <c r="N14">
        <f t="shared" si="0"/>
        <v>11.70582743222633</v>
      </c>
      <c r="O14">
        <f>VLOOKUP(B14,Leonard2010!D:CC,78,FALSE)</f>
        <v>310</v>
      </c>
      <c r="P14">
        <f>VLOOKUP(B14,FaultGeometry!B:G,6,FALSE)</f>
        <v>146</v>
      </c>
      <c r="Q14">
        <f>VLOOKUP(B14,FaultGeometry!B:L,11,FALSE)</f>
        <v>36.460704841292539</v>
      </c>
      <c r="R14">
        <f>VLOOKUP(C14,Leonard2010!E:CE,79,FALSE)</f>
        <v>0</v>
      </c>
      <c r="S14" t="str">
        <f>VLOOKUP(R14,FaultGeometry!W:X,2,FALSE)</f>
        <v>NA</v>
      </c>
      <c r="T14">
        <f>VLOOKUP(C14,Leonard2010!E:BA,44,FALSE)</f>
        <v>5.8789948838846628</v>
      </c>
      <c r="U14">
        <f>VLOOKUP(C14,Leonard2010!E:BA,45,FALSE)</f>
        <v>6.3119799115640847</v>
      </c>
      <c r="V14">
        <f>VLOOKUP(C14,Leonard2010!E:BB,46,FALSE)</f>
        <v>6.7998136378370377</v>
      </c>
      <c r="W14">
        <v>291.67180496253695</v>
      </c>
      <c r="X14">
        <v>975.49134964278619</v>
      </c>
      <c r="Y14">
        <v>3262.5140895950753</v>
      </c>
      <c r="Z14">
        <f t="shared" si="1"/>
        <v>844668801473658.88</v>
      </c>
      <c r="AA14">
        <v>0.54146747993269917</v>
      </c>
      <c r="AB14">
        <v>0.32810206843127032</v>
      </c>
      <c r="AC14">
        <f t="shared" si="2"/>
        <v>202.51081457751553</v>
      </c>
    </row>
    <row r="15" spans="1:29" x14ac:dyDescent="0.2">
      <c r="A15">
        <f>VLOOKUP(C15,Leonard2010!E:CD,78,FALSE)</f>
        <v>14</v>
      </c>
      <c r="B15" s="8" t="s">
        <v>433</v>
      </c>
      <c r="C15" s="62" t="s">
        <v>54</v>
      </c>
      <c r="D15" s="8" t="s">
        <v>42</v>
      </c>
      <c r="E15">
        <v>0.25</v>
      </c>
      <c r="F15">
        <v>-16.271000000000001</v>
      </c>
      <c r="G15">
        <v>35.084000000000003</v>
      </c>
      <c r="H15">
        <v>4.5999999999999996</v>
      </c>
      <c r="I15">
        <v>213</v>
      </c>
      <c r="J15">
        <v>53</v>
      </c>
      <c r="K15" t="str">
        <f>VLOOKUP(C15,Leonard2010!E:P,12,FALSE)</f>
        <v>NW</v>
      </c>
      <c r="L15">
        <f>VLOOKUP(C15,Leonard2010!E:Q,13,FALSE)</f>
        <v>0</v>
      </c>
      <c r="M15">
        <f>VLOOKUP(C15,Leonard2010!E:R,14,FALSE)</f>
        <v>0</v>
      </c>
      <c r="N15">
        <f t="shared" si="0"/>
        <v>4.8403481837486941</v>
      </c>
      <c r="O15">
        <f>VLOOKUP(B15,Leonard2010!D:CC,78,FALSE)</f>
        <v>310</v>
      </c>
      <c r="P15">
        <f>VLOOKUP(B15,FaultGeometry!B:G,6,FALSE)</f>
        <v>146</v>
      </c>
      <c r="Q15">
        <f>VLOOKUP(B15,FaultGeometry!B:L,11,FALSE)</f>
        <v>36.460704841292539</v>
      </c>
      <c r="R15">
        <f>VLOOKUP(C15,Leonard2010!E:CE,79,FALSE)</f>
        <v>0</v>
      </c>
      <c r="S15" t="str">
        <f>VLOOKUP(R15,FaultGeometry!W:X,2,FALSE)</f>
        <v>NA</v>
      </c>
      <c r="T15" t="str">
        <f>VLOOKUP(C15,Leonard2010!E:BA,44,FALSE)</f>
        <v>NA</v>
      </c>
      <c r="U15" t="str">
        <f>VLOOKUP(C15,Leonard2010!E:BA,45,FALSE)</f>
        <v>NA</v>
      </c>
      <c r="V15" t="str">
        <f>VLOOKUP(C15,Leonard2010!E:BB,46,FALSE)</f>
        <v>NA</v>
      </c>
      <c r="W15" t="str">
        <f>IF(T15="NA","NA",VLOOKUP(C15,Leonard2010!E:BD,51,FALSE)/E15)</f>
        <v>NA</v>
      </c>
      <c r="X15" t="str">
        <f>IF(U15="NA","NA",VLOOKUP(C15,Leonard2010!E:BE,52,FALSE)/E15)</f>
        <v>NA</v>
      </c>
      <c r="Y15" t="str">
        <f>IF(V15="NA","NA",VLOOKUP(C15,Leonard2010!E:BF,53,FALSE)/E15)</f>
        <v>NA</v>
      </c>
      <c r="Z15">
        <f t="shared" si="1"/>
        <v>0</v>
      </c>
      <c r="AA15" t="str">
        <f>IF(X15="NA","NA",VLOOKUP(E15,Leonard2010!G:BH,53,FALSE)/G15)</f>
        <v>NA</v>
      </c>
      <c r="AB15" t="str">
        <f>IF(Y15="NA","NA",VLOOKUP(F15,Leonard2010!H:BI,53,FALSE)/H15)</f>
        <v>NA</v>
      </c>
      <c r="AC15">
        <f t="shared" si="2"/>
        <v>22.26560164524399</v>
      </c>
    </row>
    <row r="16" spans="1:29" x14ac:dyDescent="0.2">
      <c r="A16">
        <f>VLOOKUP(C16,Leonard2010!E:CD,78,FALSE)</f>
        <v>15</v>
      </c>
      <c r="B16" s="8" t="s">
        <v>433</v>
      </c>
      <c r="C16" s="62" t="s">
        <v>435</v>
      </c>
      <c r="D16" s="8" t="s">
        <v>42</v>
      </c>
      <c r="E16">
        <v>0.25</v>
      </c>
      <c r="F16">
        <v>-16.306999999999999</v>
      </c>
      <c r="G16">
        <v>35.061</v>
      </c>
      <c r="H16">
        <v>26.8</v>
      </c>
      <c r="I16">
        <v>140</v>
      </c>
      <c r="J16">
        <v>53</v>
      </c>
      <c r="K16" t="str">
        <f>VLOOKUP(C16,Leonard2010!E:P,12,FALSE)</f>
        <v>SW</v>
      </c>
      <c r="L16">
        <f>VLOOKUP(C16,Leonard2010!E:Q,13,FALSE)</f>
        <v>0</v>
      </c>
      <c r="M16">
        <f>VLOOKUP(C16,Leonard2010!E:R,14,FALSE)</f>
        <v>0</v>
      </c>
      <c r="N16">
        <f t="shared" si="0"/>
        <v>15.672125882779964</v>
      </c>
      <c r="O16">
        <f>VLOOKUP(B16,Leonard2010!D:CC,78,FALSE)</f>
        <v>310</v>
      </c>
      <c r="P16">
        <f>VLOOKUP(B16,FaultGeometry!B:G,6,FALSE)</f>
        <v>146</v>
      </c>
      <c r="Q16">
        <f>VLOOKUP(B16,FaultGeometry!B:L,11,FALSE)</f>
        <v>36.460704841292539</v>
      </c>
      <c r="R16">
        <f>VLOOKUP(C16,Leonard2010!E:CE,79,FALSE)</f>
        <v>0</v>
      </c>
      <c r="S16" t="str">
        <f>VLOOKUP(R16,FaultGeometry!W:X,2,FALSE)</f>
        <v>NA</v>
      </c>
      <c r="T16">
        <f>VLOOKUP(C16,Leonard2010!E:BA,44,FALSE)</f>
        <v>6.1958093687179856</v>
      </c>
      <c r="U16">
        <f>VLOOKUP(C16,Leonard2010!E:BA,45,FALSE)</f>
        <v>6.6287943963974074</v>
      </c>
      <c r="V16">
        <f>VLOOKUP(C16,Leonard2010!E:BB,46,FALSE)</f>
        <v>7.1166281226703605</v>
      </c>
      <c r="W16">
        <v>410.62828424555306</v>
      </c>
      <c r="X16">
        <v>1377.6944379197168</v>
      </c>
      <c r="Y16">
        <v>4622.287448518543</v>
      </c>
      <c r="Z16">
        <f t="shared" si="1"/>
        <v>1786399951234302.2</v>
      </c>
      <c r="AA16">
        <v>0.54924257658138431</v>
      </c>
      <c r="AB16">
        <v>0.33034731540030621</v>
      </c>
      <c r="AC16">
        <f t="shared" si="2"/>
        <v>420.01297365850303</v>
      </c>
    </row>
    <row r="17" spans="1:29" x14ac:dyDescent="0.2">
      <c r="A17">
        <f>VLOOKUP(C17,Leonard2010!E:CD,78,FALSE)</f>
        <v>16</v>
      </c>
      <c r="B17" s="8" t="s">
        <v>245</v>
      </c>
      <c r="C17" s="62" t="s">
        <v>359</v>
      </c>
      <c r="D17" s="8" t="s">
        <v>42</v>
      </c>
      <c r="E17">
        <v>0.5</v>
      </c>
      <c r="F17">
        <v>-15.813000000000001</v>
      </c>
      <c r="G17">
        <v>34.735999999999997</v>
      </c>
      <c r="H17">
        <v>32.4</v>
      </c>
      <c r="I17">
        <v>153</v>
      </c>
      <c r="J17">
        <v>53</v>
      </c>
      <c r="K17" t="str">
        <f>VLOOKUP(C17,Leonard2010!E:P,12,FALSE)</f>
        <v>SW</v>
      </c>
      <c r="L17">
        <f>VLOOKUP(C17,Leonard2010!E:Q,13,FALSE)</f>
        <v>0</v>
      </c>
      <c r="M17">
        <f>VLOOKUP(C17,Leonard2010!E:R,14,FALSE)</f>
        <v>0</v>
      </c>
      <c r="N17">
        <f t="shared" si="0"/>
        <v>17.785580945851439</v>
      </c>
      <c r="O17">
        <f>VLOOKUP(B17,Leonard2010!D:CC,78,FALSE)</f>
        <v>312</v>
      </c>
      <c r="P17">
        <f>VLOOKUP(B17,FaultGeometry!B:G,6,FALSE)</f>
        <v>142</v>
      </c>
      <c r="Q17">
        <f>VLOOKUP(B17,FaultGeometry!B:L,11,FALSE)</f>
        <v>30.594941936601185</v>
      </c>
      <c r="R17">
        <f>VLOOKUP(C17,Leonard2010!E:CE,79,FALSE)</f>
        <v>0</v>
      </c>
      <c r="S17" t="str">
        <f>VLOOKUP(R17,FaultGeometry!W:X,2,FALSE)</f>
        <v>NA</v>
      </c>
      <c r="T17">
        <f>VLOOKUP(C17,Leonard2010!E:BA,44,FALSE)</f>
        <v>6.3331597290143575</v>
      </c>
      <c r="U17">
        <f>VLOOKUP(C17,Leonard2010!E:BA,45,FALSE)</f>
        <v>6.7661447566937793</v>
      </c>
      <c r="V17">
        <f>VLOOKUP(C17,Leonard2010!E:BB,46,FALSE)</f>
        <v>7.2539784829667324</v>
      </c>
      <c r="W17">
        <v>471.80917321832527</v>
      </c>
      <c r="X17">
        <v>1523.8458934566117</v>
      </c>
      <c r="Y17">
        <v>4921.706568706426</v>
      </c>
      <c r="Z17">
        <f t="shared" si="1"/>
        <v>5190940971555314</v>
      </c>
      <c r="AA17">
        <v>0.57651631102692458</v>
      </c>
      <c r="AB17">
        <v>0.32716666371633485</v>
      </c>
      <c r="AC17">
        <f t="shared" si="2"/>
        <v>576.25282264558666</v>
      </c>
    </row>
    <row r="18" spans="1:29" x14ac:dyDescent="0.2">
      <c r="A18">
        <f>VLOOKUP(C18,Leonard2010!E:CD,78,FALSE)</f>
        <v>17</v>
      </c>
      <c r="B18" s="8" t="s">
        <v>245</v>
      </c>
      <c r="C18" s="62" t="s">
        <v>360</v>
      </c>
      <c r="D18" s="8" t="s">
        <v>42</v>
      </c>
      <c r="E18">
        <v>0.5</v>
      </c>
      <c r="F18">
        <v>-16.073</v>
      </c>
      <c r="G18">
        <v>34.875999999999998</v>
      </c>
      <c r="H18">
        <v>14</v>
      </c>
      <c r="I18">
        <v>132</v>
      </c>
      <c r="J18">
        <v>53</v>
      </c>
      <c r="K18" t="str">
        <f>VLOOKUP(C18,Leonard2010!E:P,12,FALSE)</f>
        <v>SW</v>
      </c>
      <c r="L18">
        <f>VLOOKUP(C18,Leonard2010!E:Q,13,FALSE)</f>
        <v>0</v>
      </c>
      <c r="M18">
        <f>VLOOKUP(C18,Leonard2010!E:R,14,FALSE)</f>
        <v>0</v>
      </c>
      <c r="N18">
        <f t="shared" si="0"/>
        <v>10.165375033736478</v>
      </c>
      <c r="O18">
        <f>VLOOKUP(B18,Leonard2010!D:CC,78,FALSE)</f>
        <v>312</v>
      </c>
      <c r="P18">
        <f>VLOOKUP(B18,FaultGeometry!B:G,6,FALSE)</f>
        <v>142</v>
      </c>
      <c r="Q18">
        <f>VLOOKUP(B18,FaultGeometry!B:L,11,FALSE)</f>
        <v>30.594941936601185</v>
      </c>
      <c r="R18">
        <f>VLOOKUP(C18,Leonard2010!E:CE,79,FALSE)</f>
        <v>0</v>
      </c>
      <c r="S18" t="str">
        <f>VLOOKUP(R18,FaultGeometry!W:X,2,FALSE)</f>
        <v>NA</v>
      </c>
      <c r="T18">
        <f>VLOOKUP(C18,Leonard2010!E:BA,44,FALSE)</f>
        <v>5.7257981048004014</v>
      </c>
      <c r="U18">
        <f>VLOOKUP(C18,Leonard2010!E:BA,45,FALSE)</f>
        <v>6.1587831324798232</v>
      </c>
      <c r="V18">
        <f>VLOOKUP(C18,Leonard2010!E:BB,46,FALSE)</f>
        <v>6.6466168587527763</v>
      </c>
      <c r="W18">
        <v>234.2158065050622</v>
      </c>
      <c r="X18">
        <v>833.96951400765033</v>
      </c>
      <c r="Y18">
        <v>2969.5056054174729</v>
      </c>
      <c r="Z18">
        <f t="shared" si="1"/>
        <v>1164111361505302.8</v>
      </c>
      <c r="AA18">
        <v>0.52743680576170193</v>
      </c>
      <c r="AB18">
        <v>0.32713517984203744</v>
      </c>
      <c r="AC18">
        <f t="shared" si="2"/>
        <v>142.31525047231068</v>
      </c>
    </row>
    <row r="19" spans="1:29" x14ac:dyDescent="0.2">
      <c r="A19">
        <f>VLOOKUP(C19,Leonard2010!E:CD,78,FALSE)</f>
        <v>18</v>
      </c>
      <c r="B19" s="8" t="s">
        <v>245</v>
      </c>
      <c r="C19" s="62" t="s">
        <v>302</v>
      </c>
      <c r="D19" s="8" t="s">
        <v>42</v>
      </c>
      <c r="E19">
        <v>0.5</v>
      </c>
      <c r="F19">
        <v>-16.157</v>
      </c>
      <c r="G19">
        <v>34.973999999999997</v>
      </c>
      <c r="H19">
        <v>26.7</v>
      </c>
      <c r="I19">
        <v>134</v>
      </c>
      <c r="J19">
        <v>53</v>
      </c>
      <c r="K19" t="str">
        <f>VLOOKUP(C19,Leonard2010!E:P,12,FALSE)</f>
        <v>SW</v>
      </c>
      <c r="L19">
        <f>VLOOKUP(C19,Leonard2010!E:Q,13,FALSE)</f>
        <v>0</v>
      </c>
      <c r="M19">
        <f>VLOOKUP(C19,Leonard2010!E:R,14,FALSE)</f>
        <v>0</v>
      </c>
      <c r="N19">
        <f t="shared" si="0"/>
        <v>15.633116210073272</v>
      </c>
      <c r="O19">
        <f>VLOOKUP(B19,Leonard2010!D:CC,78,FALSE)</f>
        <v>312</v>
      </c>
      <c r="P19">
        <f>VLOOKUP(B19,FaultGeometry!B:G,6,FALSE)</f>
        <v>142</v>
      </c>
      <c r="Q19">
        <f>VLOOKUP(B19,FaultGeometry!B:L,11,FALSE)</f>
        <v>30.594941936601185</v>
      </c>
      <c r="R19">
        <f>VLOOKUP(C19,Leonard2010!E:CE,79,FALSE)</f>
        <v>0</v>
      </c>
      <c r="S19" t="str">
        <f>VLOOKUP(R19,FaultGeometry!W:X,2,FALSE)</f>
        <v>NA</v>
      </c>
      <c r="T19">
        <f>VLOOKUP(C19,Leonard2010!E:BA,44,FALSE)</f>
        <v>6.1931034809442949</v>
      </c>
      <c r="U19">
        <f>VLOOKUP(C19,Leonard2010!E:BA,45,FALSE)</f>
        <v>6.6260885086237167</v>
      </c>
      <c r="V19">
        <f>VLOOKUP(C19,Leonard2010!E:BB,46,FALSE)</f>
        <v>7.1139222348966697</v>
      </c>
      <c r="W19">
        <v>406.79634665894605</v>
      </c>
      <c r="X19">
        <v>1405.461420453239</v>
      </c>
      <c r="Y19">
        <v>4855.8002563344671</v>
      </c>
      <c r="Z19">
        <f t="shared" si="1"/>
        <v>3469635386022319.5</v>
      </c>
      <c r="AA19">
        <v>0.53145910453675815</v>
      </c>
      <c r="AB19">
        <v>0.32799962541006078</v>
      </c>
      <c r="AC19">
        <f t="shared" si="2"/>
        <v>417.40420280895637</v>
      </c>
    </row>
    <row r="20" spans="1:29" x14ac:dyDescent="0.2">
      <c r="A20">
        <f>VLOOKUP(C20,Leonard2010!E:CD,78,FALSE)</f>
        <v>19</v>
      </c>
      <c r="B20" s="11" t="s">
        <v>4</v>
      </c>
      <c r="C20" s="11" t="s">
        <v>102</v>
      </c>
      <c r="D20" s="11" t="s">
        <v>42</v>
      </c>
      <c r="E20">
        <v>1</v>
      </c>
      <c r="F20">
        <v>-15.544</v>
      </c>
      <c r="G20">
        <v>35.127000000000002</v>
      </c>
      <c r="H20">
        <v>27.5</v>
      </c>
      <c r="I20">
        <v>202</v>
      </c>
      <c r="J20">
        <v>53</v>
      </c>
      <c r="K20" t="str">
        <f>VLOOKUP(C20,Leonard2010!E:P,12,FALSE)</f>
        <v>NW</v>
      </c>
      <c r="L20">
        <f>VLOOKUP(C20,Leonard2010!E:Q,13,FALSE)</f>
        <v>0</v>
      </c>
      <c r="M20">
        <f>VLOOKUP(C20,Leonard2010!E:R,14,FALSE)</f>
        <v>0</v>
      </c>
      <c r="N20">
        <f t="shared" si="0"/>
        <v>15.943849193963178</v>
      </c>
      <c r="O20">
        <f>VLOOKUP(B20,Leonard2010!D:CC,78,FALSE)</f>
        <v>313</v>
      </c>
      <c r="P20">
        <f>VLOOKUP(B20,FaultGeometry!B:G,6,FALSE)</f>
        <v>205</v>
      </c>
      <c r="Q20">
        <f>VLOOKUP(B20,FaultGeometry!B:L,11,FALSE)</f>
        <v>29.836862629465084</v>
      </c>
      <c r="R20">
        <f>VLOOKUP(C20,Leonard2010!E:CE,79,FALSE)</f>
        <v>0</v>
      </c>
      <c r="S20" t="str">
        <f>VLOOKUP(R20,FaultGeometry!W:X,2,FALSE)</f>
        <v>NA</v>
      </c>
      <c r="T20">
        <f>VLOOKUP(C20,Leonard2010!E:BA,44,FALSE)</f>
        <v>6.2144725350537753</v>
      </c>
      <c r="U20">
        <f>VLOOKUP(C20,Leonard2010!E:BA,45,FALSE)</f>
        <v>6.6474575627331971</v>
      </c>
      <c r="V20">
        <f>VLOOKUP(C20,Leonard2010!E:BB,46,FALSE)</f>
        <v>7.1352912890061502</v>
      </c>
      <c r="W20">
        <v>381.54843669869183</v>
      </c>
      <c r="X20">
        <v>1389.9816082284779</v>
      </c>
      <c r="Y20">
        <v>5063.7053788773919</v>
      </c>
      <c r="Z20">
        <f t="shared" si="1"/>
        <v>7554005387803737</v>
      </c>
      <c r="AA20">
        <v>0.55284387239716803</v>
      </c>
      <c r="AB20">
        <v>0.35842430867029967</v>
      </c>
      <c r="AC20">
        <f t="shared" si="2"/>
        <v>438.45585283398742</v>
      </c>
    </row>
    <row r="21" spans="1:29" x14ac:dyDescent="0.2">
      <c r="A21">
        <f>VLOOKUP(C21,Leonard2010!E:CD,78,FALSE)</f>
        <v>20</v>
      </c>
      <c r="B21" s="11" t="s">
        <v>4</v>
      </c>
      <c r="C21" s="11" t="s">
        <v>306</v>
      </c>
      <c r="D21" s="11" t="s">
        <v>42</v>
      </c>
      <c r="E21">
        <v>1</v>
      </c>
      <c r="F21">
        <v>-15.374000000000001</v>
      </c>
      <c r="G21">
        <v>35.213999999999999</v>
      </c>
      <c r="H21">
        <v>13</v>
      </c>
      <c r="I21">
        <v>206</v>
      </c>
      <c r="J21">
        <v>53</v>
      </c>
      <c r="K21" t="str">
        <f>VLOOKUP(C21,Leonard2010!E:P,12,FALSE)</f>
        <v>NW</v>
      </c>
      <c r="L21">
        <f>VLOOKUP(C21,Leonard2010!E:Q,13,FALSE)</f>
        <v>0</v>
      </c>
      <c r="M21">
        <f>VLOOKUP(C21,Leonard2010!E:R,14,FALSE)</f>
        <v>0</v>
      </c>
      <c r="N21">
        <f t="shared" si="0"/>
        <v>9.6753559239380156</v>
      </c>
      <c r="O21">
        <f>VLOOKUP(B21,Leonard2010!D:CC,78,FALSE)</f>
        <v>313</v>
      </c>
      <c r="P21">
        <f>VLOOKUP(B21,FaultGeometry!B:G,6,FALSE)</f>
        <v>205</v>
      </c>
      <c r="Q21">
        <f>VLOOKUP(B21,FaultGeometry!B:L,11,FALSE)</f>
        <v>29.836862629465084</v>
      </c>
      <c r="R21">
        <f>VLOOKUP(C21,Leonard2010!E:CE,79,FALSE)</f>
        <v>0</v>
      </c>
      <c r="S21" t="str">
        <f>VLOOKUP(R21,FaultGeometry!W:X,2,FALSE)</f>
        <v>NA</v>
      </c>
      <c r="T21">
        <f>VLOOKUP(C21,Leonard2010!E:BA,44,FALSE)</f>
        <v>5.6721569658480648</v>
      </c>
      <c r="U21">
        <f>VLOOKUP(C21,Leonard2010!E:BA,45,FALSE)</f>
        <v>6.1051419935274867</v>
      </c>
      <c r="V21">
        <f>VLOOKUP(C21,Leonard2010!E:BB,46,FALSE)</f>
        <v>6.5929757198004397</v>
      </c>
      <c r="W21">
        <v>220.58341230477362</v>
      </c>
      <c r="X21">
        <v>789.60360575050299</v>
      </c>
      <c r="Y21">
        <v>2826.4766044726894</v>
      </c>
      <c r="Z21">
        <f t="shared" si="1"/>
        <v>2043167008899113.2</v>
      </c>
      <c r="AA21">
        <v>0.52790736737485511</v>
      </c>
      <c r="AB21">
        <v>0.35178661210749201</v>
      </c>
      <c r="AC21">
        <f t="shared" si="2"/>
        <v>125.77962701119421</v>
      </c>
    </row>
    <row r="22" spans="1:29" x14ac:dyDescent="0.2">
      <c r="A22">
        <f>VLOOKUP(C22,Leonard2010!E:CD,78,FALSE)</f>
        <v>21</v>
      </c>
      <c r="B22" s="11" t="s">
        <v>4</v>
      </c>
      <c r="C22" s="11" t="s">
        <v>305</v>
      </c>
      <c r="D22" s="11" t="s">
        <v>42</v>
      </c>
      <c r="E22">
        <v>1</v>
      </c>
      <c r="F22">
        <v>-15.48</v>
      </c>
      <c r="G22">
        <v>35.161000000000001</v>
      </c>
      <c r="H22">
        <v>8</v>
      </c>
      <c r="I22">
        <v>208</v>
      </c>
      <c r="J22">
        <v>53</v>
      </c>
      <c r="K22" t="str">
        <f>VLOOKUP(C22,Leonard2010!E:P,12,FALSE)</f>
        <v>NW</v>
      </c>
      <c r="L22">
        <f>VLOOKUP(C22,Leonard2010!E:Q,13,FALSE)</f>
        <v>0</v>
      </c>
      <c r="M22">
        <f>VLOOKUP(C22,Leonard2010!E:R,14,FALSE)</f>
        <v>0</v>
      </c>
      <c r="N22">
        <f t="shared" si="0"/>
        <v>6.9999999999999982</v>
      </c>
      <c r="O22">
        <f>VLOOKUP(B22,Leonard2010!D:CC,78,FALSE)</f>
        <v>313</v>
      </c>
      <c r="P22">
        <f>VLOOKUP(B22,FaultGeometry!B:G,6,FALSE)</f>
        <v>205</v>
      </c>
      <c r="Q22">
        <f>VLOOKUP(B22,FaultGeometry!B:L,11,FALSE)</f>
        <v>29.836862629465084</v>
      </c>
      <c r="R22">
        <f>VLOOKUP(C22,Leonard2010!E:CE,79,FALSE)</f>
        <v>0</v>
      </c>
      <c r="S22" t="str">
        <f>VLOOKUP(R22,FaultGeometry!W:X,2,FALSE)</f>
        <v>NA</v>
      </c>
      <c r="T22">
        <f>VLOOKUP(C22,Leonard2010!E:BA,44,FALSE)</f>
        <v>5.3207346903232446</v>
      </c>
      <c r="U22">
        <f>VLOOKUP(C22,Leonard2010!E:BA,45,FALSE)</f>
        <v>5.7537197180026665</v>
      </c>
      <c r="V22">
        <f>VLOOKUP(C22,Leonard2010!E:BB,46,FALSE)</f>
        <v>6.2415534442756195</v>
      </c>
      <c r="W22">
        <v>145.79642921585085</v>
      </c>
      <c r="X22">
        <v>537.48381088799249</v>
      </c>
      <c r="Y22">
        <v>1981.4535137824314</v>
      </c>
      <c r="Z22">
        <f t="shared" si="1"/>
        <v>891690601678600.62</v>
      </c>
      <c r="AA22">
        <v>0.51355895886383718</v>
      </c>
      <c r="AB22">
        <v>0.35103851180022871</v>
      </c>
      <c r="AC22">
        <f t="shared" si="2"/>
        <v>55.999999999999986</v>
      </c>
    </row>
    <row r="23" spans="1:29" x14ac:dyDescent="0.2">
      <c r="A23">
        <f>VLOOKUP(C23,Leonard2010!E:CD,78,FALSE)</f>
        <v>22</v>
      </c>
      <c r="B23" s="11" t="s">
        <v>4</v>
      </c>
      <c r="C23" s="11" t="s">
        <v>103</v>
      </c>
      <c r="D23" s="11" t="s">
        <v>42</v>
      </c>
      <c r="E23">
        <v>1</v>
      </c>
      <c r="F23">
        <v>-15.194000000000001</v>
      </c>
      <c r="G23">
        <v>35.298999999999999</v>
      </c>
      <c r="H23">
        <v>21.9</v>
      </c>
      <c r="I23">
        <v>205</v>
      </c>
      <c r="J23">
        <v>53</v>
      </c>
      <c r="K23" t="str">
        <f>VLOOKUP(C23,Leonard2010!E:P,12,FALSE)</f>
        <v>NW</v>
      </c>
      <c r="L23">
        <f>VLOOKUP(C23,Leonard2010!E:Q,13,FALSE)</f>
        <v>0</v>
      </c>
      <c r="M23">
        <f>VLOOKUP(C23,Leonard2010!E:R,14,FALSE)</f>
        <v>0</v>
      </c>
      <c r="N23">
        <f t="shared" si="0"/>
        <v>13.698324770298328</v>
      </c>
      <c r="O23">
        <f>VLOOKUP(B23,Leonard2010!D:CC,78,FALSE)</f>
        <v>313</v>
      </c>
      <c r="P23">
        <f>VLOOKUP(B23,FaultGeometry!B:G,6,FALSE)</f>
        <v>205</v>
      </c>
      <c r="Q23">
        <f>VLOOKUP(B23,FaultGeometry!B:L,11,FALSE)</f>
        <v>29.836862629465084</v>
      </c>
      <c r="R23">
        <f>VLOOKUP(C23,Leonard2010!E:CE,79,FALSE)</f>
        <v>0</v>
      </c>
      <c r="S23" t="str">
        <f>VLOOKUP(R23,FaultGeometry!W:X,2,FALSE)</f>
        <v>NA</v>
      </c>
      <c r="T23">
        <f>VLOOKUP(C23,Leonard2010!E:BA,44,FALSE)</f>
        <v>6.0496582367368674</v>
      </c>
      <c r="U23">
        <f>VLOOKUP(C23,Leonard2010!E:BA,45,FALSE)</f>
        <v>6.4826432644162892</v>
      </c>
      <c r="V23">
        <f>VLOOKUP(C23,Leonard2010!E:BB,46,FALSE)</f>
        <v>6.9704769906892423</v>
      </c>
      <c r="W23">
        <v>330.33822657911094</v>
      </c>
      <c r="X23">
        <v>1203.3483178718711</v>
      </c>
      <c r="Y23">
        <v>4383.5289337253798</v>
      </c>
      <c r="Z23">
        <f t="shared" si="1"/>
        <v>4938255332907355</v>
      </c>
      <c r="AA23">
        <v>0.53440240629421509</v>
      </c>
      <c r="AB23">
        <v>0.3512366587356574</v>
      </c>
      <c r="AC23">
        <f t="shared" si="2"/>
        <v>299.99331246953335</v>
      </c>
    </row>
    <row r="24" spans="1:29" x14ac:dyDescent="0.2">
      <c r="A24">
        <f>VLOOKUP(C24,Leonard2010!E:CD,78,FALSE)</f>
        <v>23</v>
      </c>
      <c r="B24" s="11" t="s">
        <v>31</v>
      </c>
      <c r="C24" s="11" t="s">
        <v>55</v>
      </c>
      <c r="D24" s="11" t="s">
        <v>42</v>
      </c>
      <c r="E24">
        <v>1</v>
      </c>
      <c r="F24">
        <v>-15.398999999999999</v>
      </c>
      <c r="G24">
        <v>35.119</v>
      </c>
      <c r="H24">
        <v>39.4</v>
      </c>
      <c r="I24">
        <v>213</v>
      </c>
      <c r="J24">
        <v>53</v>
      </c>
      <c r="K24" t="str">
        <f>VLOOKUP(C24,Leonard2010!E:P,12,FALSE)</f>
        <v>NW</v>
      </c>
      <c r="L24">
        <f>VLOOKUP(C24,Leonard2010!E:Q,13,FALSE)</f>
        <v>0</v>
      </c>
      <c r="M24">
        <f>VLOOKUP(C24,Leonard2010!E:R,14,FALSE)</f>
        <v>0</v>
      </c>
      <c r="N24">
        <f t="shared" si="0"/>
        <v>20.262927781205825</v>
      </c>
      <c r="O24">
        <f>VLOOKUP(B24,Leonard2010!D:CC,78,FALSE)</f>
        <v>314</v>
      </c>
      <c r="P24">
        <f>VLOOKUP(B24,FaultGeometry!B:G,6,FALSE)</f>
        <v>205</v>
      </c>
      <c r="Q24">
        <f>VLOOKUP(B24,FaultGeometry!B:L,11,FALSE)</f>
        <v>32.49112183528942</v>
      </c>
      <c r="R24">
        <f>VLOOKUP(C24,Leonard2010!E:CE,79,FALSE)</f>
        <v>0</v>
      </c>
      <c r="S24" t="str">
        <f>VLOOKUP(R24,FaultGeometry!W:X,2,FALSE)</f>
        <v>NA</v>
      </c>
      <c r="T24">
        <f>VLOOKUP(C24,Leonard2010!E:BA,44,FALSE)</f>
        <v>6.4747450817126264</v>
      </c>
      <c r="U24">
        <f>VLOOKUP(C24,Leonard2010!E:BA,45,FALSE)</f>
        <v>6.9077301093920482</v>
      </c>
      <c r="V24">
        <f>VLOOKUP(C24,Leonard2010!E:BB,46,FALSE)</f>
        <v>7.3955638356650013</v>
      </c>
      <c r="W24">
        <v>6381.1665229422943</v>
      </c>
      <c r="X24">
        <v>27620.53415693478</v>
      </c>
      <c r="Y24">
        <v>119553.98818876738</v>
      </c>
      <c r="Z24">
        <f t="shared" si="1"/>
        <v>934034872132054</v>
      </c>
      <c r="AA24">
        <v>3.7285616771708115E-2</v>
      </c>
      <c r="AB24">
        <v>3.3251213865105482E-2</v>
      </c>
      <c r="AC24">
        <f t="shared" si="2"/>
        <v>798.3593545795095</v>
      </c>
    </row>
    <row r="25" spans="1:29" x14ac:dyDescent="0.2">
      <c r="A25">
        <f>VLOOKUP(C25,Leonard2010!E:CD,78,FALSE)</f>
        <v>24</v>
      </c>
      <c r="B25" s="11" t="s">
        <v>31</v>
      </c>
      <c r="C25" s="11" t="s">
        <v>303</v>
      </c>
      <c r="D25" s="11" t="s">
        <v>42</v>
      </c>
      <c r="E25">
        <v>1</v>
      </c>
      <c r="F25">
        <v>-15.314</v>
      </c>
      <c r="G25">
        <v>35.137</v>
      </c>
      <c r="H25">
        <v>9.6</v>
      </c>
      <c r="I25">
        <v>192</v>
      </c>
      <c r="J25">
        <v>53</v>
      </c>
      <c r="K25" t="str">
        <f>VLOOKUP(C25,Leonard2010!E:P,12,FALSE)</f>
        <v>NW</v>
      </c>
      <c r="L25">
        <f>VLOOKUP(C25,Leonard2010!E:Q,13,FALSE)</f>
        <v>0</v>
      </c>
      <c r="M25">
        <f>VLOOKUP(C25,Leonard2010!E:R,14,FALSE)</f>
        <v>0</v>
      </c>
      <c r="N25">
        <f t="shared" si="0"/>
        <v>7.9047026426006362</v>
      </c>
      <c r="O25">
        <f>VLOOKUP(B25,Leonard2010!D:CC,78,FALSE)</f>
        <v>314</v>
      </c>
      <c r="P25">
        <f>VLOOKUP(B25,FaultGeometry!B:G,6,FALSE)</f>
        <v>205</v>
      </c>
      <c r="Q25">
        <f>VLOOKUP(B25,FaultGeometry!B:L,11,FALSE)</f>
        <v>32.49112183528942</v>
      </c>
      <c r="R25">
        <f>VLOOKUP(C25,Leonard2010!E:CE,79,FALSE)</f>
        <v>0</v>
      </c>
      <c r="S25" t="str">
        <f>VLOOKUP(R25,FaultGeometry!W:X,2,FALSE)</f>
        <v>NA</v>
      </c>
      <c r="T25">
        <f>VLOOKUP(C25,Leonard2010!E:BA,44,FALSE)</f>
        <v>5.4527034337359508</v>
      </c>
      <c r="U25">
        <f>VLOOKUP(C25,Leonard2010!E:BA,45,FALSE)</f>
        <v>5.8856884614153726</v>
      </c>
      <c r="V25">
        <f>VLOOKUP(C25,Leonard2010!E:BB,46,FALSE)</f>
        <v>6.3735221876883257</v>
      </c>
      <c r="W25">
        <v>1771.3627860462484</v>
      </c>
      <c r="X25">
        <v>6641.3816502262071</v>
      </c>
      <c r="Y25">
        <v>24900.57405034011</v>
      </c>
      <c r="Z25">
        <f t="shared" si="1"/>
        <v>113834591715398.94</v>
      </c>
      <c r="AA25">
        <v>4.7657443082690876E-2</v>
      </c>
      <c r="AB25">
        <v>3.6391225820317216E-2</v>
      </c>
      <c r="AC25">
        <f t="shared" si="2"/>
        <v>75.885145368966107</v>
      </c>
    </row>
    <row r="26" spans="1:29" x14ac:dyDescent="0.2">
      <c r="A26">
        <f>VLOOKUP(C26,Leonard2010!E:CD,78,FALSE)</f>
        <v>25</v>
      </c>
      <c r="B26" s="11" t="s">
        <v>31</v>
      </c>
      <c r="C26" s="11" t="s">
        <v>304</v>
      </c>
      <c r="D26" s="11" t="s">
        <v>42</v>
      </c>
      <c r="E26">
        <v>1</v>
      </c>
      <c r="F26">
        <v>-15.157</v>
      </c>
      <c r="G26">
        <v>35.192999999999998</v>
      </c>
      <c r="H26">
        <v>18.399999999999999</v>
      </c>
      <c r="I26">
        <v>200</v>
      </c>
      <c r="J26">
        <v>53</v>
      </c>
      <c r="K26" t="str">
        <f>VLOOKUP(C26,Leonard2010!E:P,12,FALSE)</f>
        <v>NW</v>
      </c>
      <c r="L26">
        <f>VLOOKUP(C26,Leonard2010!E:Q,13,FALSE)</f>
        <v>0</v>
      </c>
      <c r="M26">
        <f>VLOOKUP(C26,Leonard2010!E:R,14,FALSE)</f>
        <v>0</v>
      </c>
      <c r="N26">
        <f t="shared" si="0"/>
        <v>12.196913131050795</v>
      </c>
      <c r="O26">
        <f>VLOOKUP(B26,Leonard2010!D:CC,78,FALSE)</f>
        <v>314</v>
      </c>
      <c r="P26">
        <f>VLOOKUP(B26,FaultGeometry!B:G,6,FALSE)</f>
        <v>205</v>
      </c>
      <c r="Q26">
        <f>VLOOKUP(B26,FaultGeometry!B:L,11,FALSE)</f>
        <v>32.49112183528942</v>
      </c>
      <c r="R26">
        <f>VLOOKUP(C26,Leonard2010!E:CE,79,FALSE)</f>
        <v>0</v>
      </c>
      <c r="S26" t="str">
        <f>VLOOKUP(R26,FaultGeometry!W:X,2,FALSE)</f>
        <v>NA</v>
      </c>
      <c r="T26">
        <f>VLOOKUP(C26,Leonard2010!E:BA,44,FALSE)</f>
        <v>5.9236144170192331</v>
      </c>
      <c r="U26">
        <f>VLOOKUP(C26,Leonard2010!E:BA,45,FALSE)</f>
        <v>6.3565994446986549</v>
      </c>
      <c r="V26">
        <f>VLOOKUP(C26,Leonard2010!E:BB,46,FALSE)</f>
        <v>6.844433170971608</v>
      </c>
      <c r="W26">
        <v>3069.1656625790574</v>
      </c>
      <c r="X26">
        <v>12465.897689790663</v>
      </c>
      <c r="Y26">
        <v>50632.198550580957</v>
      </c>
      <c r="Z26">
        <f t="shared" si="1"/>
        <v>308443490250876.69</v>
      </c>
      <c r="AA26">
        <v>4.3329701059300223E-2</v>
      </c>
      <c r="AB26">
        <v>3.5515497272358108E-2</v>
      </c>
      <c r="AC26">
        <f t="shared" si="2"/>
        <v>224.4232016113346</v>
      </c>
    </row>
    <row r="27" spans="1:29" x14ac:dyDescent="0.2">
      <c r="A27">
        <f>VLOOKUP(C27,Leonard2010!E:CD,78,FALSE)</f>
        <v>26</v>
      </c>
      <c r="B27" s="11" t="s">
        <v>31</v>
      </c>
      <c r="C27" s="11" t="s">
        <v>253</v>
      </c>
      <c r="D27" s="11" t="s">
        <v>42</v>
      </c>
      <c r="E27">
        <v>1</v>
      </c>
      <c r="F27">
        <v>-15.151</v>
      </c>
      <c r="G27">
        <v>35.21</v>
      </c>
      <c r="H27">
        <v>2</v>
      </c>
      <c r="I27">
        <v>250</v>
      </c>
      <c r="J27">
        <v>53</v>
      </c>
      <c r="K27" t="str">
        <f>VLOOKUP(C27,Leonard2010!E:P,12,FALSE)</f>
        <v>NW</v>
      </c>
      <c r="L27">
        <f>VLOOKUP(C27,Leonard2010!E:Q,13,FALSE)</f>
        <v>0</v>
      </c>
      <c r="M27">
        <f>VLOOKUP(C27,Leonard2010!E:R,14,FALSE)</f>
        <v>0</v>
      </c>
      <c r="N27">
        <f t="shared" si="0"/>
        <v>2.7779518409443491</v>
      </c>
      <c r="O27">
        <f>VLOOKUP(B27,Leonard2010!D:CC,78,FALSE)</f>
        <v>314</v>
      </c>
      <c r="P27">
        <f>VLOOKUP(B27,FaultGeometry!B:G,6,FALSE)</f>
        <v>205</v>
      </c>
      <c r="Q27">
        <f>VLOOKUP(B27,FaultGeometry!B:L,11,FALSE)</f>
        <v>32.49112183528942</v>
      </c>
      <c r="R27">
        <f>VLOOKUP(C27,Leonard2010!E:CE,79,FALSE)</f>
        <v>0</v>
      </c>
      <c r="S27" t="str">
        <f>VLOOKUP(R27,FaultGeometry!W:X,2,FALSE)</f>
        <v>NA</v>
      </c>
      <c r="T27" t="str">
        <f>VLOOKUP(C27,Leonard2010!E:BA,44,FALSE)</f>
        <v>NA</v>
      </c>
      <c r="U27" t="str">
        <f>VLOOKUP(C27,Leonard2010!E:BA,45,FALSE)</f>
        <v>NA</v>
      </c>
      <c r="V27" t="str">
        <f>VLOOKUP(C27,Leonard2010!E:BB,46,FALSE)</f>
        <v>NA</v>
      </c>
      <c r="W27" t="str">
        <f>IF(T27="NA","NA",VLOOKUP(C27,Leonard2010!E:BD,51,FALSE)/E27)</f>
        <v>NA</v>
      </c>
      <c r="X27" t="str">
        <f>IF(U27="NA","NA",VLOOKUP(C27,Leonard2010!E:BE,52,FALSE)/E27)</f>
        <v>NA</v>
      </c>
      <c r="Y27" t="str">
        <f>IF(V27="NA","NA",VLOOKUP(C27,Leonard2010!E:BF,53,FALSE)/E27)</f>
        <v>NA</v>
      </c>
      <c r="Z27">
        <f t="shared" si="1"/>
        <v>0</v>
      </c>
      <c r="AA27" t="str">
        <f>IF(X27="NA","NA",VLOOKUP(E27,Leonard2010!G:BH,53,FALSE)/G27)</f>
        <v>NA</v>
      </c>
      <c r="AB27" t="str">
        <f>IF(Y27="NA","NA",VLOOKUP(F27,Leonard2010!H:BI,53,FALSE)/H27)</f>
        <v>NA</v>
      </c>
      <c r="AC27">
        <f t="shared" si="2"/>
        <v>5.5559036818886982</v>
      </c>
    </row>
    <row r="28" spans="1:29" x14ac:dyDescent="0.2">
      <c r="A28">
        <f>VLOOKUP(C28,Leonard2010!E:CD,78,FALSE)</f>
        <v>27</v>
      </c>
      <c r="B28" s="11" t="s">
        <v>31</v>
      </c>
      <c r="C28" s="11" t="s">
        <v>56</v>
      </c>
      <c r="D28" s="11" t="s">
        <v>42</v>
      </c>
      <c r="E28">
        <v>1</v>
      </c>
      <c r="F28">
        <v>-15.057</v>
      </c>
      <c r="G28">
        <v>35.226999999999997</v>
      </c>
      <c r="H28">
        <v>10.6</v>
      </c>
      <c r="I28">
        <v>190</v>
      </c>
      <c r="J28">
        <v>53</v>
      </c>
      <c r="K28" t="str">
        <f>VLOOKUP(C28,Leonard2010!E:P,12,FALSE)</f>
        <v>NW</v>
      </c>
      <c r="L28">
        <f>VLOOKUP(C28,Leonard2010!E:Q,13,FALSE)</f>
        <v>0</v>
      </c>
      <c r="M28">
        <f>VLOOKUP(C28,Leonard2010!E:R,14,FALSE)</f>
        <v>0</v>
      </c>
      <c r="N28">
        <f t="shared" si="0"/>
        <v>8.4445262917518331</v>
      </c>
      <c r="O28">
        <f>VLOOKUP(B28,Leonard2010!D:CC,78,FALSE)</f>
        <v>314</v>
      </c>
      <c r="P28">
        <f>VLOOKUP(B28,FaultGeometry!B:G,6,FALSE)</f>
        <v>205</v>
      </c>
      <c r="Q28">
        <f>VLOOKUP(B28,FaultGeometry!B:L,11,FALSE)</f>
        <v>32.49112183528942</v>
      </c>
      <c r="R28">
        <f>VLOOKUP(C28,Leonard2010!E:CE,79,FALSE)</f>
        <v>0</v>
      </c>
      <c r="S28" t="str">
        <f>VLOOKUP(R28,FaultGeometry!W:X,2,FALSE)</f>
        <v>NA</v>
      </c>
      <c r="T28">
        <f>VLOOKUP(C28,Leonard2010!E:BA,44,FALSE)</f>
        <v>5.5244278207779542</v>
      </c>
      <c r="U28">
        <f>VLOOKUP(C28,Leonard2010!E:BA,45,FALSE)</f>
        <v>5.9574128484573761</v>
      </c>
      <c r="V28">
        <f>VLOOKUP(C28,Leonard2010!E:BB,46,FALSE)</f>
        <v>6.4452465747303291</v>
      </c>
      <c r="W28">
        <v>1945.4719467423392</v>
      </c>
      <c r="X28">
        <v>7259.4161593870904</v>
      </c>
      <c r="Y28">
        <v>27088.091947773537</v>
      </c>
      <c r="Z28">
        <f t="shared" si="1"/>
        <v>133418968550252</v>
      </c>
      <c r="AA28">
        <v>4.7404342572963949E-2</v>
      </c>
      <c r="AB28">
        <v>3.6004121369955656E-2</v>
      </c>
      <c r="AC28">
        <f t="shared" si="2"/>
        <v>89.511978692569429</v>
      </c>
    </row>
    <row r="29" spans="1:29" x14ac:dyDescent="0.2">
      <c r="A29">
        <f>VLOOKUP(C29,Leonard2010!E:CD,78,FALSE)</f>
        <v>28</v>
      </c>
      <c r="B29" t="s">
        <v>283</v>
      </c>
      <c r="C29" t="s">
        <v>280</v>
      </c>
      <c r="D29" s="11" t="s">
        <v>240</v>
      </c>
      <c r="E29">
        <v>1</v>
      </c>
      <c r="F29">
        <v>-15.377000000000001</v>
      </c>
      <c r="G29">
        <v>35.002000000000002</v>
      </c>
      <c r="H29">
        <v>8.6</v>
      </c>
      <c r="I29">
        <v>6</v>
      </c>
      <c r="J29">
        <v>53</v>
      </c>
      <c r="K29" t="str">
        <f>VLOOKUP(C29,Leonard2010!E:P,12,FALSE)</f>
        <v>E</v>
      </c>
      <c r="L29">
        <f>VLOOKUP(C29,Leonard2010!E:Q,13,FALSE)</f>
        <v>0</v>
      </c>
      <c r="M29">
        <f>VLOOKUP(C29,Leonard2010!E:R,14,FALSE)</f>
        <v>0</v>
      </c>
      <c r="N29">
        <f t="shared" si="0"/>
        <v>7.3457647557878447</v>
      </c>
      <c r="O29">
        <f>VLOOKUP(B29,Leonard2010!D:CC,78,FALSE)</f>
        <v>315</v>
      </c>
      <c r="P29">
        <f>VLOOKUP(B29,FaultGeometry!B:G,6,FALSE)</f>
        <v>2</v>
      </c>
      <c r="Q29">
        <f>VLOOKUP(B29,FaultGeometry!B:L,11,FALSE)</f>
        <v>18.330367868609443</v>
      </c>
      <c r="R29">
        <f>VLOOKUP(C29,Leonard2010!E:CE,79,FALSE)</f>
        <v>603</v>
      </c>
      <c r="S29">
        <f>VLOOKUP(R29,FaultGeometry!W:X,2,FALSE)</f>
        <v>41.288375307262264</v>
      </c>
      <c r="T29">
        <f>VLOOKUP(C29,Leonard2010!E:BA,44,FALSE)</f>
        <v>5.3730821307426169</v>
      </c>
      <c r="U29">
        <f>VLOOKUP(C29,Leonard2010!E:BA,45,FALSE)</f>
        <v>5.8060671584220387</v>
      </c>
      <c r="V29">
        <f>VLOOKUP(C29,Leonard2010!E:BB,46,FALSE)</f>
        <v>6.2939008846949918</v>
      </c>
      <c r="W29">
        <v>1746.640465401098</v>
      </c>
      <c r="X29">
        <v>6376.1077025784034</v>
      </c>
      <c r="Y29">
        <v>23275.969061866261</v>
      </c>
      <c r="Z29">
        <f t="shared" si="1"/>
        <v>90062727098768.016</v>
      </c>
      <c r="AA29">
        <v>4.5954997765989901E-2</v>
      </c>
      <c r="AB29">
        <v>3.5822206941866656E-2</v>
      </c>
      <c r="AC29">
        <f t="shared" si="2"/>
        <v>63.173576899775462</v>
      </c>
    </row>
    <row r="30" spans="1:29" x14ac:dyDescent="0.2">
      <c r="A30">
        <f>VLOOKUP(C30,Leonard2010!E:CD,78,FALSE)</f>
        <v>29</v>
      </c>
      <c r="B30" t="s">
        <v>283</v>
      </c>
      <c r="C30" t="s">
        <v>281</v>
      </c>
      <c r="D30" s="11" t="s">
        <v>240</v>
      </c>
      <c r="E30">
        <v>1</v>
      </c>
      <c r="F30">
        <v>-15.298999999999999</v>
      </c>
      <c r="G30">
        <v>35.011000000000003</v>
      </c>
      <c r="H30">
        <v>2.2000000000000002</v>
      </c>
      <c r="I30">
        <v>52</v>
      </c>
      <c r="J30">
        <v>53</v>
      </c>
      <c r="K30" t="str">
        <f>VLOOKUP(C30,Leonard2010!E:P,12,FALSE)</f>
        <v>E</v>
      </c>
      <c r="L30">
        <f>VLOOKUP(C30,Leonard2010!E:Q,13,FALSE)</f>
        <v>0</v>
      </c>
      <c r="M30">
        <f>VLOOKUP(C30,Leonard2010!E:R,14,FALSE)</f>
        <v>0</v>
      </c>
      <c r="N30">
        <f t="shared" si="0"/>
        <v>2.960191695340221</v>
      </c>
      <c r="O30">
        <f>VLOOKUP(B30,Leonard2010!D:CC,78,FALSE)</f>
        <v>315</v>
      </c>
      <c r="P30">
        <f>VLOOKUP(B30,FaultGeometry!B:G,6,FALSE)</f>
        <v>2</v>
      </c>
      <c r="Q30">
        <f>VLOOKUP(B30,FaultGeometry!B:L,11,FALSE)</f>
        <v>18.330367868609443</v>
      </c>
      <c r="R30">
        <f>VLOOKUP(C30,Leonard2010!E:CE,79,FALSE)</f>
        <v>603</v>
      </c>
      <c r="S30">
        <f>VLOOKUP(R30,FaultGeometry!W:X,2,FALSE)</f>
        <v>41.288375307262264</v>
      </c>
      <c r="T30" t="str">
        <f>VLOOKUP(C30,Leonard2010!E:BA,44,FALSE)</f>
        <v>NA</v>
      </c>
      <c r="U30" t="str">
        <f>VLOOKUP(C30,Leonard2010!E:BA,45,FALSE)</f>
        <v>NA</v>
      </c>
      <c r="V30" t="str">
        <f>VLOOKUP(C30,Leonard2010!E:BB,46,FALSE)</f>
        <v>NA</v>
      </c>
      <c r="W30" t="str">
        <f>IF(T30="NA","NA",VLOOKUP(C30,Leonard2010!E:BD,51,FALSE)/E30)</f>
        <v>NA</v>
      </c>
      <c r="X30" t="str">
        <f>IF(U30="NA","NA",VLOOKUP(C30,Leonard2010!E:BE,52,FALSE)/E30)</f>
        <v>NA</v>
      </c>
      <c r="Y30" t="str">
        <f>IF(V30="NA","NA",VLOOKUP(C30,Leonard2010!E:BF,53,FALSE)/E30)</f>
        <v>NA</v>
      </c>
      <c r="Z30">
        <f t="shared" si="1"/>
        <v>0</v>
      </c>
      <c r="AA30" t="str">
        <f>IF(X30="NA","NA",VLOOKUP(E30,Leonard2010!G:BH,53,FALSE)/G30)</f>
        <v>NA</v>
      </c>
      <c r="AB30" t="str">
        <f>IF(Y30="NA","NA",VLOOKUP(F30,Leonard2010!H:BI,53,FALSE)/H30)</f>
        <v>NA</v>
      </c>
      <c r="AC30">
        <f t="shared" si="2"/>
        <v>6.5124217297484863</v>
      </c>
    </row>
    <row r="31" spans="1:29" x14ac:dyDescent="0.2">
      <c r="A31">
        <f>VLOOKUP(C31,Leonard2010!E:CD,78,FALSE)</f>
        <v>30</v>
      </c>
      <c r="B31" t="s">
        <v>283</v>
      </c>
      <c r="C31" t="s">
        <v>282</v>
      </c>
      <c r="D31" s="11" t="s">
        <v>240</v>
      </c>
      <c r="E31">
        <v>1</v>
      </c>
      <c r="F31">
        <v>-15.287000000000001</v>
      </c>
      <c r="G31">
        <v>35.027000000000001</v>
      </c>
      <c r="H31">
        <v>23.1</v>
      </c>
      <c r="I31">
        <v>356</v>
      </c>
      <c r="J31">
        <v>53</v>
      </c>
      <c r="K31" t="str">
        <f>VLOOKUP(C31,Leonard2010!E:P,12,FALSE)</f>
        <v>E</v>
      </c>
      <c r="L31">
        <f>VLOOKUP(C31,Leonard2010!E:Q,13,FALSE)</f>
        <v>0</v>
      </c>
      <c r="M31">
        <f>VLOOKUP(C31,Leonard2010!E:R,14,FALSE)</f>
        <v>0</v>
      </c>
      <c r="N31">
        <f t="shared" si="0"/>
        <v>14.194258231677919</v>
      </c>
      <c r="O31">
        <f>VLOOKUP(B31,Leonard2010!D:CC,78,FALSE)</f>
        <v>315</v>
      </c>
      <c r="P31">
        <f>VLOOKUP(B31,FaultGeometry!B:G,6,FALSE)</f>
        <v>2</v>
      </c>
      <c r="Q31">
        <f>VLOOKUP(B31,FaultGeometry!B:L,11,FALSE)</f>
        <v>18.330367868609443</v>
      </c>
      <c r="R31">
        <f>VLOOKUP(C31,Leonard2010!E:CE,79,FALSE)</f>
        <v>603</v>
      </c>
      <c r="S31">
        <f>VLOOKUP(R31,FaultGeometry!W:X,2,FALSE)</f>
        <v>41.288375307262264</v>
      </c>
      <c r="T31">
        <f>VLOOKUP(C31,Leonard2010!E:BA,44,FALSE)</f>
        <v>6.0882713451569117</v>
      </c>
      <c r="U31">
        <f>VLOOKUP(C31,Leonard2010!E:BA,45,FALSE)</f>
        <v>6.5212563728363335</v>
      </c>
      <c r="V31">
        <f>VLOOKUP(C31,Leonard2010!E:BB,46,FALSE)</f>
        <v>7.0090900991092866</v>
      </c>
      <c r="W31">
        <v>3900.082129060489</v>
      </c>
      <c r="X31">
        <v>13529.000331523874</v>
      </c>
      <c r="Y31">
        <v>46930.768100123329</v>
      </c>
      <c r="Z31">
        <f t="shared" si="1"/>
        <v>501901913962502.62</v>
      </c>
      <c r="AA31">
        <v>4.909705561130677E-2</v>
      </c>
      <c r="AB31">
        <v>3.6701830660275749E-2</v>
      </c>
      <c r="AC31">
        <f t="shared" si="2"/>
        <v>327.88736515175998</v>
      </c>
    </row>
    <row r="32" spans="1:29" x14ac:dyDescent="0.2">
      <c r="A32">
        <f>VLOOKUP(C32,Leonard2010!E:CD,78,FALSE)</f>
        <v>31</v>
      </c>
      <c r="B32" s="11" t="s">
        <v>6</v>
      </c>
      <c r="C32" s="11" t="s">
        <v>57</v>
      </c>
      <c r="D32" s="11" t="s">
        <v>42</v>
      </c>
      <c r="E32">
        <v>1</v>
      </c>
      <c r="F32">
        <v>-15.446</v>
      </c>
      <c r="G32">
        <v>34.954999999999998</v>
      </c>
      <c r="H32">
        <v>5.4</v>
      </c>
      <c r="I32">
        <v>346</v>
      </c>
      <c r="J32">
        <v>53</v>
      </c>
      <c r="K32" t="str">
        <f>VLOOKUP(C32,Leonard2010!E:P,12,FALSE)</f>
        <v>E</v>
      </c>
      <c r="L32">
        <f>VLOOKUP(C32,Leonard2010!E:Q,13,FALSE)</f>
        <v>0</v>
      </c>
      <c r="M32">
        <f>VLOOKUP(C32,Leonard2010!E:R,14,FALSE)</f>
        <v>0</v>
      </c>
      <c r="N32">
        <f t="shared" si="0"/>
        <v>5.3864242320315983</v>
      </c>
      <c r="O32">
        <f>VLOOKUP(B32,Leonard2010!D:CC,78,FALSE)</f>
        <v>316</v>
      </c>
      <c r="P32">
        <f>VLOOKUP(B32,FaultGeometry!B:G,6,FALSE)</f>
        <v>1</v>
      </c>
      <c r="Q32">
        <f>VLOOKUP(B32,FaultGeometry!B:L,11,FALSE)</f>
        <v>19.849380515196682</v>
      </c>
      <c r="R32">
        <f>VLOOKUP(C32,Leonard2010!E:CE,79,FALSE)</f>
        <v>0</v>
      </c>
      <c r="S32" t="str">
        <f>VLOOKUP(R32,FaultGeometry!W:X,2,FALSE)</f>
        <v>NA</v>
      </c>
      <c r="T32">
        <f>VLOOKUP(C32,Leonard2010!E:BA,44,FALSE)</f>
        <v>5.0362409783749511</v>
      </c>
      <c r="U32">
        <f>VLOOKUP(C32,Leonard2010!E:BA,45,FALSE)</f>
        <v>5.4692260060543729</v>
      </c>
      <c r="V32">
        <f>VLOOKUP(C32,Leonard2010!E:BB,46,FALSE)</f>
        <v>5.957059732327326</v>
      </c>
      <c r="W32">
        <v>1173.6998199098728</v>
      </c>
      <c r="X32">
        <v>3982.4234124531176</v>
      </c>
      <c r="Y32">
        <v>13512.565961944681</v>
      </c>
      <c r="Z32">
        <f t="shared" si="1"/>
        <v>45049666120848.75</v>
      </c>
      <c r="AA32">
        <v>4.9488557828201184E-2</v>
      </c>
      <c r="AB32">
        <v>3.6353420574865028E-2</v>
      </c>
      <c r="AC32">
        <f t="shared" si="2"/>
        <v>29.086690852970634</v>
      </c>
    </row>
    <row r="33" spans="1:29" x14ac:dyDescent="0.2">
      <c r="A33">
        <f>VLOOKUP(C33,Leonard2010!E:CD,78,FALSE)</f>
        <v>32</v>
      </c>
      <c r="B33" s="11" t="s">
        <v>6</v>
      </c>
      <c r="C33" s="11" t="s">
        <v>284</v>
      </c>
      <c r="D33" s="11" t="s">
        <v>42</v>
      </c>
      <c r="E33">
        <v>1</v>
      </c>
      <c r="F33">
        <v>-15.398999999999999</v>
      </c>
      <c r="G33">
        <v>34.942</v>
      </c>
      <c r="H33">
        <v>7</v>
      </c>
      <c r="I33">
        <v>15</v>
      </c>
      <c r="J33">
        <v>53</v>
      </c>
      <c r="K33" t="str">
        <f>VLOOKUP(C33,Leonard2010!E:P,12,FALSE)</f>
        <v>E</v>
      </c>
      <c r="L33">
        <f>VLOOKUP(C33,Leonard2010!E:Q,13,FALSE)</f>
        <v>0</v>
      </c>
      <c r="M33">
        <f>VLOOKUP(C33,Leonard2010!E:R,14,FALSE)</f>
        <v>0</v>
      </c>
      <c r="N33">
        <f t="shared" si="0"/>
        <v>6.4037849925401957</v>
      </c>
      <c r="O33">
        <f>VLOOKUP(B33,Leonard2010!D:CC,78,FALSE)</f>
        <v>316</v>
      </c>
      <c r="P33">
        <f>VLOOKUP(B33,FaultGeometry!B:G,6,FALSE)</f>
        <v>1</v>
      </c>
      <c r="Q33">
        <f>VLOOKUP(B33,FaultGeometry!B:L,11,FALSE)</f>
        <v>19.849380515196682</v>
      </c>
      <c r="R33">
        <f>VLOOKUP(C33,Leonard2010!E:CE,79,FALSE)</f>
        <v>0</v>
      </c>
      <c r="S33" t="str">
        <f>VLOOKUP(R33,FaultGeometry!W:X,2,FALSE)</f>
        <v>NA</v>
      </c>
      <c r="T33">
        <f>VLOOKUP(C33,Leonard2010!E:BA,44,FALSE)</f>
        <v>5.224081445360433</v>
      </c>
      <c r="U33">
        <f>VLOOKUP(C33,Leonard2010!E:BA,45,FALSE)</f>
        <v>5.6570664730398548</v>
      </c>
      <c r="V33">
        <f>VLOOKUP(C33,Leonard2010!E:BB,46,FALSE)</f>
        <v>6.1449001993128078</v>
      </c>
      <c r="W33">
        <v>1517.0530141824265</v>
      </c>
      <c r="X33">
        <v>5835.2549140922802</v>
      </c>
      <c r="Y33">
        <v>22444.963751506413</v>
      </c>
      <c r="Z33">
        <f t="shared" si="1"/>
        <v>58822012151658.977</v>
      </c>
      <c r="AA33">
        <v>4.2400558596188666E-2</v>
      </c>
      <c r="AB33">
        <v>3.4953841848919233E-2</v>
      </c>
      <c r="AC33">
        <f t="shared" si="2"/>
        <v>44.82649494778137</v>
      </c>
    </row>
    <row r="34" spans="1:29" x14ac:dyDescent="0.2">
      <c r="A34">
        <f>VLOOKUP(C34,Leonard2010!E:CD,78,FALSE)</f>
        <v>33</v>
      </c>
      <c r="B34" s="11" t="s">
        <v>6</v>
      </c>
      <c r="C34" s="11" t="s">
        <v>285</v>
      </c>
      <c r="D34" s="11" t="s">
        <v>42</v>
      </c>
      <c r="E34">
        <v>1</v>
      </c>
      <c r="F34">
        <v>-15.295999999999999</v>
      </c>
      <c r="G34">
        <v>34.969000000000001</v>
      </c>
      <c r="H34">
        <v>11.5</v>
      </c>
      <c r="I34">
        <v>10</v>
      </c>
      <c r="J34">
        <v>53</v>
      </c>
      <c r="K34" t="str">
        <f>VLOOKUP(C34,Leonard2010!E:P,12,FALSE)</f>
        <v>E</v>
      </c>
      <c r="L34">
        <f>VLOOKUP(C34,Leonard2010!E:Q,13,FALSE)</f>
        <v>0</v>
      </c>
      <c r="M34">
        <f>VLOOKUP(C34,Leonard2010!E:R,14,FALSE)</f>
        <v>0</v>
      </c>
      <c r="N34">
        <f t="shared" si="0"/>
        <v>8.9159975866584844</v>
      </c>
      <c r="O34">
        <f>VLOOKUP(B34,Leonard2010!D:CC,78,FALSE)</f>
        <v>316</v>
      </c>
      <c r="P34">
        <f>VLOOKUP(B34,FaultGeometry!B:G,6,FALSE)</f>
        <v>1</v>
      </c>
      <c r="Q34">
        <f>VLOOKUP(B34,FaultGeometry!B:L,11,FALSE)</f>
        <v>19.849380515196682</v>
      </c>
      <c r="R34">
        <f>VLOOKUP(C34,Leonard2010!E:CE,79,FALSE)</f>
        <v>0</v>
      </c>
      <c r="S34" t="str">
        <f>VLOOKUP(R34,FaultGeometry!W:X,2,FALSE)</f>
        <v>NA</v>
      </c>
      <c r="T34">
        <f>VLOOKUP(C34,Leonard2010!E:BA,44,FALSE)</f>
        <v>5.5834144459260244</v>
      </c>
      <c r="U34">
        <f>VLOOKUP(C34,Leonard2010!E:BA,45,FALSE)</f>
        <v>6.0163994736054462</v>
      </c>
      <c r="V34">
        <f>VLOOKUP(C34,Leonard2010!E:BB,46,FALSE)</f>
        <v>6.5042331998783993</v>
      </c>
      <c r="W34">
        <v>2193.9444969628721</v>
      </c>
      <c r="X34">
        <v>8322.6166757639712</v>
      </c>
      <c r="Y34">
        <v>31571.422352566795</v>
      </c>
      <c r="Z34">
        <f t="shared" si="1"/>
        <v>142672186863210.12</v>
      </c>
      <c r="AA34">
        <v>4.413735281318986E-2</v>
      </c>
      <c r="AB34">
        <v>3.5307784755058941E-2</v>
      </c>
      <c r="AC34">
        <f t="shared" si="2"/>
        <v>102.53397224657257</v>
      </c>
    </row>
    <row r="35" spans="1:29" x14ac:dyDescent="0.2">
      <c r="A35">
        <f>VLOOKUP(C35,Leonard2010!E:CD,78,FALSE)</f>
        <v>34</v>
      </c>
      <c r="B35" s="11" t="s">
        <v>6</v>
      </c>
      <c r="C35" s="11" t="s">
        <v>537</v>
      </c>
      <c r="D35" s="11" t="s">
        <v>42</v>
      </c>
      <c r="E35">
        <v>1</v>
      </c>
      <c r="F35">
        <v>-15.337</v>
      </c>
      <c r="G35">
        <v>34.957999999999998</v>
      </c>
      <c r="H35">
        <v>4.7</v>
      </c>
      <c r="I35">
        <v>15</v>
      </c>
      <c r="J35">
        <v>53</v>
      </c>
      <c r="K35" t="str">
        <f>VLOOKUP(C35,Leonard2010!E:P,12,FALSE)</f>
        <v>E</v>
      </c>
      <c r="L35">
        <f>VLOOKUP(C35,Leonard2010!E:Q,13,FALSE)</f>
        <v>0</v>
      </c>
      <c r="M35">
        <f>VLOOKUP(C35,Leonard2010!E:R,14,FALSE)</f>
        <v>0</v>
      </c>
      <c r="N35">
        <f t="shared" ref="N35" si="3">MIN((((H35*1000)^(2/3)*17.5)/1000),((35-M35)/SIN(RADIANS(J35))))</f>
        <v>4.9102464158736074</v>
      </c>
      <c r="O35">
        <f>VLOOKUP(B35,Leonard2010!D:CC,78,FALSE)</f>
        <v>316</v>
      </c>
      <c r="P35">
        <f>VLOOKUP(B35,FaultGeometry!B:G,6,FALSE)</f>
        <v>1</v>
      </c>
      <c r="Q35">
        <f>VLOOKUP(B35,FaultGeometry!B:L,11,FALSE)</f>
        <v>19.849380515196682</v>
      </c>
      <c r="R35">
        <f>VLOOKUP(C35,Leonard2010!E:CE,79,FALSE)</f>
        <v>0</v>
      </c>
      <c r="S35" t="str">
        <f>VLOOKUP(R35,FaultGeometry!W:X,2,FALSE)</f>
        <v>NA</v>
      </c>
      <c r="T35">
        <f>VLOOKUP(C35,Leonard2010!E:BA,44,FALSE)</f>
        <v>4.9357478085628657</v>
      </c>
      <c r="U35">
        <f>VLOOKUP(C35,Leonard2010!E:BA,45,FALSE)</f>
        <v>5.3687328362422875</v>
      </c>
      <c r="V35">
        <f>VLOOKUP(C35,Leonard2010!E:BB,46,FALSE)</f>
        <v>5.8565665625152405</v>
      </c>
      <c r="W35">
        <v>1061.3121503220398</v>
      </c>
      <c r="X35">
        <v>4155.1435167682803</v>
      </c>
      <c r="Y35">
        <v>16267.803623752547</v>
      </c>
      <c r="Z35">
        <f t="shared" ref="Z35" si="4">IF(U35="NA",0,E35*10^(U35*1.5+9.05)/X35)</f>
        <v>30514989555886.883</v>
      </c>
      <c r="AA35">
        <v>4.2393050646549461E-2</v>
      </c>
      <c r="AB35">
        <v>3.4529455502979173E-2</v>
      </c>
      <c r="AC35">
        <f t="shared" si="2"/>
        <v>23.078158154605955</v>
      </c>
    </row>
    <row r="36" spans="1:29" x14ac:dyDescent="0.2">
      <c r="A36">
        <f>VLOOKUP(C36,Leonard2010!E:CD,78,FALSE)</f>
        <v>35</v>
      </c>
      <c r="B36" s="11" t="s">
        <v>6</v>
      </c>
      <c r="C36" s="11" t="s">
        <v>252</v>
      </c>
      <c r="D36" s="11" t="s">
        <v>42</v>
      </c>
      <c r="E36">
        <v>1</v>
      </c>
      <c r="F36">
        <v>-15.194000000000001</v>
      </c>
      <c r="G36">
        <v>34.987000000000002</v>
      </c>
      <c r="H36">
        <v>2.7</v>
      </c>
      <c r="I36">
        <v>305</v>
      </c>
      <c r="J36">
        <v>53</v>
      </c>
      <c r="K36" t="str">
        <f>VLOOKUP(C36,Leonard2010!E:P,12,FALSE)</f>
        <v>E</v>
      </c>
      <c r="L36">
        <f>VLOOKUP(C36,Leonard2010!E:Q,13,FALSE)</f>
        <v>0</v>
      </c>
      <c r="M36">
        <f>VLOOKUP(C36,Leonard2010!E:R,14,FALSE)</f>
        <v>0</v>
      </c>
      <c r="N36">
        <f t="shared" si="0"/>
        <v>3.393234636800214</v>
      </c>
      <c r="O36">
        <f>VLOOKUP(B36,Leonard2010!D:CC,78,FALSE)</f>
        <v>316</v>
      </c>
      <c r="P36">
        <f>VLOOKUP(B36,FaultGeometry!B:G,6,FALSE)</f>
        <v>1</v>
      </c>
      <c r="Q36">
        <f>VLOOKUP(B36,FaultGeometry!B:L,11,FALSE)</f>
        <v>19.849380515196682</v>
      </c>
      <c r="R36">
        <f>VLOOKUP(C36,Leonard2010!E:CE,79,FALSE)</f>
        <v>0</v>
      </c>
      <c r="S36" t="str">
        <f>VLOOKUP(R36,FaultGeometry!W:X,2,FALSE)</f>
        <v>NA</v>
      </c>
      <c r="T36" t="str">
        <f>VLOOKUP(C36,Leonard2010!E:BA,44,FALSE)</f>
        <v>NA</v>
      </c>
      <c r="U36" t="str">
        <f>VLOOKUP(C36,Leonard2010!E:BA,45,FALSE)</f>
        <v>NA</v>
      </c>
      <c r="V36" t="str">
        <f>VLOOKUP(C36,Leonard2010!E:BB,46,FALSE)</f>
        <v>NA</v>
      </c>
      <c r="W36" t="str">
        <f>IF(T36="NA","NA",VLOOKUP(C36,Leonard2010!E:BD,51,FALSE)/E36)</f>
        <v>NA</v>
      </c>
      <c r="X36" t="str">
        <f>IF(U36="NA","NA",VLOOKUP(C36,Leonard2010!E:BE,52,FALSE)/E36)</f>
        <v>NA</v>
      </c>
      <c r="Y36" t="str">
        <f>IF(V36="NA","NA",VLOOKUP(C36,Leonard2010!E:BF,53,FALSE)/E36)</f>
        <v>NA</v>
      </c>
      <c r="Z36">
        <f t="shared" si="1"/>
        <v>0</v>
      </c>
      <c r="AA36" t="str">
        <f>IF(X36="NA","NA",VLOOKUP(E36,Leonard2010!G:BH,53,FALSE)/G36)</f>
        <v>NA</v>
      </c>
      <c r="AB36" t="str">
        <f>IF(Y36="NA","NA",VLOOKUP(F36,Leonard2010!H:BI,53,FALSE)/H36)</f>
        <v>NA</v>
      </c>
      <c r="AC36">
        <f t="shared" si="2"/>
        <v>9.1617335193605776</v>
      </c>
    </row>
    <row r="37" spans="1:29" x14ac:dyDescent="0.2">
      <c r="A37">
        <f>VLOOKUP(C37,Leonard2010!E:CD,78,FALSE)</f>
        <v>36</v>
      </c>
      <c r="B37" s="11" t="s">
        <v>6</v>
      </c>
      <c r="C37" s="11" t="s">
        <v>58</v>
      </c>
      <c r="D37" s="11" t="s">
        <v>42</v>
      </c>
      <c r="E37">
        <v>1</v>
      </c>
      <c r="F37">
        <v>-15.18</v>
      </c>
      <c r="G37">
        <v>34.966000000000001</v>
      </c>
      <c r="H37">
        <v>6.9</v>
      </c>
      <c r="I37">
        <v>354</v>
      </c>
      <c r="J37">
        <v>53</v>
      </c>
      <c r="K37" t="str">
        <f>VLOOKUP(C37,Leonard2010!E:P,12,FALSE)</f>
        <v>E</v>
      </c>
      <c r="L37">
        <f>VLOOKUP(C37,Leonard2010!E:Q,13,FALSE)</f>
        <v>0</v>
      </c>
      <c r="M37">
        <f>VLOOKUP(C37,Leonard2010!E:R,14,FALSE)</f>
        <v>0</v>
      </c>
      <c r="N37">
        <f t="shared" si="0"/>
        <v>6.3426504237670258</v>
      </c>
      <c r="O37">
        <f>VLOOKUP(B37,Leonard2010!D:CC,78,FALSE)</f>
        <v>316</v>
      </c>
      <c r="P37">
        <f>VLOOKUP(B37,FaultGeometry!B:G,6,FALSE)</f>
        <v>1</v>
      </c>
      <c r="Q37">
        <f>VLOOKUP(B37,FaultGeometry!B:L,11,FALSE)</f>
        <v>19.849380515196682</v>
      </c>
      <c r="R37">
        <f>VLOOKUP(C37,Leonard2010!E:CE,79,FALSE)</f>
        <v>0</v>
      </c>
      <c r="S37" t="str">
        <f>VLOOKUP(R37,FaultGeometry!W:X,2,FALSE)</f>
        <v>NA</v>
      </c>
      <c r="T37">
        <f>VLOOKUP(C37,Leonard2010!E:BA,44,FALSE)</f>
        <v>5.2136665298987621</v>
      </c>
      <c r="U37">
        <f>VLOOKUP(C37,Leonard2010!E:BA,45,FALSE)</f>
        <v>5.6466515575781839</v>
      </c>
      <c r="V37">
        <f>VLOOKUP(C37,Leonard2010!E:BB,46,FALSE)</f>
        <v>6.134485283851137</v>
      </c>
      <c r="W37">
        <v>1445.5870800829105</v>
      </c>
      <c r="X37">
        <v>4956.0376298537767</v>
      </c>
      <c r="Y37">
        <v>16991.234445121001</v>
      </c>
      <c r="Z37">
        <f t="shared" si="1"/>
        <v>66810195281866.609</v>
      </c>
      <c r="AA37">
        <v>4.9281835977036809E-2</v>
      </c>
      <c r="AB37">
        <v>3.6280242871823659E-2</v>
      </c>
      <c r="AC37">
        <f t="shared" si="2"/>
        <v>43.764287923992484</v>
      </c>
    </row>
    <row r="38" spans="1:29" x14ac:dyDescent="0.2">
      <c r="A38">
        <f>VLOOKUP(C38,Leonard2010!E:CD,78,FALSE)</f>
        <v>37</v>
      </c>
      <c r="B38" s="11" t="s">
        <v>246</v>
      </c>
      <c r="C38" s="67" t="s">
        <v>286</v>
      </c>
      <c r="D38" s="11" t="s">
        <v>42</v>
      </c>
      <c r="E38">
        <v>0.5</v>
      </c>
      <c r="F38">
        <v>-15.704000000000001</v>
      </c>
      <c r="G38">
        <v>34.667999999999999</v>
      </c>
      <c r="H38">
        <v>8.3000000000000007</v>
      </c>
      <c r="I38">
        <v>27</v>
      </c>
      <c r="J38">
        <v>53</v>
      </c>
      <c r="K38" t="str">
        <f>VLOOKUP(C38,Leonard2010!E:P,12,FALSE)</f>
        <v>E</v>
      </c>
      <c r="L38">
        <f>VLOOKUP(C38,Leonard2010!E:Q,13,FALSE)</f>
        <v>0</v>
      </c>
      <c r="M38">
        <f>VLOOKUP(C38,Leonard2010!E:R,14,FALSE)</f>
        <v>0</v>
      </c>
      <c r="N38">
        <f t="shared" si="0"/>
        <v>7.173924090110221</v>
      </c>
      <c r="O38">
        <f>VLOOKUP(B38,Leonard2010!D:CC,78,FALSE)</f>
        <v>318</v>
      </c>
      <c r="P38">
        <f>VLOOKUP(B38,FaultGeometry!B:G,6,FALSE)</f>
        <v>16</v>
      </c>
      <c r="Q38">
        <f>VLOOKUP(B38,FaultGeometry!B:L,11,FALSE)</f>
        <v>21.711625534424297</v>
      </c>
      <c r="R38">
        <f>VLOOKUP(C38,Leonard2010!E:CE,79,FALSE)</f>
        <v>0</v>
      </c>
      <c r="S38" t="str">
        <f>VLOOKUP(R38,FaultGeometry!W:X,2,FALSE)</f>
        <v>NA</v>
      </c>
      <c r="T38">
        <f>VLOOKUP(C38,Leonard2010!E:BA,44,FALSE)</f>
        <v>5.3473815326301279</v>
      </c>
      <c r="U38">
        <f>VLOOKUP(C38,Leonard2010!E:BA,45,FALSE)</f>
        <v>5.7803665603095498</v>
      </c>
      <c r="V38">
        <f>VLOOKUP(C38,Leonard2010!E:BB,46,FALSE)</f>
        <v>6.2682002865825028</v>
      </c>
      <c r="W38">
        <v>1757.704462256306</v>
      </c>
      <c r="X38">
        <v>7708.4750268284588</v>
      </c>
      <c r="Y38">
        <v>33805.789605245554</v>
      </c>
      <c r="Z38">
        <f t="shared" si="1"/>
        <v>34084064229810.227</v>
      </c>
      <c r="AA38">
        <v>3.6809526633380725E-2</v>
      </c>
      <c r="AB38">
        <v>3.2852179086168339E-2</v>
      </c>
      <c r="AC38">
        <f t="shared" si="2"/>
        <v>59.54356994791484</v>
      </c>
    </row>
    <row r="39" spans="1:29" x14ac:dyDescent="0.2">
      <c r="A39">
        <f>VLOOKUP(C39,Leonard2010!E:CD,78,FALSE)</f>
        <v>38</v>
      </c>
      <c r="B39" s="11" t="s">
        <v>246</v>
      </c>
      <c r="C39" s="67" t="s">
        <v>287</v>
      </c>
      <c r="D39" s="11" t="s">
        <v>42</v>
      </c>
      <c r="E39">
        <v>0.5</v>
      </c>
      <c r="F39">
        <v>-15.637</v>
      </c>
      <c r="G39">
        <v>34.701999999999998</v>
      </c>
      <c r="H39">
        <v>11.1</v>
      </c>
      <c r="I39">
        <v>351</v>
      </c>
      <c r="J39">
        <v>53</v>
      </c>
      <c r="K39" t="str">
        <f>VLOOKUP(C39,Leonard2010!E:P,12,FALSE)</f>
        <v>E</v>
      </c>
      <c r="L39">
        <f>VLOOKUP(C39,Leonard2010!E:Q,13,FALSE)</f>
        <v>0</v>
      </c>
      <c r="M39">
        <f>VLOOKUP(C39,Leonard2010!E:R,14,FALSE)</f>
        <v>0</v>
      </c>
      <c r="N39">
        <f t="shared" si="0"/>
        <v>8.7080323657395766</v>
      </c>
      <c r="O39">
        <f>VLOOKUP(B39,Leonard2010!D:CC,78,FALSE)</f>
        <v>318</v>
      </c>
      <c r="P39">
        <f>VLOOKUP(B39,FaultGeometry!B:G,6,FALSE)</f>
        <v>16</v>
      </c>
      <c r="Q39">
        <f>VLOOKUP(B39,FaultGeometry!B:L,11,FALSE)</f>
        <v>21.711625534424297</v>
      </c>
      <c r="R39">
        <f>VLOOKUP(C39,Leonard2010!E:CE,79,FALSE)</f>
        <v>0</v>
      </c>
      <c r="S39" t="str">
        <f>VLOOKUP(R39,FaultGeometry!W:X,2,FALSE)</f>
        <v>NA</v>
      </c>
      <c r="T39">
        <f>VLOOKUP(C39,Leonard2010!E:BA,44,FALSE)</f>
        <v>5.5577896766477677</v>
      </c>
      <c r="U39">
        <f>VLOOKUP(C39,Leonard2010!E:BA,45,FALSE)</f>
        <v>5.9907747043271895</v>
      </c>
      <c r="V39">
        <f>VLOOKUP(C39,Leonard2010!E:BB,46,FALSE)</f>
        <v>6.4786084306001426</v>
      </c>
      <c r="W39">
        <v>2159.9247619618332</v>
      </c>
      <c r="X39">
        <v>7360.013656227964</v>
      </c>
      <c r="Y39">
        <v>25079.485162557423</v>
      </c>
      <c r="Z39">
        <f t="shared" si="1"/>
        <v>73833497362238.578</v>
      </c>
      <c r="AA39">
        <v>4.9641817960081526E-2</v>
      </c>
      <c r="AB39">
        <v>3.6619221250470291E-2</v>
      </c>
      <c r="AC39">
        <f t="shared" si="2"/>
        <v>96.659159259709298</v>
      </c>
    </row>
    <row r="40" spans="1:29" x14ac:dyDescent="0.2">
      <c r="A40">
        <f>VLOOKUP(C40,Leonard2010!E:CD,78,FALSE)</f>
        <v>39</v>
      </c>
      <c r="B40" s="11" t="s">
        <v>246</v>
      </c>
      <c r="C40" s="67" t="s">
        <v>361</v>
      </c>
      <c r="D40" s="11" t="s">
        <v>42</v>
      </c>
      <c r="E40">
        <v>0.5</v>
      </c>
      <c r="F40">
        <v>-15.538</v>
      </c>
      <c r="G40">
        <v>34.685000000000002</v>
      </c>
      <c r="H40">
        <v>5.5</v>
      </c>
      <c r="I40">
        <v>56</v>
      </c>
      <c r="J40">
        <v>53</v>
      </c>
      <c r="K40" t="str">
        <f>VLOOKUP(C40,Leonard2010!E:P,12,FALSE)</f>
        <v>E</v>
      </c>
      <c r="L40">
        <f>VLOOKUP(C40,Leonard2010!E:Q,13,FALSE)</f>
        <v>0</v>
      </c>
      <c r="M40">
        <f>VLOOKUP(C40,Leonard2010!E:R,14,FALSE)</f>
        <v>0</v>
      </c>
      <c r="N40">
        <f t="shared" si="0"/>
        <v>5.4527197238235319</v>
      </c>
      <c r="O40">
        <f>VLOOKUP(B40,Leonard2010!D:CC,78,FALSE)</f>
        <v>318</v>
      </c>
      <c r="P40">
        <f>VLOOKUP(B40,FaultGeometry!B:G,6,FALSE)</f>
        <v>16</v>
      </c>
      <c r="Q40">
        <f>VLOOKUP(B40,FaultGeometry!B:L,11,FALSE)</f>
        <v>21.711625534424297</v>
      </c>
      <c r="R40">
        <f>VLOOKUP(C40,Leonard2010!E:CE,79,FALSE)</f>
        <v>0</v>
      </c>
      <c r="S40" t="str">
        <f>VLOOKUP(R40,FaultGeometry!W:X,2,FALSE)</f>
        <v>NA</v>
      </c>
      <c r="T40">
        <f>VLOOKUP(C40,Leonard2010!E:BA,44,FALSE)</f>
        <v>5.0495225278270768</v>
      </c>
      <c r="U40">
        <f>VLOOKUP(C40,Leonard2010!E:BA,45,FALSE)</f>
        <v>5.4825075555064986</v>
      </c>
      <c r="V40">
        <f>VLOOKUP(C40,Leonard2010!E:BB,46,FALSE)</f>
        <v>5.9703412817794517</v>
      </c>
      <c r="W40">
        <v>1627.9272504436676</v>
      </c>
      <c r="X40">
        <v>7917.3440454493011</v>
      </c>
      <c r="Y40">
        <v>38505.613022282087</v>
      </c>
      <c r="Z40">
        <f t="shared" si="1"/>
        <v>11861833402058.457</v>
      </c>
      <c r="AA40">
        <v>2.5561191218699219E-2</v>
      </c>
      <c r="AB40">
        <v>2.6589712716874769E-2</v>
      </c>
      <c r="AC40">
        <f t="shared" si="2"/>
        <v>29.989958481029426</v>
      </c>
    </row>
    <row r="41" spans="1:29" x14ac:dyDescent="0.2">
      <c r="A41">
        <f>VLOOKUP(C41,Leonard2010!E:CD,78,FALSE)</f>
        <v>40</v>
      </c>
      <c r="B41" s="11" t="s">
        <v>246</v>
      </c>
      <c r="C41" s="67" t="s">
        <v>362</v>
      </c>
      <c r="D41" s="11" t="s">
        <v>42</v>
      </c>
      <c r="E41">
        <v>0.5</v>
      </c>
      <c r="F41">
        <v>-15.509</v>
      </c>
      <c r="G41">
        <v>34.728000000000002</v>
      </c>
      <c r="H41">
        <v>8.9</v>
      </c>
      <c r="I41">
        <v>358</v>
      </c>
      <c r="J41">
        <v>53</v>
      </c>
      <c r="K41" t="str">
        <f>VLOOKUP(C41,Leonard2010!E:P,12,FALSE)</f>
        <v>E</v>
      </c>
      <c r="L41">
        <f>VLOOKUP(C41,Leonard2010!E:Q,13,FALSE)</f>
        <v>0</v>
      </c>
      <c r="M41">
        <f>VLOOKUP(C41,Leonard2010!E:R,14,FALSE)</f>
        <v>0</v>
      </c>
      <c r="N41">
        <f t="shared" si="0"/>
        <v>7.5156183788479911</v>
      </c>
      <c r="O41">
        <f>VLOOKUP(B41,Leonard2010!D:CC,78,FALSE)</f>
        <v>318</v>
      </c>
      <c r="P41">
        <f>VLOOKUP(B41,FaultGeometry!B:G,6,FALSE)</f>
        <v>16</v>
      </c>
      <c r="Q41">
        <f>VLOOKUP(B41,FaultGeometry!B:L,11,FALSE)</f>
        <v>21.711625534424297</v>
      </c>
      <c r="R41">
        <f>VLOOKUP(C41,Leonard2010!E:CE,79,FALSE)</f>
        <v>0</v>
      </c>
      <c r="S41" t="str">
        <f>VLOOKUP(R41,FaultGeometry!W:X,2,FALSE)</f>
        <v>NA</v>
      </c>
      <c r="T41">
        <f>VLOOKUP(C41,Leonard2010!E:BA,44,FALSE)</f>
        <v>5.3979013897448596</v>
      </c>
      <c r="U41">
        <f>VLOOKUP(C41,Leonard2010!E:BA,45,FALSE)</f>
        <v>5.8308864174242814</v>
      </c>
      <c r="V41">
        <f>VLOOKUP(C41,Leonard2010!E:BB,46,FALSE)</f>
        <v>6.3187201436972344</v>
      </c>
      <c r="W41">
        <v>1701.5205369928356</v>
      </c>
      <c r="X41">
        <v>5968.9141231797066</v>
      </c>
      <c r="Y41">
        <v>20938.880862913844</v>
      </c>
      <c r="Z41">
        <f t="shared" si="1"/>
        <v>52408810145043.516</v>
      </c>
      <c r="AA41">
        <v>4.931871837170828E-2</v>
      </c>
      <c r="AB41">
        <v>3.6878600458848318E-2</v>
      </c>
      <c r="AC41">
        <f t="shared" si="2"/>
        <v>66.889003571747125</v>
      </c>
    </row>
    <row r="42" spans="1:29" x14ac:dyDescent="0.2">
      <c r="A42">
        <f>VLOOKUP(C42,Leonard2010!E:CD,78,FALSE)</f>
        <v>41</v>
      </c>
      <c r="B42" s="11" t="s">
        <v>246</v>
      </c>
      <c r="C42" s="63" t="s">
        <v>367</v>
      </c>
      <c r="D42" s="11" t="s">
        <v>42</v>
      </c>
      <c r="E42">
        <v>0.5</v>
      </c>
      <c r="F42">
        <v>-15.429</v>
      </c>
      <c r="G42">
        <v>34.725000000000001</v>
      </c>
      <c r="H42">
        <v>2.1</v>
      </c>
      <c r="I42">
        <v>85</v>
      </c>
      <c r="J42">
        <v>53</v>
      </c>
      <c r="K42" t="str">
        <f>VLOOKUP(C42,Leonard2010!E:P,12,FALSE)</f>
        <v>E</v>
      </c>
      <c r="L42">
        <f>VLOOKUP(C42,Leonard2010!E:Q,13,FALSE)</f>
        <v>0</v>
      </c>
      <c r="M42">
        <f>VLOOKUP(C42,Leonard2010!E:R,14,FALSE)</f>
        <v>0</v>
      </c>
      <c r="N42">
        <f t="shared" si="0"/>
        <v>2.8697952461501175</v>
      </c>
      <c r="O42">
        <f>VLOOKUP(B42,Leonard2010!D:CC,78,FALSE)</f>
        <v>318</v>
      </c>
      <c r="P42">
        <f>VLOOKUP(B42,FaultGeometry!B:G,6,FALSE)</f>
        <v>16</v>
      </c>
      <c r="Q42">
        <f>VLOOKUP(B42,FaultGeometry!B:L,11,FALSE)</f>
        <v>21.711625534424297</v>
      </c>
      <c r="R42">
        <f>VLOOKUP(C42,Leonard2010!E:CE,79,FALSE)</f>
        <v>0</v>
      </c>
      <c r="S42" t="str">
        <f>VLOOKUP(R42,FaultGeometry!W:X,2,FALSE)</f>
        <v>NA</v>
      </c>
      <c r="T42" t="str">
        <f>VLOOKUP(C42,Leonard2010!E:BA,44,FALSE)</f>
        <v>NA</v>
      </c>
      <c r="U42" t="str">
        <f>VLOOKUP(C42,Leonard2010!E:BA,45,FALSE)</f>
        <v>NA</v>
      </c>
      <c r="V42" t="str">
        <f>VLOOKUP(C42,Leonard2010!E:BB,46,FALSE)</f>
        <v>NA</v>
      </c>
      <c r="W42" t="str">
        <f>IF(T42="NA","NA",VLOOKUP(C42,Leonard2010!E:BD,51,FALSE)/E42)</f>
        <v>NA</v>
      </c>
      <c r="X42" t="str">
        <f>IF(U42="NA","NA",VLOOKUP(C42,Leonard2010!E:BE,52,FALSE)/E42)</f>
        <v>NA</v>
      </c>
      <c r="Y42" t="str">
        <f>IF(V42="NA","NA",VLOOKUP(C42,Leonard2010!E:BF,53,FALSE)/E42)</f>
        <v>NA</v>
      </c>
      <c r="Z42">
        <f t="shared" si="1"/>
        <v>0</v>
      </c>
      <c r="AA42" t="str">
        <f>IF(X42="NA","NA",VLOOKUP(E42,Leonard2010!G:BH,53,FALSE)/G42)</f>
        <v>NA</v>
      </c>
      <c r="AB42" t="str">
        <f>IF(Y42="NA","NA",VLOOKUP(F42,Leonard2010!H:BI,53,FALSE)/H42)</f>
        <v>NA</v>
      </c>
      <c r="AC42">
        <f t="shared" si="2"/>
        <v>6.0265700169152474</v>
      </c>
    </row>
    <row r="43" spans="1:29" x14ac:dyDescent="0.2">
      <c r="A43">
        <f>VLOOKUP(C43,Leonard2010!E:CD,78,FALSE)</f>
        <v>42</v>
      </c>
      <c r="B43" s="11" t="s">
        <v>246</v>
      </c>
      <c r="C43" s="63" t="s">
        <v>365</v>
      </c>
      <c r="D43" s="11" t="s">
        <v>42</v>
      </c>
      <c r="E43">
        <v>0.5</v>
      </c>
      <c r="F43">
        <v>-15.428000000000001</v>
      </c>
      <c r="G43">
        <v>34.744</v>
      </c>
      <c r="H43">
        <v>7.8</v>
      </c>
      <c r="I43">
        <v>17</v>
      </c>
      <c r="J43">
        <v>53</v>
      </c>
      <c r="K43" t="str">
        <f>VLOOKUP(C43,Leonard2010!E:P,12,FALSE)</f>
        <v>E</v>
      </c>
      <c r="L43">
        <f>VLOOKUP(C43,Leonard2010!E:Q,13,FALSE)</f>
        <v>0</v>
      </c>
      <c r="M43">
        <f>VLOOKUP(C43,Leonard2010!E:R,14,FALSE)</f>
        <v>0</v>
      </c>
      <c r="N43">
        <f t="shared" si="0"/>
        <v>6.8828417408826814</v>
      </c>
      <c r="O43">
        <f>VLOOKUP(B43,Leonard2010!D:CC,78,FALSE)</f>
        <v>318</v>
      </c>
      <c r="P43">
        <f>VLOOKUP(B43,FaultGeometry!B:G,6,FALSE)</f>
        <v>16</v>
      </c>
      <c r="Q43">
        <f>VLOOKUP(B43,FaultGeometry!B:L,11,FALSE)</f>
        <v>21.711625534424297</v>
      </c>
      <c r="R43">
        <f>VLOOKUP(C43,Leonard2010!E:CE,79,FALSE)</f>
        <v>0</v>
      </c>
      <c r="S43" t="str">
        <f>VLOOKUP(R43,FaultGeometry!W:X,2,FALSE)</f>
        <v>NA</v>
      </c>
      <c r="T43">
        <f>VLOOKUP(C43,Leonard2010!E:BA,44,FALSE)</f>
        <v>5.3024090498208052</v>
      </c>
      <c r="U43">
        <f>VLOOKUP(C43,Leonard2010!E:BA,45,FALSE)</f>
        <v>5.735394077500227</v>
      </c>
      <c r="V43">
        <f>VLOOKUP(C43,Leonard2010!E:BB,46,FALSE)</f>
        <v>6.2232278037731801</v>
      </c>
      <c r="W43">
        <v>1624.2346326109664</v>
      </c>
      <c r="X43">
        <v>6425.8145450767079</v>
      </c>
      <c r="Y43">
        <v>25421.876703456146</v>
      </c>
      <c r="Z43">
        <f t="shared" si="1"/>
        <v>35005229824482.891</v>
      </c>
      <c r="AA43">
        <v>4.1942962082382622E-2</v>
      </c>
      <c r="AB43">
        <v>3.4434792708817136E-2</v>
      </c>
      <c r="AC43">
        <f t="shared" si="2"/>
        <v>53.686165578884911</v>
      </c>
    </row>
    <row r="44" spans="1:29" x14ac:dyDescent="0.2">
      <c r="A44">
        <f>VLOOKUP(C44,Leonard2010!E:CD,78,FALSE)</f>
        <v>43</v>
      </c>
      <c r="B44" s="11" t="s">
        <v>247</v>
      </c>
      <c r="C44" s="67" t="s">
        <v>288</v>
      </c>
      <c r="D44" s="11" t="s">
        <v>42</v>
      </c>
      <c r="E44">
        <v>0.5</v>
      </c>
      <c r="F44">
        <v>-15.741</v>
      </c>
      <c r="G44">
        <v>34.752000000000002</v>
      </c>
      <c r="H44">
        <v>23.7</v>
      </c>
      <c r="I44">
        <v>343</v>
      </c>
      <c r="J44">
        <v>53</v>
      </c>
      <c r="K44" t="str">
        <f>VLOOKUP(C44,Leonard2010!E:P,12,FALSE)</f>
        <v>E</v>
      </c>
      <c r="L44">
        <f>VLOOKUP(C44,Leonard2010!E:Q,13,FALSE)</f>
        <v>0</v>
      </c>
      <c r="M44">
        <f>VLOOKUP(C44,Leonard2010!E:R,14,FALSE)</f>
        <v>0</v>
      </c>
      <c r="N44">
        <f t="shared" si="0"/>
        <v>14.438994335683413</v>
      </c>
      <c r="O44">
        <f>VLOOKUP(B44,Leonard2010!D:CC,78,FALSE)</f>
        <v>319</v>
      </c>
      <c r="P44">
        <f>VLOOKUP(B44,FaultGeometry!B:G,6,FALSE)</f>
        <v>2</v>
      </c>
      <c r="Q44">
        <f>VLOOKUP(B44,FaultGeometry!B:L,11,FALSE)</f>
        <v>23.113490742262371</v>
      </c>
      <c r="R44">
        <f>VLOOKUP(C44,Leonard2010!E:CE,79,FALSE)</f>
        <v>0</v>
      </c>
      <c r="S44" t="str">
        <f>VLOOKUP(R44,FaultGeometry!W:X,2,FALSE)</f>
        <v>NA</v>
      </c>
      <c r="T44">
        <f>VLOOKUP(C44,Leonard2010!E:BA,44,FALSE)</f>
        <v>6.1068319553535106</v>
      </c>
      <c r="U44">
        <f>VLOOKUP(C44,Leonard2010!E:BA,45,FALSE)</f>
        <v>6.5398169830329325</v>
      </c>
      <c r="V44">
        <f>VLOOKUP(C44,Leonard2010!E:BB,46,FALSE)</f>
        <v>7.0276507093058855</v>
      </c>
      <c r="W44">
        <v>3973.4855006100806</v>
      </c>
      <c r="X44">
        <v>13581.866785628747</v>
      </c>
      <c r="Y44">
        <v>46424.506986181936</v>
      </c>
      <c r="Z44">
        <f t="shared" si="1"/>
        <v>266523809665381.78</v>
      </c>
      <c r="AA44">
        <v>5.0163206198742628E-2</v>
      </c>
      <c r="AB44">
        <v>3.6232117700333077E-2</v>
      </c>
      <c r="AC44">
        <f t="shared" si="2"/>
        <v>342.20416575569686</v>
      </c>
    </row>
    <row r="45" spans="1:29" x14ac:dyDescent="0.2">
      <c r="A45">
        <f>VLOOKUP(C45,Leonard2010!E:CD,78,FALSE)</f>
        <v>44</v>
      </c>
      <c r="B45" s="11" t="s">
        <v>247</v>
      </c>
      <c r="C45" s="67" t="s">
        <v>363</v>
      </c>
      <c r="D45" s="11" t="s">
        <v>42</v>
      </c>
      <c r="E45">
        <v>0.5</v>
      </c>
      <c r="F45">
        <v>-15.538</v>
      </c>
      <c r="G45">
        <v>34.685000000000002</v>
      </c>
      <c r="H45">
        <v>5.5</v>
      </c>
      <c r="I45">
        <v>56</v>
      </c>
      <c r="J45">
        <v>53</v>
      </c>
      <c r="K45" t="str">
        <f>VLOOKUP(C45,Leonard2010!E:P,12,FALSE)</f>
        <v>E</v>
      </c>
      <c r="L45">
        <f>VLOOKUP(C45,Leonard2010!E:Q,13,FALSE)</f>
        <v>0</v>
      </c>
      <c r="M45">
        <f>VLOOKUP(C45,Leonard2010!E:R,14,FALSE)</f>
        <v>0</v>
      </c>
      <c r="N45">
        <f t="shared" si="0"/>
        <v>5.4527197238235319</v>
      </c>
      <c r="O45">
        <f>VLOOKUP(B45,Leonard2010!D:CC,78,FALSE)</f>
        <v>319</v>
      </c>
      <c r="P45">
        <f>VLOOKUP(B45,FaultGeometry!B:G,6,FALSE)</f>
        <v>2</v>
      </c>
      <c r="Q45">
        <f>VLOOKUP(B45,FaultGeometry!B:L,11,FALSE)</f>
        <v>23.113490742262371</v>
      </c>
      <c r="R45">
        <f>VLOOKUP(C45,Leonard2010!E:CE,79,FALSE)</f>
        <v>0</v>
      </c>
      <c r="S45" t="str">
        <f>VLOOKUP(R45,FaultGeometry!W:X,2,FALSE)</f>
        <v>NA</v>
      </c>
      <c r="T45">
        <f>VLOOKUP(C45,Leonard2010!E:BA,44,FALSE)</f>
        <v>5.0495225278270768</v>
      </c>
      <c r="U45">
        <f>VLOOKUP(C45,Leonard2010!E:BA,45,FALSE)</f>
        <v>5.4825075555064986</v>
      </c>
      <c r="V45">
        <f>VLOOKUP(C45,Leonard2010!E:BB,46,FALSE)</f>
        <v>5.9703412817794517</v>
      </c>
      <c r="W45">
        <v>1575.0326495827492</v>
      </c>
      <c r="X45">
        <v>7692.8534264499685</v>
      </c>
      <c r="Y45">
        <v>37573.820362721235</v>
      </c>
      <c r="Z45">
        <f t="shared" si="1"/>
        <v>12207981986371.717</v>
      </c>
      <c r="AA45">
        <v>2.5896607662262643E-2</v>
      </c>
      <c r="AB45">
        <v>2.6969190764402677E-2</v>
      </c>
      <c r="AC45">
        <f t="shared" si="2"/>
        <v>29.989958481029426</v>
      </c>
    </row>
    <row r="46" spans="1:29" x14ac:dyDescent="0.2">
      <c r="A46">
        <f>VLOOKUP(C46,Leonard2010!E:CD,78,FALSE)</f>
        <v>45</v>
      </c>
      <c r="B46" s="11" t="s">
        <v>247</v>
      </c>
      <c r="C46" s="67" t="s">
        <v>364</v>
      </c>
      <c r="D46" s="11" t="s">
        <v>42</v>
      </c>
      <c r="E46">
        <v>0.5</v>
      </c>
      <c r="F46">
        <v>-15.509</v>
      </c>
      <c r="G46">
        <v>34.728000000000002</v>
      </c>
      <c r="H46">
        <v>8.9</v>
      </c>
      <c r="I46">
        <v>358</v>
      </c>
      <c r="J46">
        <v>53</v>
      </c>
      <c r="K46" t="str">
        <f>VLOOKUP(C46,Leonard2010!E:P,12,FALSE)</f>
        <v>E</v>
      </c>
      <c r="L46">
        <f>VLOOKUP(C46,Leonard2010!E:Q,13,FALSE)</f>
        <v>0</v>
      </c>
      <c r="M46">
        <f>VLOOKUP(C46,Leonard2010!E:R,14,FALSE)</f>
        <v>0</v>
      </c>
      <c r="N46">
        <f t="shared" si="0"/>
        <v>7.5156183788479911</v>
      </c>
      <c r="O46">
        <f>VLOOKUP(B46,Leonard2010!D:CC,78,FALSE)</f>
        <v>319</v>
      </c>
      <c r="P46">
        <f>VLOOKUP(B46,FaultGeometry!B:G,6,FALSE)</f>
        <v>2</v>
      </c>
      <c r="Q46">
        <f>VLOOKUP(B46,FaultGeometry!B:L,11,FALSE)</f>
        <v>23.113490742262371</v>
      </c>
      <c r="R46">
        <f>VLOOKUP(C46,Leonard2010!E:CE,79,FALSE)</f>
        <v>0</v>
      </c>
      <c r="S46" t="str">
        <f>VLOOKUP(R46,FaultGeometry!W:X,2,FALSE)</f>
        <v>NA</v>
      </c>
      <c r="T46">
        <f>VLOOKUP(C46,Leonard2010!E:BA,44,FALSE)</f>
        <v>5.3979013897448596</v>
      </c>
      <c r="U46">
        <f>VLOOKUP(C46,Leonard2010!E:BA,45,FALSE)</f>
        <v>5.8308864174242814</v>
      </c>
      <c r="V46">
        <f>VLOOKUP(C46,Leonard2010!E:BB,46,FALSE)</f>
        <v>6.3187201436972344</v>
      </c>
      <c r="W46">
        <v>1716.1052569067697</v>
      </c>
      <c r="X46">
        <v>6091.4785045621338</v>
      </c>
      <c r="Y46">
        <v>21622.281163816973</v>
      </c>
      <c r="Z46">
        <f t="shared" si="1"/>
        <v>51354311899731.547</v>
      </c>
      <c r="AA46">
        <v>4.8490120963627904E-2</v>
      </c>
      <c r="AB46">
        <v>3.6792966162128876E-2</v>
      </c>
      <c r="AC46">
        <f t="shared" si="2"/>
        <v>66.889003571747125</v>
      </c>
    </row>
    <row r="47" spans="1:29" x14ac:dyDescent="0.2">
      <c r="A47">
        <f>VLOOKUP(C47,Leonard2010!E:CD,78,FALSE)</f>
        <v>46</v>
      </c>
      <c r="B47" s="11" t="s">
        <v>247</v>
      </c>
      <c r="C47" s="63" t="s">
        <v>368</v>
      </c>
      <c r="D47" s="11" t="s">
        <v>42</v>
      </c>
      <c r="E47">
        <v>0.5</v>
      </c>
      <c r="F47">
        <v>-15.429</v>
      </c>
      <c r="G47">
        <v>34.725000000000001</v>
      </c>
      <c r="H47">
        <v>2.1</v>
      </c>
      <c r="I47">
        <v>85</v>
      </c>
      <c r="J47">
        <v>53</v>
      </c>
      <c r="K47" t="str">
        <f>VLOOKUP(C47,Leonard2010!E:P,12,FALSE)</f>
        <v>SE</v>
      </c>
      <c r="L47">
        <f>VLOOKUP(C47,Leonard2010!E:Q,13,FALSE)</f>
        <v>0</v>
      </c>
      <c r="M47">
        <f>VLOOKUP(C47,Leonard2010!E:R,14,FALSE)</f>
        <v>0</v>
      </c>
      <c r="N47">
        <f t="shared" si="0"/>
        <v>2.8697952461501175</v>
      </c>
      <c r="O47">
        <f>VLOOKUP(B47,Leonard2010!D:CC,78,FALSE)</f>
        <v>319</v>
      </c>
      <c r="P47">
        <f>VLOOKUP(B47,FaultGeometry!B:G,6,FALSE)</f>
        <v>2</v>
      </c>
      <c r="Q47">
        <f>VLOOKUP(B47,FaultGeometry!B:L,11,FALSE)</f>
        <v>23.113490742262371</v>
      </c>
      <c r="R47">
        <f>VLOOKUP(C47,Leonard2010!E:CE,79,FALSE)</f>
        <v>0</v>
      </c>
      <c r="S47" t="str">
        <f>VLOOKUP(R47,FaultGeometry!W:X,2,FALSE)</f>
        <v>NA</v>
      </c>
      <c r="T47" t="str">
        <f>VLOOKUP(C47,Leonard2010!E:BA,44,FALSE)</f>
        <v>NA</v>
      </c>
      <c r="U47" t="str">
        <f>VLOOKUP(C47,Leonard2010!E:BA,45,FALSE)</f>
        <v>NA</v>
      </c>
      <c r="V47" t="str">
        <f>VLOOKUP(C47,Leonard2010!E:BB,46,FALSE)</f>
        <v>NA</v>
      </c>
      <c r="W47" t="str">
        <f>IF(T47="NA","NA",VLOOKUP(C47,Leonard2010!E:BD,51,FALSE)/E47)</f>
        <v>NA</v>
      </c>
      <c r="X47" t="str">
        <f>IF(U47="NA","NA",VLOOKUP(C47,Leonard2010!E:BE,52,FALSE)/E47)</f>
        <v>NA</v>
      </c>
      <c r="Y47" t="str">
        <f>IF(V47="NA","NA",VLOOKUP(C47,Leonard2010!E:BF,53,FALSE)/E47)</f>
        <v>NA</v>
      </c>
      <c r="Z47">
        <f t="shared" ref="Z47" si="5">IF(U47="NA",0,E47*10^(U47*1.5+9.05)/X47)</f>
        <v>0</v>
      </c>
      <c r="AA47" t="str">
        <f>IF(X47="NA","NA",VLOOKUP(E47,Leonard2010!G:BH,53,FALSE)/G47)</f>
        <v>NA</v>
      </c>
      <c r="AB47" t="str">
        <f>IF(Y47="NA","NA",VLOOKUP(F47,Leonard2010!H:BI,53,FALSE)/H47)</f>
        <v>NA</v>
      </c>
      <c r="AC47">
        <f t="shared" si="2"/>
        <v>6.0265700169152474</v>
      </c>
    </row>
    <row r="48" spans="1:29" x14ac:dyDescent="0.2">
      <c r="A48">
        <f>VLOOKUP(C48,Leonard2010!E:CD,78,FALSE)</f>
        <v>47</v>
      </c>
      <c r="B48" s="11" t="s">
        <v>247</v>
      </c>
      <c r="C48" s="63" t="s">
        <v>366</v>
      </c>
      <c r="D48" s="11" t="s">
        <v>42</v>
      </c>
      <c r="E48">
        <v>0.5</v>
      </c>
      <c r="F48">
        <v>-15.428000000000001</v>
      </c>
      <c r="G48">
        <v>34.744</v>
      </c>
      <c r="H48">
        <v>7.8</v>
      </c>
      <c r="I48">
        <v>17</v>
      </c>
      <c r="J48">
        <v>53</v>
      </c>
      <c r="K48" t="str">
        <f>VLOOKUP(C48,Leonard2010!E:P,12,FALSE)</f>
        <v>E</v>
      </c>
      <c r="L48">
        <f>VLOOKUP(C48,Leonard2010!E:Q,13,FALSE)</f>
        <v>0</v>
      </c>
      <c r="M48">
        <f>VLOOKUP(C48,Leonard2010!E:R,14,FALSE)</f>
        <v>0</v>
      </c>
      <c r="N48">
        <f t="shared" si="0"/>
        <v>6.8828417408826814</v>
      </c>
      <c r="O48">
        <f>VLOOKUP(B48,Leonard2010!D:CC,78,FALSE)</f>
        <v>319</v>
      </c>
      <c r="P48">
        <f>VLOOKUP(B48,FaultGeometry!B:G,6,FALSE)</f>
        <v>2</v>
      </c>
      <c r="Q48">
        <f>VLOOKUP(B48,FaultGeometry!B:L,11,FALSE)</f>
        <v>23.113490742262371</v>
      </c>
      <c r="R48">
        <f>VLOOKUP(C48,Leonard2010!E:CE,79,FALSE)</f>
        <v>0</v>
      </c>
      <c r="S48" t="str">
        <f>VLOOKUP(R48,FaultGeometry!W:X,2,FALSE)</f>
        <v>NA</v>
      </c>
      <c r="T48">
        <f>VLOOKUP(C48,Leonard2010!E:BA,44,FALSE)</f>
        <v>5.3024090498208052</v>
      </c>
      <c r="U48">
        <f>VLOOKUP(C48,Leonard2010!E:BA,45,FALSE)</f>
        <v>5.735394077500227</v>
      </c>
      <c r="V48">
        <f>VLOOKUP(C48,Leonard2010!E:BB,46,FALSE)</f>
        <v>6.2232278037731801</v>
      </c>
      <c r="W48">
        <v>1597.5612636154453</v>
      </c>
      <c r="X48">
        <v>6387.4488934107203</v>
      </c>
      <c r="Y48">
        <v>25538.615823471064</v>
      </c>
      <c r="Z48">
        <f t="shared" si="1"/>
        <v>35215485667832.086</v>
      </c>
      <c r="AA48">
        <v>4.1706415375995752E-2</v>
      </c>
      <c r="AB48">
        <v>3.455959837243526E-2</v>
      </c>
      <c r="AC48">
        <f t="shared" si="2"/>
        <v>53.686165578884911</v>
      </c>
    </row>
    <row r="49" spans="1:29" x14ac:dyDescent="0.2">
      <c r="A49">
        <f>VLOOKUP(C49,Leonard2010!E:CD,78,FALSE)</f>
        <v>48</v>
      </c>
      <c r="B49" s="11" t="s">
        <v>248</v>
      </c>
      <c r="C49" s="63" t="s">
        <v>249</v>
      </c>
      <c r="D49" s="11" t="s">
        <v>42</v>
      </c>
      <c r="E49">
        <v>0.5</v>
      </c>
      <c r="F49">
        <v>-15.805</v>
      </c>
      <c r="G49">
        <v>34.651000000000003</v>
      </c>
      <c r="H49">
        <v>14.9</v>
      </c>
      <c r="I49">
        <v>327</v>
      </c>
      <c r="J49">
        <v>53</v>
      </c>
      <c r="K49" t="str">
        <f>VLOOKUP(C49,Leonard2010!E:P,12,FALSE)</f>
        <v>E</v>
      </c>
      <c r="L49">
        <f>VLOOKUP(C49,Leonard2010!E:Q,13,FALSE)</f>
        <v>0</v>
      </c>
      <c r="M49">
        <f>VLOOKUP(C49,Leonard2010!E:R,14,FALSE)</f>
        <v>0</v>
      </c>
      <c r="N49">
        <f t="shared" si="0"/>
        <v>10.596494758144519</v>
      </c>
      <c r="O49">
        <f>VLOOKUP(B49,Leonard2010!D:CC,78,FALSE)</f>
        <v>320</v>
      </c>
      <c r="P49">
        <f>VLOOKUP(B49,FaultGeometry!B:G,6,FALSE)</f>
        <v>358</v>
      </c>
      <c r="Q49">
        <f>VLOOKUP(B49,FaultGeometry!B:L,11,FALSE)</f>
        <v>25.645625115947375</v>
      </c>
      <c r="R49">
        <f>VLOOKUP(C49,Leonard2010!E:CE,79,FALSE)</f>
        <v>0</v>
      </c>
      <c r="S49" t="str">
        <f>VLOOKUP(R49,FaultGeometry!W:X,2,FALSE)</f>
        <v>NA</v>
      </c>
      <c r="T49">
        <f>VLOOKUP(C49,Leonard2010!E:BA,44,FALSE)</f>
        <v>5.7708951593571269</v>
      </c>
      <c r="U49">
        <f>VLOOKUP(C49,Leonard2010!E:BA,45,FALSE)</f>
        <v>6.2038801870365488</v>
      </c>
      <c r="V49">
        <f>VLOOKUP(C49,Leonard2010!E:BB,46,FALSE)</f>
        <v>6.6917139133095018</v>
      </c>
      <c r="W49">
        <v>2674.9975528020254</v>
      </c>
      <c r="X49">
        <v>9496.7365984104126</v>
      </c>
      <c r="Y49">
        <v>33715.173281230462</v>
      </c>
      <c r="Z49">
        <f t="shared" si="1"/>
        <v>119458179595656.81</v>
      </c>
      <c r="AA49">
        <v>4.8920230379039913E-2</v>
      </c>
      <c r="AB49">
        <v>3.6593142425202917E-2</v>
      </c>
      <c r="AC49">
        <f t="shared" si="2"/>
        <v>157.88777189635334</v>
      </c>
    </row>
    <row r="50" spans="1:29" x14ac:dyDescent="0.2">
      <c r="A50">
        <f>VLOOKUP(C50,Leonard2010!E:CD,78,FALSE)</f>
        <v>49</v>
      </c>
      <c r="B50" s="11" t="s">
        <v>248</v>
      </c>
      <c r="C50" s="63" t="s">
        <v>369</v>
      </c>
      <c r="D50" s="11" t="s">
        <v>42</v>
      </c>
      <c r="E50">
        <v>0.5</v>
      </c>
      <c r="F50">
        <v>-15.694000000000001</v>
      </c>
      <c r="G50">
        <v>34.573999999999998</v>
      </c>
      <c r="H50">
        <v>28.7</v>
      </c>
      <c r="I50">
        <v>5</v>
      </c>
      <c r="J50">
        <v>53</v>
      </c>
      <c r="K50" t="str">
        <f>VLOOKUP(C50,Leonard2010!E:P,12,FALSE)</f>
        <v>E</v>
      </c>
      <c r="L50">
        <f>VLOOKUP(C50,Leonard2010!E:Q,13,FALSE)</f>
        <v>0</v>
      </c>
      <c r="M50">
        <f>VLOOKUP(C50,Leonard2010!E:R,14,FALSE)</f>
        <v>0</v>
      </c>
      <c r="N50">
        <f t="shared" si="0"/>
        <v>16.404360819506156</v>
      </c>
      <c r="O50">
        <f>VLOOKUP(B50,Leonard2010!D:CC,78,FALSE)</f>
        <v>320</v>
      </c>
      <c r="P50">
        <f>VLOOKUP(B50,FaultGeometry!B:G,6,FALSE)</f>
        <v>358</v>
      </c>
      <c r="Q50">
        <f>VLOOKUP(B50,FaultGeometry!B:L,11,FALSE)</f>
        <v>25.645625115947375</v>
      </c>
      <c r="R50">
        <f>VLOOKUP(C50,Leonard2010!E:CE,79,FALSE)</f>
        <v>0</v>
      </c>
      <c r="S50" t="str">
        <f>VLOOKUP(R50,FaultGeometry!W:X,2,FALSE)</f>
        <v>NA</v>
      </c>
      <c r="T50">
        <f>VLOOKUP(C50,Leonard2010!E:BA,44,FALSE)</f>
        <v>6.245387873226659</v>
      </c>
      <c r="U50">
        <f>VLOOKUP(C50,Leonard2010!E:BA,45,FALSE)</f>
        <v>6.6783729009060808</v>
      </c>
      <c r="V50">
        <f>VLOOKUP(C50,Leonard2010!E:BB,46,FALSE)</f>
        <v>7.1662066271790339</v>
      </c>
      <c r="W50">
        <v>4677.9381609110169</v>
      </c>
      <c r="X50">
        <v>17024.048425255489</v>
      </c>
      <c r="Y50">
        <v>61954.265921506434</v>
      </c>
      <c r="Z50">
        <f t="shared" si="1"/>
        <v>343136178096737.62</v>
      </c>
      <c r="AA50">
        <v>4.6249985472468509E-2</v>
      </c>
      <c r="AB50">
        <v>3.5628223994685543E-2</v>
      </c>
      <c r="AC50">
        <f t="shared" si="2"/>
        <v>470.80515551982666</v>
      </c>
    </row>
    <row r="51" spans="1:29" x14ac:dyDescent="0.2">
      <c r="A51">
        <f>VLOOKUP(C51,Leonard2010!E:CD,78,FALSE)</f>
        <v>50</v>
      </c>
      <c r="B51" s="11" t="s">
        <v>248</v>
      </c>
      <c r="C51" s="63" t="s">
        <v>370</v>
      </c>
      <c r="D51" s="11" t="s">
        <v>42</v>
      </c>
      <c r="E51">
        <v>0.5</v>
      </c>
      <c r="F51">
        <v>-15.435</v>
      </c>
      <c r="G51">
        <v>34.594999999999999</v>
      </c>
      <c r="H51">
        <v>12.5</v>
      </c>
      <c r="I51">
        <v>19</v>
      </c>
      <c r="J51">
        <v>53</v>
      </c>
      <c r="K51" t="str">
        <f>VLOOKUP(C51,Leonard2010!E:P,12,FALSE)</f>
        <v>E</v>
      </c>
      <c r="L51">
        <f>VLOOKUP(C51,Leonard2010!E:Q,13,FALSE)</f>
        <v>0</v>
      </c>
      <c r="M51">
        <f>VLOOKUP(C51,Leonard2010!E:R,14,FALSE)</f>
        <v>0</v>
      </c>
      <c r="N51">
        <f t="shared" si="0"/>
        <v>9.4256517688894874</v>
      </c>
      <c r="O51">
        <f>VLOOKUP(B51,Leonard2010!D:CC,78,FALSE)</f>
        <v>320</v>
      </c>
      <c r="P51">
        <f>VLOOKUP(B51,FaultGeometry!B:G,6,FALSE)</f>
        <v>358</v>
      </c>
      <c r="Q51">
        <f>VLOOKUP(B51,FaultGeometry!B:L,11,FALSE)</f>
        <v>25.645625115947375</v>
      </c>
      <c r="R51">
        <f>VLOOKUP(C51,Leonard2010!E:CE,79,FALSE)</f>
        <v>0</v>
      </c>
      <c r="S51" t="str">
        <f>VLOOKUP(R51,FaultGeometry!W:X,2,FALSE)</f>
        <v>NA</v>
      </c>
      <c r="T51">
        <f>VLOOKUP(C51,Leonard2010!E:BA,44,FALSE)</f>
        <v>5.6437680670167651</v>
      </c>
      <c r="U51">
        <f>VLOOKUP(C51,Leonard2010!E:BA,45,FALSE)</f>
        <v>6.076753094696187</v>
      </c>
      <c r="V51">
        <f>VLOOKUP(C51,Leonard2010!E:BB,46,FALSE)</f>
        <v>6.56458682096914</v>
      </c>
      <c r="W51">
        <v>2417.2176858969706</v>
      </c>
      <c r="X51">
        <v>9601.4715815315521</v>
      </c>
      <c r="Y51">
        <v>38138.168965427401</v>
      </c>
      <c r="Z51">
        <f t="shared" si="1"/>
        <v>76166122265051.484</v>
      </c>
      <c r="AA51">
        <v>4.1652205247928648E-2</v>
      </c>
      <c r="AB51">
        <v>3.44156191195788E-2</v>
      </c>
      <c r="AC51">
        <f t="shared" si="2"/>
        <v>117.82064711111859</v>
      </c>
    </row>
    <row r="52" spans="1:29" x14ac:dyDescent="0.2">
      <c r="A52">
        <f>VLOOKUP(C52,Leonard2010!E:CD,78,FALSE)</f>
        <v>51</v>
      </c>
      <c r="B52" s="11" t="s">
        <v>251</v>
      </c>
      <c r="C52" s="63" t="s">
        <v>250</v>
      </c>
      <c r="D52" s="11" t="s">
        <v>42</v>
      </c>
      <c r="E52">
        <v>0.5</v>
      </c>
      <c r="F52">
        <v>-15.782999999999999</v>
      </c>
      <c r="G52">
        <v>34.588000000000001</v>
      </c>
      <c r="H52">
        <v>10</v>
      </c>
      <c r="I52">
        <v>352</v>
      </c>
      <c r="J52">
        <v>53</v>
      </c>
      <c r="K52" t="str">
        <f>VLOOKUP(C52,Leonard2010!E:P,12,FALSE)</f>
        <v>E</v>
      </c>
      <c r="L52">
        <f>VLOOKUP(C52,Leonard2010!E:Q,13,FALSE)</f>
        <v>0</v>
      </c>
      <c r="M52">
        <f>VLOOKUP(C52,Leonard2010!E:R,14,FALSE)</f>
        <v>0</v>
      </c>
      <c r="N52">
        <f t="shared" si="0"/>
        <v>8.1227804588223673</v>
      </c>
      <c r="O52">
        <f>VLOOKUP(B52,Leonard2010!D:CC,78,FALSE)</f>
        <v>321</v>
      </c>
      <c r="P52">
        <f>VLOOKUP(B52,FaultGeometry!B:G,6,FALSE)</f>
        <v>6</v>
      </c>
      <c r="Q52">
        <f>VLOOKUP(B52,FaultGeometry!B:L,11,FALSE)</f>
        <v>24.129668528357076</v>
      </c>
      <c r="R52">
        <f>VLOOKUP(C52,Leonard2010!E:CE,79,FALSE)</f>
        <v>0</v>
      </c>
      <c r="S52" t="str">
        <f>VLOOKUP(R52,FaultGeometry!W:X,2,FALSE)</f>
        <v>NA</v>
      </c>
      <c r="T52">
        <f>VLOOKUP(C52,Leonard2010!E:BA,44,FALSE)</f>
        <v>5.4822513786700044</v>
      </c>
      <c r="U52">
        <f>VLOOKUP(C52,Leonard2010!E:BA,45,FALSE)</f>
        <v>5.9152364063494263</v>
      </c>
      <c r="V52">
        <f>VLOOKUP(C52,Leonard2010!E:BB,46,FALSE)</f>
        <v>6.4030701326223793</v>
      </c>
      <c r="W52">
        <v>1941.5908298472316</v>
      </c>
      <c r="X52">
        <v>6790.7141399289849</v>
      </c>
      <c r="Y52">
        <v>23750.523447754324</v>
      </c>
      <c r="Z52">
        <f t="shared" si="1"/>
        <v>61646605115616.695</v>
      </c>
      <c r="AA52">
        <v>4.8565187983888793E-2</v>
      </c>
      <c r="AB52">
        <v>3.6301461124264509E-2</v>
      </c>
      <c r="AC52">
        <f t="shared" si="2"/>
        <v>81.227804588223677</v>
      </c>
    </row>
    <row r="53" spans="1:29" x14ac:dyDescent="0.2">
      <c r="A53">
        <f>VLOOKUP(C53,Leonard2010!E:CD,78,FALSE)</f>
        <v>52</v>
      </c>
      <c r="B53" s="11" t="s">
        <v>251</v>
      </c>
      <c r="C53" s="63" t="s">
        <v>371</v>
      </c>
      <c r="D53" s="11" t="s">
        <v>42</v>
      </c>
      <c r="E53">
        <v>0.5</v>
      </c>
      <c r="F53">
        <v>-15.694000000000001</v>
      </c>
      <c r="G53">
        <v>34.573999999999998</v>
      </c>
      <c r="H53">
        <v>28.7</v>
      </c>
      <c r="I53">
        <v>5</v>
      </c>
      <c r="J53">
        <v>53</v>
      </c>
      <c r="K53" t="str">
        <f>VLOOKUP(C53,Leonard2010!E:P,12,FALSE)</f>
        <v>E</v>
      </c>
      <c r="L53">
        <f>VLOOKUP(C53,Leonard2010!E:Q,13,FALSE)</f>
        <v>0</v>
      </c>
      <c r="M53">
        <f>VLOOKUP(C53,Leonard2010!E:R,14,FALSE)</f>
        <v>0</v>
      </c>
      <c r="N53">
        <f t="shared" si="0"/>
        <v>16.404360819506156</v>
      </c>
      <c r="O53">
        <f>VLOOKUP(B53,Leonard2010!D:CC,78,FALSE)</f>
        <v>321</v>
      </c>
      <c r="P53">
        <f>VLOOKUP(B53,FaultGeometry!B:G,6,FALSE)</f>
        <v>6</v>
      </c>
      <c r="Q53">
        <f>VLOOKUP(B53,FaultGeometry!B:L,11,FALSE)</f>
        <v>24.129668528357076</v>
      </c>
      <c r="R53">
        <f>VLOOKUP(C53,Leonard2010!E:CE,79,FALSE)</f>
        <v>0</v>
      </c>
      <c r="S53" t="str">
        <f>VLOOKUP(R53,FaultGeometry!W:X,2,FALSE)</f>
        <v>NA</v>
      </c>
      <c r="T53">
        <f>VLOOKUP(C53,Leonard2010!E:BA,44,FALSE)</f>
        <v>6.245387873226659</v>
      </c>
      <c r="U53">
        <f>VLOOKUP(C53,Leonard2010!E:BA,45,FALSE)</f>
        <v>6.6783729009060808</v>
      </c>
      <c r="V53">
        <f>VLOOKUP(C53,Leonard2010!E:BB,46,FALSE)</f>
        <v>7.1662066271790339</v>
      </c>
      <c r="W53">
        <v>4499.369665432424</v>
      </c>
      <c r="X53">
        <v>16837.596123253239</v>
      </c>
      <c r="Y53">
        <v>63009.857889181811</v>
      </c>
      <c r="Z53">
        <f t="shared" si="1"/>
        <v>346935920639441.5</v>
      </c>
      <c r="AA53">
        <v>4.6490342708773905E-2</v>
      </c>
      <c r="AB53">
        <v>3.6047013674123024E-2</v>
      </c>
      <c r="AC53">
        <f t="shared" si="2"/>
        <v>470.80515551982666</v>
      </c>
    </row>
    <row r="54" spans="1:29" x14ac:dyDescent="0.2">
      <c r="A54">
        <f>VLOOKUP(C54,Leonard2010!E:CD,78,FALSE)</f>
        <v>53</v>
      </c>
      <c r="B54" s="11" t="s">
        <v>251</v>
      </c>
      <c r="C54" s="63" t="s">
        <v>372</v>
      </c>
      <c r="D54" s="11" t="s">
        <v>42</v>
      </c>
      <c r="E54">
        <v>0.5</v>
      </c>
      <c r="F54">
        <v>-15.435</v>
      </c>
      <c r="G54">
        <v>34.594999999999999</v>
      </c>
      <c r="H54">
        <v>12.5</v>
      </c>
      <c r="I54">
        <v>19</v>
      </c>
      <c r="J54">
        <v>53</v>
      </c>
      <c r="K54" t="str">
        <f>VLOOKUP(C54,Leonard2010!E:P,12,FALSE)</f>
        <v>E</v>
      </c>
      <c r="L54">
        <f>VLOOKUP(C54,Leonard2010!E:Q,13,FALSE)</f>
        <v>0</v>
      </c>
      <c r="M54">
        <f>VLOOKUP(C54,Leonard2010!E:R,14,FALSE)</f>
        <v>0</v>
      </c>
      <c r="N54">
        <f t="shared" si="0"/>
        <v>9.4256517688894874</v>
      </c>
      <c r="O54">
        <f>VLOOKUP(B54,Leonard2010!D:CC,78,FALSE)</f>
        <v>321</v>
      </c>
      <c r="P54">
        <f>VLOOKUP(B54,FaultGeometry!B:G,6,FALSE)</f>
        <v>6</v>
      </c>
      <c r="Q54">
        <f>VLOOKUP(B54,FaultGeometry!B:L,11,FALSE)</f>
        <v>24.129668528357076</v>
      </c>
      <c r="R54">
        <f>VLOOKUP(C54,Leonard2010!E:CE,79,FALSE)</f>
        <v>0</v>
      </c>
      <c r="S54" t="str">
        <f>VLOOKUP(R54,FaultGeometry!W:X,2,FALSE)</f>
        <v>NA</v>
      </c>
      <c r="T54">
        <f>VLOOKUP(C54,Leonard2010!E:BA,44,FALSE)</f>
        <v>5.6437680670167651</v>
      </c>
      <c r="U54">
        <f>VLOOKUP(C54,Leonard2010!E:BA,45,FALSE)</f>
        <v>6.076753094696187</v>
      </c>
      <c r="V54">
        <f>VLOOKUP(C54,Leonard2010!E:BB,46,FALSE)</f>
        <v>6.56458682096914</v>
      </c>
      <c r="W54">
        <v>2428.0935521274282</v>
      </c>
      <c r="X54">
        <v>9771.5747955629195</v>
      </c>
      <c r="Y54">
        <v>39324.544930165626</v>
      </c>
      <c r="Z54">
        <f t="shared" si="1"/>
        <v>74840225214816.094</v>
      </c>
      <c r="AA54">
        <v>4.0463294156500261E-2</v>
      </c>
      <c r="AB54">
        <v>3.3637904241673747E-2</v>
      </c>
      <c r="AC54">
        <f t="shared" si="2"/>
        <v>117.82064711111859</v>
      </c>
    </row>
    <row r="55" spans="1:29" x14ac:dyDescent="0.2">
      <c r="A55">
        <f>VLOOKUP(C55,Leonard2010!E:CD,78,FALSE)</f>
        <v>54</v>
      </c>
      <c r="B55" s="13" t="s">
        <v>236</v>
      </c>
      <c r="C55" s="13" t="s">
        <v>237</v>
      </c>
      <c r="D55" s="13" t="s">
        <v>42</v>
      </c>
      <c r="E55">
        <v>1</v>
      </c>
      <c r="F55">
        <v>-14.428000000000001</v>
      </c>
      <c r="G55">
        <v>34.698</v>
      </c>
      <c r="H55">
        <v>13.5</v>
      </c>
      <c r="I55">
        <v>186</v>
      </c>
      <c r="J55">
        <v>53</v>
      </c>
      <c r="K55" t="str">
        <f>VLOOKUP(C55,Leonard2010!E:P,12,FALSE)</f>
        <v>W</v>
      </c>
      <c r="L55">
        <f>VLOOKUP(C55,Leonard2010!E:Q,13,FALSE)</f>
        <v>0</v>
      </c>
      <c r="M55">
        <f>VLOOKUP(C55,Leonard2010!E:R,14,FALSE)</f>
        <v>0</v>
      </c>
      <c r="N55">
        <f t="shared" si="0"/>
        <v>9.9218782679221231</v>
      </c>
      <c r="O55">
        <f>VLOOKUP(B55,Leonard2010!D:CC,78,FALSE)</f>
        <v>326</v>
      </c>
      <c r="P55">
        <f>VLOOKUP(B55,FaultGeometry!B:G,6,FALSE)</f>
        <v>172</v>
      </c>
      <c r="Q55">
        <f>VLOOKUP(B55,FaultGeometry!B:L,11,FALSE)</f>
        <v>34.307141370183437</v>
      </c>
      <c r="R55">
        <f>VLOOKUP(C55,Leonard2010!E:CE,79,FALSE)</f>
        <v>0</v>
      </c>
      <c r="S55" t="str">
        <f>VLOOKUP(R55,FaultGeometry!W:X,2,FALSE)</f>
        <v>NA</v>
      </c>
      <c r="T55">
        <f>VLOOKUP(C55,Leonard2010!E:BA,44,FALSE)</f>
        <v>5.699474326161682</v>
      </c>
      <c r="U55">
        <f>VLOOKUP(C55,Leonard2010!E:BA,45,FALSE)</f>
        <v>6.1324593538411039</v>
      </c>
      <c r="V55">
        <f>VLOOKUP(C55,Leonard2010!E:BB,46,FALSE)</f>
        <v>6.6202930801140569</v>
      </c>
      <c r="W55">
        <v>3037.2129844142437</v>
      </c>
      <c r="X55">
        <v>10426.022968715366</v>
      </c>
      <c r="Y55">
        <v>35790.033659804278</v>
      </c>
      <c r="Z55">
        <f t="shared" si="1"/>
        <v>170047539936007.88</v>
      </c>
      <c r="AA55">
        <v>4.1179914681659206E-2</v>
      </c>
      <c r="AB55">
        <v>3.0104904855974876E-2</v>
      </c>
      <c r="AC55">
        <f t="shared" si="2"/>
        <v>133.94535661694866</v>
      </c>
    </row>
    <row r="56" spans="1:29" x14ac:dyDescent="0.2">
      <c r="A56">
        <f>VLOOKUP(C56,Leonard2010!E:CD,78,FALSE)</f>
        <v>55</v>
      </c>
      <c r="B56" s="13" t="s">
        <v>236</v>
      </c>
      <c r="C56" s="13" t="s">
        <v>238</v>
      </c>
      <c r="D56" s="13" t="s">
        <v>42</v>
      </c>
      <c r="E56">
        <v>1</v>
      </c>
      <c r="F56">
        <v>-14.385999999999999</v>
      </c>
      <c r="G56">
        <v>34.630000000000003</v>
      </c>
      <c r="H56">
        <v>8.8000000000000007</v>
      </c>
      <c r="I56">
        <v>123</v>
      </c>
      <c r="J56">
        <v>53</v>
      </c>
      <c r="K56" t="str">
        <f>VLOOKUP(C56,Leonard2010!E:P,12,FALSE)</f>
        <v>W</v>
      </c>
      <c r="L56">
        <f>VLOOKUP(C56,Leonard2010!E:Q,13,FALSE)</f>
        <v>0</v>
      </c>
      <c r="M56">
        <f>VLOOKUP(C56,Leonard2010!E:R,14,FALSE)</f>
        <v>0</v>
      </c>
      <c r="N56">
        <f t="shared" si="0"/>
        <v>7.4592156573662773</v>
      </c>
      <c r="O56">
        <f>VLOOKUP(B56,Leonard2010!D:CC,78,FALSE)</f>
        <v>326</v>
      </c>
      <c r="P56">
        <f>VLOOKUP(B56,FaultGeometry!B:G,6,FALSE)</f>
        <v>172</v>
      </c>
      <c r="Q56">
        <f>VLOOKUP(B56,FaultGeometry!B:L,11,FALSE)</f>
        <v>34.307141370183437</v>
      </c>
      <c r="R56">
        <f>VLOOKUP(C56,Leonard2010!E:CE,79,FALSE)</f>
        <v>0</v>
      </c>
      <c r="S56" t="str">
        <f>VLOOKUP(R56,FaultGeometry!W:X,2,FALSE)</f>
        <v>NA</v>
      </c>
      <c r="T56" t="str">
        <f>VLOOKUP(C56,Leonard2010!E:BA,44,FALSE)</f>
        <v>NA</v>
      </c>
      <c r="U56" t="str">
        <f>VLOOKUP(C56,Leonard2010!E:BA,45,FALSE)</f>
        <v>NA</v>
      </c>
      <c r="V56" t="str">
        <f>VLOOKUP(C56,Leonard2010!E:BB,46,FALSE)</f>
        <v>NA</v>
      </c>
      <c r="W56" t="str">
        <f>IF(T56="NA","NA",VLOOKUP(C56,Leonard2010!E:BD,51,FALSE)/E56)</f>
        <v>NA</v>
      </c>
      <c r="X56" t="str">
        <f>IF(U56="NA","NA",VLOOKUP(C56,Leonard2010!E:BE,52,FALSE)/E56)</f>
        <v>NA</v>
      </c>
      <c r="Y56" t="str">
        <f>IF(V56="NA","NA",VLOOKUP(C56,Leonard2010!E:BF,53,FALSE)/E56)</f>
        <v>NA</v>
      </c>
      <c r="Z56">
        <f t="shared" si="1"/>
        <v>0</v>
      </c>
      <c r="AA56" t="str">
        <f>IF(X56="NA","NA",VLOOKUP(E56,Leonard2010!G:BH,53,FALSE)/G56)</f>
        <v>NA</v>
      </c>
      <c r="AB56" t="str">
        <f>IF(Y56="NA","NA",VLOOKUP(F56,Leonard2010!H:BI,53,FALSE)/H56)</f>
        <v>NA</v>
      </c>
      <c r="AC56">
        <f t="shared" si="2"/>
        <v>65.641097784823245</v>
      </c>
    </row>
    <row r="57" spans="1:29" x14ac:dyDescent="0.2">
      <c r="A57">
        <f>VLOOKUP(C57,Leonard2010!E:CD,78,FALSE)</f>
        <v>56</v>
      </c>
      <c r="B57" s="13" t="s">
        <v>236</v>
      </c>
      <c r="C57" s="13" t="s">
        <v>547</v>
      </c>
      <c r="D57" s="83" t="s">
        <v>42</v>
      </c>
      <c r="E57">
        <v>1</v>
      </c>
      <c r="F57">
        <v>-13.936999999999999</v>
      </c>
      <c r="G57">
        <v>34.651000000000003</v>
      </c>
      <c r="H57">
        <v>49.7</v>
      </c>
      <c r="I57">
        <v>183</v>
      </c>
      <c r="J57">
        <v>53</v>
      </c>
      <c r="K57" t="str">
        <f>VLOOKUP(C57,Leonard2010!E:P,12,FALSE)</f>
        <v>W</v>
      </c>
      <c r="L57">
        <f>VLOOKUP(C57,Leonard2010!E:Q,13,FALSE)</f>
        <v>0</v>
      </c>
      <c r="M57">
        <f>VLOOKUP(C57,Leonard2010!E:R,14,FALSE)</f>
        <v>0</v>
      </c>
      <c r="N57">
        <f t="shared" ref="N57" si="6">MIN((((H57*1000)^(2/3)*17.5)/1000),((35-M57)/SIN(RADIANS(J57))))</f>
        <v>23.656054269772095</v>
      </c>
      <c r="O57">
        <f>VLOOKUP(B57,Leonard2010!D:CC,78,FALSE)</f>
        <v>326</v>
      </c>
      <c r="P57">
        <f>VLOOKUP(B57,FaultGeometry!B:G,6,FALSE)</f>
        <v>172</v>
      </c>
      <c r="Q57">
        <f>VLOOKUP(B57,FaultGeometry!B:L,11,FALSE)</f>
        <v>34.307141370183437</v>
      </c>
      <c r="R57">
        <f>VLOOKUP(C57,Leonard2010!E:CE,79,FALSE)</f>
        <v>0</v>
      </c>
      <c r="S57" t="str">
        <f>VLOOKUP(R57,FaultGeometry!W:X,2,FALSE)</f>
        <v>NA</v>
      </c>
      <c r="T57">
        <f>VLOOKUP(C57,Leonard2010!E:BA,44,FALSE)</f>
        <v>6.6428453598922248</v>
      </c>
      <c r="U57">
        <f>VLOOKUP(C57,Leonard2010!E:BA,45,FALSE)</f>
        <v>7.0758303875716466</v>
      </c>
      <c r="V57">
        <f>VLOOKUP(C57,Leonard2010!E:BB,46,FALSE)</f>
        <v>7.5636641138445997</v>
      </c>
      <c r="W57">
        <v>8369.8066322049708</v>
      </c>
      <c r="X57">
        <v>27343.590344189488</v>
      </c>
      <c r="Y57">
        <v>89329.6542878295</v>
      </c>
      <c r="AA57">
        <v>4.2299847465600546E-2</v>
      </c>
      <c r="AB57">
        <v>3.0628956562189322E-2</v>
      </c>
      <c r="AC57">
        <f t="shared" si="2"/>
        <v>1175.7058972076732</v>
      </c>
    </row>
    <row r="58" spans="1:29" x14ac:dyDescent="0.2">
      <c r="A58">
        <f>VLOOKUP(C58,Leonard2010!E:CD,78,FALSE)</f>
        <v>57</v>
      </c>
      <c r="B58" s="13" t="s">
        <v>236</v>
      </c>
      <c r="C58" s="13" t="s">
        <v>239</v>
      </c>
      <c r="D58" s="13" t="s">
        <v>42</v>
      </c>
      <c r="E58">
        <v>1</v>
      </c>
      <c r="F58">
        <v>-13.824999999999999</v>
      </c>
      <c r="G58">
        <v>34.576000000000001</v>
      </c>
      <c r="H58">
        <v>14.8</v>
      </c>
      <c r="I58">
        <v>147</v>
      </c>
      <c r="J58">
        <v>53</v>
      </c>
      <c r="K58" t="str">
        <f>VLOOKUP(C58,Leonard2010!E:P,12,FALSE)</f>
        <v>W</v>
      </c>
      <c r="L58">
        <f>VLOOKUP(C58,Leonard2010!E:Q,13,FALSE)</f>
        <v>0</v>
      </c>
      <c r="M58">
        <f>VLOOKUP(C58,Leonard2010!E:R,14,FALSE)</f>
        <v>0</v>
      </c>
      <c r="N58">
        <f t="shared" si="0"/>
        <v>10.549029956556112</v>
      </c>
      <c r="O58">
        <f>VLOOKUP(B58,Leonard2010!D:CC,78,FALSE)</f>
        <v>326</v>
      </c>
      <c r="P58">
        <f>VLOOKUP(B58,FaultGeometry!B:G,6,FALSE)</f>
        <v>172</v>
      </c>
      <c r="Q58">
        <f>VLOOKUP(B58,FaultGeometry!B:L,11,FALSE)</f>
        <v>34.307141370183437</v>
      </c>
      <c r="R58">
        <f>VLOOKUP(C58,Leonard2010!E:CE,79,FALSE)</f>
        <v>0</v>
      </c>
      <c r="S58" t="str">
        <f>VLOOKUP(R58,FaultGeometry!W:X,2,FALSE)</f>
        <v>NA</v>
      </c>
      <c r="T58">
        <f>VLOOKUP(C58,Leonard2010!E:BA,44,FALSE)</f>
        <v>5.7660209043282675</v>
      </c>
      <c r="U58">
        <f>VLOOKUP(C58,Leonard2010!E:BA,45,FALSE)</f>
        <v>6.1990059320076893</v>
      </c>
      <c r="V58">
        <f>VLOOKUP(C58,Leonard2010!E:BB,46,FALSE)</f>
        <v>6.6868396582806424</v>
      </c>
      <c r="W58">
        <v>3117.5716576392992</v>
      </c>
      <c r="X58">
        <v>10549.608417622665</v>
      </c>
      <c r="Y58">
        <v>35699.015126872706</v>
      </c>
      <c r="Z58">
        <f t="shared" si="1"/>
        <v>211481585795454.25</v>
      </c>
      <c r="AA58">
        <v>4.3082829707938322E-2</v>
      </c>
      <c r="AB58">
        <v>3.1258315069188941E-2</v>
      </c>
      <c r="AC58">
        <f t="shared" si="2"/>
        <v>156.12564335703047</v>
      </c>
    </row>
    <row r="59" spans="1:29" x14ac:dyDescent="0.2">
      <c r="A59">
        <f>VLOOKUP(C59,Leonard2010!E:CD,78,FALSE)</f>
        <v>58</v>
      </c>
      <c r="B59" s="13" t="s">
        <v>256</v>
      </c>
      <c r="C59" s="64" t="s">
        <v>373</v>
      </c>
      <c r="D59" s="13" t="s">
        <v>42</v>
      </c>
      <c r="E59">
        <v>0.5</v>
      </c>
      <c r="F59">
        <v>-14.441000000000001</v>
      </c>
      <c r="G59">
        <v>34.53</v>
      </c>
      <c r="H59">
        <v>41.7</v>
      </c>
      <c r="I59">
        <v>346</v>
      </c>
      <c r="J59">
        <v>53</v>
      </c>
      <c r="K59" t="str">
        <f>VLOOKUP(C59,Leonard2010!E:P,12,FALSE)</f>
        <v>E</v>
      </c>
      <c r="L59">
        <f>VLOOKUP(C59,Leonard2010!E:Q,13,FALSE)</f>
        <v>0</v>
      </c>
      <c r="M59">
        <f>VLOOKUP(C59,Leonard2010!E:R,14,FALSE)</f>
        <v>0</v>
      </c>
      <c r="N59">
        <f t="shared" si="0"/>
        <v>21.04402223517296</v>
      </c>
      <c r="O59">
        <f>VLOOKUP(B59,Leonard2010!D:CC,78,FALSE)</f>
        <v>327</v>
      </c>
      <c r="P59">
        <f>VLOOKUP(B59,FaultGeometry!B:G,6,FALSE)</f>
        <v>342</v>
      </c>
      <c r="Q59">
        <f>VLOOKUP(B59,FaultGeometry!B:L,11,FALSE)</f>
        <v>39.392984377048187</v>
      </c>
      <c r="R59">
        <f>VLOOKUP(C59,Leonard2010!E:CE,79,FALSE)</f>
        <v>0</v>
      </c>
      <c r="S59" t="str">
        <f>VLOOKUP(R59,FaultGeometry!W:X,2,FALSE)</f>
        <v>NA</v>
      </c>
      <c r="T59">
        <f>VLOOKUP(C59,Leonard2010!E:BA,44,FALSE)</f>
        <v>6.5158114702929337</v>
      </c>
      <c r="U59">
        <f>VLOOKUP(C59,Leonard2010!E:BA,45,FALSE)</f>
        <v>6.9487964979723555</v>
      </c>
      <c r="V59">
        <f>VLOOKUP(C59,Leonard2010!E:BB,46,FALSE)</f>
        <v>7.4366302242453086</v>
      </c>
      <c r="W59">
        <v>981.07735235571045</v>
      </c>
      <c r="X59">
        <v>2648.0248841839866</v>
      </c>
      <c r="Y59">
        <v>7147.2812723896759</v>
      </c>
      <c r="Z59">
        <f t="shared" si="1"/>
        <v>5613615844559441</v>
      </c>
      <c r="AA59">
        <v>0.41280278661437431</v>
      </c>
      <c r="AB59">
        <v>0.19104481192813696</v>
      </c>
      <c r="AC59">
        <f t="shared" si="2"/>
        <v>877.53572720671252</v>
      </c>
    </row>
    <row r="60" spans="1:29" x14ac:dyDescent="0.2">
      <c r="A60">
        <f>VLOOKUP(C60,Leonard2010!E:CD,78,FALSE)</f>
        <v>59</v>
      </c>
      <c r="B60" s="13" t="s">
        <v>256</v>
      </c>
      <c r="C60" s="64" t="s">
        <v>377</v>
      </c>
      <c r="D60" s="13" t="s">
        <v>42</v>
      </c>
      <c r="E60">
        <v>0.5</v>
      </c>
      <c r="F60">
        <v>-14.481999999999999</v>
      </c>
      <c r="G60">
        <v>34.531999999999996</v>
      </c>
      <c r="H60">
        <v>4.5999999999999996</v>
      </c>
      <c r="I60">
        <v>358</v>
      </c>
      <c r="J60">
        <v>53</v>
      </c>
      <c r="K60" t="str">
        <f>VLOOKUP(C60,Leonard2010!E:P,12,FALSE)</f>
        <v>E</v>
      </c>
      <c r="L60">
        <f>VLOOKUP(C60,Leonard2010!E:Q,13,FALSE)</f>
        <v>0</v>
      </c>
      <c r="M60">
        <f>VLOOKUP(C60,Leonard2010!E:R,14,FALSE)</f>
        <v>0</v>
      </c>
      <c r="N60">
        <f t="shared" si="0"/>
        <v>4.8403481837486941</v>
      </c>
      <c r="O60">
        <f>VLOOKUP(B60,Leonard2010!D:CC,78,FALSE)</f>
        <v>327</v>
      </c>
      <c r="P60">
        <f>VLOOKUP(B60,FaultGeometry!B:G,6,FALSE)</f>
        <v>342</v>
      </c>
      <c r="Q60">
        <f>VLOOKUP(B60,FaultGeometry!B:L,11,FALSE)</f>
        <v>39.392984377048187</v>
      </c>
      <c r="R60">
        <f>VLOOKUP(C60,Leonard2010!E:CE,79,FALSE)</f>
        <v>0</v>
      </c>
      <c r="S60" t="str">
        <f>VLOOKUP(R60,FaultGeometry!W:X,2,FALSE)</f>
        <v>NA</v>
      </c>
      <c r="T60" t="str">
        <f>VLOOKUP(C60,Leonard2010!E:BA,44,FALSE)</f>
        <v>NA</v>
      </c>
      <c r="U60" t="str">
        <f>VLOOKUP(C60,Leonard2010!E:BA,45,FALSE)</f>
        <v>NA</v>
      </c>
      <c r="V60" t="str">
        <f>VLOOKUP(C60,Leonard2010!E:BB,46,FALSE)</f>
        <v>NA</v>
      </c>
      <c r="W60" t="str">
        <f>IF(T60="NA","NA",VLOOKUP(C60,Leonard2010!E:BD,51,FALSE)/E60)</f>
        <v>NA</v>
      </c>
      <c r="X60" t="str">
        <f>IF(U60="NA","NA",VLOOKUP(C60,Leonard2010!E:BE,52,FALSE)/E60)</f>
        <v>NA</v>
      </c>
      <c r="Y60" t="str">
        <f>IF(V60="NA","NA",VLOOKUP(C60,Leonard2010!E:BF,53,FALSE)/E60)</f>
        <v>NA</v>
      </c>
      <c r="Z60">
        <f t="shared" si="1"/>
        <v>0</v>
      </c>
      <c r="AA60" t="str">
        <f>IF(X60="NA","NA",VLOOKUP(E60,Leonard2010!G:BH,53,FALSE)/G60)</f>
        <v>NA</v>
      </c>
      <c r="AB60" t="str">
        <f>IF(Y60="NA","NA",VLOOKUP(F60,Leonard2010!H:BI,53,FALSE)/H60)</f>
        <v>NA</v>
      </c>
      <c r="AC60">
        <f t="shared" si="2"/>
        <v>22.26560164524399</v>
      </c>
    </row>
    <row r="61" spans="1:29" x14ac:dyDescent="0.2">
      <c r="A61">
        <f>VLOOKUP(C61,Leonard2010!E:CD,78,FALSE)</f>
        <v>60</v>
      </c>
      <c r="B61" s="13" t="s">
        <v>256</v>
      </c>
      <c r="C61" s="64" t="s">
        <v>374</v>
      </c>
      <c r="D61" s="13" t="s">
        <v>42</v>
      </c>
      <c r="E61">
        <v>0.5</v>
      </c>
      <c r="F61">
        <v>-14.682</v>
      </c>
      <c r="G61">
        <v>34.597000000000001</v>
      </c>
      <c r="H61">
        <v>23.2</v>
      </c>
      <c r="I61">
        <v>343</v>
      </c>
      <c r="J61">
        <v>53</v>
      </c>
      <c r="K61" t="str">
        <f>VLOOKUP(C61,Leonard2010!E:P,12,FALSE)</f>
        <v>E</v>
      </c>
      <c r="L61">
        <f>VLOOKUP(C61,Leonard2010!E:Q,13,FALSE)</f>
        <v>0</v>
      </c>
      <c r="M61">
        <f>VLOOKUP(C61,Leonard2010!E:R,14,FALSE)</f>
        <v>0</v>
      </c>
      <c r="N61">
        <f t="shared" si="0"/>
        <v>14.23519340258277</v>
      </c>
      <c r="O61">
        <f>VLOOKUP(B61,Leonard2010!D:CC,78,FALSE)</f>
        <v>327</v>
      </c>
      <c r="P61">
        <f>VLOOKUP(B61,FaultGeometry!B:G,6,FALSE)</f>
        <v>342</v>
      </c>
      <c r="Q61">
        <f>VLOOKUP(B61,FaultGeometry!B:L,11,FALSE)</f>
        <v>39.392984377048187</v>
      </c>
      <c r="R61">
        <f>VLOOKUP(C61,Leonard2010!E:CE,79,FALSE)</f>
        <v>0</v>
      </c>
      <c r="S61" t="str">
        <f>VLOOKUP(R61,FaultGeometry!W:X,2,FALSE)</f>
        <v>NA</v>
      </c>
      <c r="T61">
        <f>VLOOKUP(C61,Leonard2010!E:BA,44,FALSE)</f>
        <v>6.0913980201548368</v>
      </c>
      <c r="U61">
        <f>VLOOKUP(C61,Leonard2010!E:BA,45,FALSE)</f>
        <v>6.5243830478342586</v>
      </c>
      <c r="V61">
        <f>VLOOKUP(C61,Leonard2010!E:BB,46,FALSE)</f>
        <v>7.0122167741072117</v>
      </c>
      <c r="W61">
        <v>592.68661533321801</v>
      </c>
      <c r="X61">
        <v>1611.6166183722605</v>
      </c>
      <c r="Y61">
        <v>4382.2621557825996</v>
      </c>
      <c r="Z61">
        <f t="shared" si="1"/>
        <v>2129525471414838.2</v>
      </c>
      <c r="AA61">
        <v>0.41837516473681646</v>
      </c>
      <c r="AB61">
        <v>0.19156927913380756</v>
      </c>
      <c r="AC61">
        <f t="shared" si="2"/>
        <v>330.25648693992025</v>
      </c>
    </row>
    <row r="62" spans="1:29" x14ac:dyDescent="0.2">
      <c r="A62">
        <f>VLOOKUP(C62,Leonard2010!E:CD,78,FALSE)</f>
        <v>63</v>
      </c>
      <c r="B62" s="13" t="s">
        <v>256</v>
      </c>
      <c r="C62" s="64" t="s">
        <v>376</v>
      </c>
      <c r="D62" s="13" t="s">
        <v>42</v>
      </c>
      <c r="E62">
        <v>0.5</v>
      </c>
      <c r="F62">
        <v>-14.895</v>
      </c>
      <c r="G62">
        <v>34.716999999999999</v>
      </c>
      <c r="H62">
        <v>0.7</v>
      </c>
      <c r="I62">
        <v>57</v>
      </c>
      <c r="J62">
        <v>53</v>
      </c>
      <c r="K62" t="str">
        <f>VLOOKUP(C62,Leonard2010!E:P,12,FALSE)</f>
        <v>E</v>
      </c>
      <c r="L62">
        <f>VLOOKUP(C62,Leonard2010!E:Q,13,FALSE)</f>
        <v>0</v>
      </c>
      <c r="M62">
        <f>VLOOKUP(C62,Leonard2010!E:R,14,FALSE)</f>
        <v>0</v>
      </c>
      <c r="N62">
        <f t="shared" si="0"/>
        <v>1.3796536535434165</v>
      </c>
      <c r="O62">
        <f>VLOOKUP(B62,Leonard2010!D:CC,78,FALSE)</f>
        <v>327</v>
      </c>
      <c r="P62">
        <f>VLOOKUP(B62,FaultGeometry!B:G,6,FALSE)</f>
        <v>342</v>
      </c>
      <c r="Q62">
        <f>VLOOKUP(B62,FaultGeometry!B:L,11,FALSE)</f>
        <v>39.392984377048187</v>
      </c>
      <c r="R62">
        <f>VLOOKUP(C62,Leonard2010!E:CE,79,FALSE)</f>
        <v>0</v>
      </c>
      <c r="S62" t="str">
        <f>VLOOKUP(R62,FaultGeometry!W:X,2,FALSE)</f>
        <v>NA</v>
      </c>
      <c r="T62" t="str">
        <f>VLOOKUP(C62,Leonard2010!E:BA,44,FALSE)</f>
        <v>NA</v>
      </c>
      <c r="U62" t="str">
        <f>VLOOKUP(C62,Leonard2010!E:BA,45,FALSE)</f>
        <v>NA</v>
      </c>
      <c r="V62" t="str">
        <f>VLOOKUP(C62,Leonard2010!E:BB,46,FALSE)</f>
        <v>NA</v>
      </c>
      <c r="W62" t="str">
        <f>IF(T62="NA","NA",VLOOKUP(C62,Leonard2010!E:BD,51,FALSE)/E62)</f>
        <v>NA</v>
      </c>
      <c r="X62" t="str">
        <f>IF(U62="NA","NA",VLOOKUP(C62,Leonard2010!E:BE,52,FALSE)/E62)</f>
        <v>NA</v>
      </c>
      <c r="Y62" t="str">
        <f>IF(V62="NA","NA",VLOOKUP(C62,Leonard2010!E:BF,53,FALSE)/E62)</f>
        <v>NA</v>
      </c>
      <c r="Z62">
        <f t="shared" si="1"/>
        <v>0</v>
      </c>
      <c r="AA62" t="str">
        <f>IF(X62="NA","NA",VLOOKUP(E62,Leonard2010!G:BH,53,FALSE)/G62)</f>
        <v>NA</v>
      </c>
      <c r="AB62" t="str">
        <f>IF(Y62="NA","NA",VLOOKUP(F62,Leonard2010!H:BI,53,FALSE)/H62)</f>
        <v>NA</v>
      </c>
      <c r="AC62">
        <f t="shared" si="2"/>
        <v>0.96575755748039149</v>
      </c>
    </row>
    <row r="63" spans="1:29" x14ac:dyDescent="0.2">
      <c r="A63">
        <f>VLOOKUP(C63,Leonard2010!E:CD,78,FALSE)</f>
        <v>62</v>
      </c>
      <c r="B63" s="13" t="s">
        <v>256</v>
      </c>
      <c r="C63" s="64" t="s">
        <v>257</v>
      </c>
      <c r="D63" s="13" t="s">
        <v>42</v>
      </c>
      <c r="E63">
        <v>0.5</v>
      </c>
      <c r="F63">
        <v>-14.891</v>
      </c>
      <c r="G63">
        <v>34.722000000000001</v>
      </c>
      <c r="H63">
        <v>27.3</v>
      </c>
      <c r="I63">
        <v>327</v>
      </c>
      <c r="J63">
        <v>53</v>
      </c>
      <c r="K63" t="str">
        <f>VLOOKUP(C63,Leonard2010!E:P,12,FALSE)</f>
        <v>E</v>
      </c>
      <c r="L63">
        <f>VLOOKUP(C63,Leonard2010!E:Q,13,FALSE)</f>
        <v>0</v>
      </c>
      <c r="M63">
        <f>VLOOKUP(C63,Leonard2010!E:R,14,FALSE)</f>
        <v>0</v>
      </c>
      <c r="N63">
        <f t="shared" ref="N63:N127" si="7">MIN((((H63*1000)^(2/3)*17.5)/1000),((35-M63)/SIN(RADIANS(J63))))</f>
        <v>15.866451677330133</v>
      </c>
      <c r="O63">
        <f>VLOOKUP(B63,Leonard2010!D:CC,78,FALSE)</f>
        <v>327</v>
      </c>
      <c r="P63">
        <f>VLOOKUP(B63,FaultGeometry!B:G,6,FALSE)</f>
        <v>342</v>
      </c>
      <c r="Q63">
        <f>VLOOKUP(B63,FaultGeometry!B:L,11,FALSE)</f>
        <v>39.392984377048187</v>
      </c>
      <c r="R63">
        <f>VLOOKUP(C63,Leonard2010!E:CE,79,FALSE)</f>
        <v>0</v>
      </c>
      <c r="S63" t="str">
        <f>VLOOKUP(R63,FaultGeometry!W:X,2,FALSE)</f>
        <v>NA</v>
      </c>
      <c r="T63">
        <f>VLOOKUP(C63,Leonard2010!E:BA,44,FALSE)</f>
        <v>6.2091891237379313</v>
      </c>
      <c r="U63">
        <f>VLOOKUP(C63,Leonard2010!E:BA,45,FALSE)</f>
        <v>6.6421741514173531</v>
      </c>
      <c r="V63">
        <f>VLOOKUP(C63,Leonard2010!E:BB,46,FALSE)</f>
        <v>7.1300078776903062</v>
      </c>
      <c r="W63">
        <v>674.85418683239664</v>
      </c>
      <c r="X63">
        <v>1905.3322706692722</v>
      </c>
      <c r="Y63">
        <v>5379.3710293084769</v>
      </c>
      <c r="Z63">
        <f t="shared" si="1"/>
        <v>2705580799775253.5</v>
      </c>
      <c r="AA63">
        <v>0.3996737505888176</v>
      </c>
      <c r="AB63">
        <v>0.19036601913552445</v>
      </c>
      <c r="AC63">
        <f t="shared" si="2"/>
        <v>433.15413079111266</v>
      </c>
    </row>
    <row r="64" spans="1:29" x14ac:dyDescent="0.2">
      <c r="A64">
        <f>VLOOKUP(C64,Leonard2010!E:CD,78,FALSE)</f>
        <v>61</v>
      </c>
      <c r="B64" s="13" t="s">
        <v>256</v>
      </c>
      <c r="C64" s="64" t="s">
        <v>375</v>
      </c>
      <c r="D64" s="13" t="s">
        <v>42</v>
      </c>
      <c r="E64">
        <v>0.5</v>
      </c>
      <c r="F64">
        <v>-14.686</v>
      </c>
      <c r="G64">
        <v>34.582000000000001</v>
      </c>
      <c r="H64">
        <v>1.6</v>
      </c>
      <c r="I64">
        <v>74</v>
      </c>
      <c r="J64">
        <v>53</v>
      </c>
      <c r="K64" t="str">
        <f>VLOOKUP(C64,Leonard2010!E:P,12,FALSE)</f>
        <v>E</v>
      </c>
      <c r="L64">
        <f>VLOOKUP(C64,Leonard2010!E:Q,13,FALSE)</f>
        <v>0</v>
      </c>
      <c r="M64">
        <f>VLOOKUP(C64,Leonard2010!E:R,14,FALSE)</f>
        <v>0</v>
      </c>
      <c r="N64">
        <f t="shared" si="7"/>
        <v>2.3939663253473755</v>
      </c>
      <c r="O64">
        <f>VLOOKUP(B64,Leonard2010!D:CC,78,FALSE)</f>
        <v>327</v>
      </c>
      <c r="P64">
        <f>VLOOKUP(B64,FaultGeometry!B:G,6,FALSE)</f>
        <v>342</v>
      </c>
      <c r="Q64">
        <f>VLOOKUP(B64,FaultGeometry!B:L,11,FALSE)</f>
        <v>39.392984377048187</v>
      </c>
      <c r="R64">
        <f>VLOOKUP(C64,Leonard2010!E:CE,79,FALSE)</f>
        <v>0</v>
      </c>
      <c r="S64" t="str">
        <f>VLOOKUP(R64,FaultGeometry!W:X,2,FALSE)</f>
        <v>NA</v>
      </c>
      <c r="T64" t="str">
        <f>VLOOKUP(C64,Leonard2010!E:BA,44,FALSE)</f>
        <v>NA</v>
      </c>
      <c r="U64" t="str">
        <f>VLOOKUP(C64,Leonard2010!E:BA,45,FALSE)</f>
        <v>NA</v>
      </c>
      <c r="V64" t="str">
        <f>VLOOKUP(C64,Leonard2010!E:BB,46,FALSE)</f>
        <v>NA</v>
      </c>
      <c r="W64" t="str">
        <f>IF(T64="NA","NA",VLOOKUP(C64,Leonard2010!E:BD,51,FALSE)/E64)</f>
        <v>NA</v>
      </c>
      <c r="X64" t="str">
        <f>IF(U64="NA","NA",VLOOKUP(C64,Leonard2010!E:BE,52,FALSE)/E64)</f>
        <v>NA</v>
      </c>
      <c r="Y64" t="str">
        <f>IF(V64="NA","NA",VLOOKUP(C64,Leonard2010!E:BF,53,FALSE)/E64)</f>
        <v>NA</v>
      </c>
      <c r="Z64">
        <f t="shared" si="1"/>
        <v>0</v>
      </c>
      <c r="AA64" t="str">
        <f>IF(X64="NA","NA",VLOOKUP(E64,Leonard2010!G:BH,53,FALSE)/G64)</f>
        <v>NA</v>
      </c>
      <c r="AB64" t="str">
        <f>IF(Y64="NA","NA",VLOOKUP(F64,Leonard2010!H:BI,53,FALSE)/H64)</f>
        <v>NA</v>
      </c>
      <c r="AC64">
        <f t="shared" si="2"/>
        <v>3.8303461205558009</v>
      </c>
    </row>
    <row r="65" spans="1:29" x14ac:dyDescent="0.2">
      <c r="A65">
        <f>VLOOKUP(C65,Leonard2010!E:CD,78,FALSE)</f>
        <v>64</v>
      </c>
      <c r="B65" s="13" t="s">
        <v>256</v>
      </c>
      <c r="C65" s="64" t="s">
        <v>100</v>
      </c>
      <c r="D65" s="13" t="s">
        <v>42</v>
      </c>
      <c r="E65">
        <v>0.5</v>
      </c>
      <c r="F65">
        <v>-14.962999999999999</v>
      </c>
      <c r="G65">
        <v>34.731000000000002</v>
      </c>
      <c r="H65">
        <v>7.7</v>
      </c>
      <c r="I65">
        <v>349</v>
      </c>
      <c r="J65">
        <v>53</v>
      </c>
      <c r="K65" t="str">
        <f>VLOOKUP(C65,Leonard2010!E:P,12,FALSE)</f>
        <v>E</v>
      </c>
      <c r="L65">
        <f>VLOOKUP(C65,Leonard2010!E:Q,13,FALSE)</f>
        <v>0</v>
      </c>
      <c r="M65">
        <f>VLOOKUP(C65,Leonard2010!E:R,14,FALSE)</f>
        <v>0</v>
      </c>
      <c r="N65">
        <f t="shared" si="7"/>
        <v>6.8238876118232898</v>
      </c>
      <c r="O65">
        <f>VLOOKUP(B65,Leonard2010!D:CC,78,FALSE)</f>
        <v>327</v>
      </c>
      <c r="P65">
        <f>VLOOKUP(B65,FaultGeometry!B:G,6,FALSE)</f>
        <v>342</v>
      </c>
      <c r="Q65">
        <f>VLOOKUP(B65,FaultGeometry!B:L,11,FALSE)</f>
        <v>39.392984377048187</v>
      </c>
      <c r="R65">
        <f>VLOOKUP(C65,Leonard2010!E:CE,79,FALSE)</f>
        <v>0</v>
      </c>
      <c r="S65" t="str">
        <f>VLOOKUP(R65,FaultGeometry!W:X,2,FALSE)</f>
        <v>NA</v>
      </c>
      <c r="T65">
        <f>VLOOKUP(C65,Leonard2010!E:BA,44,FALSE)</f>
        <v>5.2930692539574737</v>
      </c>
      <c r="U65">
        <f>VLOOKUP(C65,Leonard2010!E:BA,45,FALSE)</f>
        <v>5.7260542816368956</v>
      </c>
      <c r="V65">
        <f>VLOOKUP(C65,Leonard2010!E:BB,46,FALSE)</f>
        <v>6.2138880079098486</v>
      </c>
      <c r="W65">
        <v>234.92962467770494</v>
      </c>
      <c r="X65">
        <v>636.01611108015356</v>
      </c>
      <c r="Y65">
        <v>1721.8624262839137</v>
      </c>
      <c r="Z65">
        <f t="shared" si="1"/>
        <v>342439070682384.75</v>
      </c>
      <c r="AA65">
        <v>0.41731110897728868</v>
      </c>
      <c r="AB65">
        <v>0.19516334224448145</v>
      </c>
      <c r="AC65">
        <f t="shared" si="2"/>
        <v>52.543934611039333</v>
      </c>
    </row>
    <row r="66" spans="1:29" x14ac:dyDescent="0.2">
      <c r="A66">
        <f>VLOOKUP(C66,Leonard2010!E:CD,78,FALSE)</f>
        <v>65</v>
      </c>
      <c r="B66" s="13" t="s">
        <v>258</v>
      </c>
      <c r="C66" s="64" t="s">
        <v>381</v>
      </c>
      <c r="D66" s="13" t="s">
        <v>42</v>
      </c>
      <c r="E66">
        <v>0.5</v>
      </c>
      <c r="F66">
        <v>-14.441000000000001</v>
      </c>
      <c r="G66">
        <v>34.53</v>
      </c>
      <c r="H66">
        <v>41.7</v>
      </c>
      <c r="I66">
        <v>346</v>
      </c>
      <c r="J66">
        <v>53</v>
      </c>
      <c r="K66" t="str">
        <f>VLOOKUP(C66,Leonard2010!E:P,12,FALSE)</f>
        <v>E</v>
      </c>
      <c r="L66">
        <f>VLOOKUP(C66,Leonard2010!E:Q,13,FALSE)</f>
        <v>0</v>
      </c>
      <c r="M66">
        <f>VLOOKUP(C66,Leonard2010!E:R,14,FALSE)</f>
        <v>0</v>
      </c>
      <c r="N66">
        <f t="shared" si="7"/>
        <v>21.04402223517296</v>
      </c>
      <c r="O66">
        <f>VLOOKUP(B66,Leonard2010!D:CC,78,FALSE)</f>
        <v>328</v>
      </c>
      <c r="P66">
        <f>VLOOKUP(B66,FaultGeometry!B:G,6,FALSE)</f>
        <v>342</v>
      </c>
      <c r="Q66">
        <f>VLOOKUP(B66,FaultGeometry!B:L,11,FALSE)</f>
        <v>42.905915506357459</v>
      </c>
      <c r="R66">
        <f>VLOOKUP(C66,Leonard2010!E:CE,79,FALSE)</f>
        <v>0</v>
      </c>
      <c r="S66" t="str">
        <f>VLOOKUP(R66,FaultGeometry!W:X,2,FALSE)</f>
        <v>NA</v>
      </c>
      <c r="T66">
        <f>VLOOKUP(C66,Leonard2010!E:BA,44,FALSE)</f>
        <v>6.5158114702929337</v>
      </c>
      <c r="U66">
        <f>VLOOKUP(C66,Leonard2010!E:BA,45,FALSE)</f>
        <v>6.9487964979723555</v>
      </c>
      <c r="V66">
        <f>VLOOKUP(C66,Leonard2010!E:BB,46,FALSE)</f>
        <v>7.4366302242453086</v>
      </c>
      <c r="W66">
        <v>973.0259082249878</v>
      </c>
      <c r="X66">
        <v>2604.1894047900423</v>
      </c>
      <c r="Y66">
        <v>6969.8066605361073</v>
      </c>
      <c r="Z66">
        <f t="shared" si="1"/>
        <v>5708108027511680</v>
      </c>
      <c r="AA66">
        <v>0.41693220377093365</v>
      </c>
      <c r="AB66">
        <v>0.19172850955688073</v>
      </c>
      <c r="AC66">
        <f t="shared" si="2"/>
        <v>877.53572720671252</v>
      </c>
    </row>
    <row r="67" spans="1:29" x14ac:dyDescent="0.2">
      <c r="A67">
        <f>VLOOKUP(C67,Leonard2010!E:CD,78,FALSE)</f>
        <v>66</v>
      </c>
      <c r="B67" s="13" t="s">
        <v>258</v>
      </c>
      <c r="C67" s="66" t="s">
        <v>379</v>
      </c>
      <c r="D67" s="13" t="s">
        <v>42</v>
      </c>
      <c r="E67">
        <v>0.5</v>
      </c>
      <c r="F67">
        <v>-14.481999999999999</v>
      </c>
      <c r="G67">
        <v>34.531999999999996</v>
      </c>
      <c r="H67">
        <v>4.5999999999999996</v>
      </c>
      <c r="I67">
        <v>358</v>
      </c>
      <c r="J67">
        <v>53</v>
      </c>
      <c r="K67" t="str">
        <f>VLOOKUP(C67,Leonard2010!E:P,12,FALSE)</f>
        <v>E</v>
      </c>
      <c r="L67">
        <f>VLOOKUP(C67,Leonard2010!E:Q,13,FALSE)</f>
        <v>0</v>
      </c>
      <c r="M67">
        <f>VLOOKUP(C67,Leonard2010!E:R,14,FALSE)</f>
        <v>0</v>
      </c>
      <c r="N67">
        <f t="shared" si="7"/>
        <v>4.8403481837486941</v>
      </c>
      <c r="O67">
        <f>VLOOKUP(B67,Leonard2010!D:CC,78,FALSE)</f>
        <v>328</v>
      </c>
      <c r="P67">
        <f>VLOOKUP(B67,FaultGeometry!B:G,6,FALSE)</f>
        <v>342</v>
      </c>
      <c r="Q67">
        <f>VLOOKUP(B67,FaultGeometry!B:L,11,FALSE)</f>
        <v>42.905915506357459</v>
      </c>
      <c r="R67">
        <f>VLOOKUP(C67,Leonard2010!E:CE,79,FALSE)</f>
        <v>0</v>
      </c>
      <c r="S67" t="str">
        <f>VLOOKUP(R67,FaultGeometry!W:X,2,FALSE)</f>
        <v>NA</v>
      </c>
      <c r="T67" t="str">
        <f>VLOOKUP(C67,Leonard2010!E:BA,44,FALSE)</f>
        <v>NA</v>
      </c>
      <c r="U67" t="str">
        <f>VLOOKUP(C67,Leonard2010!E:BA,45,FALSE)</f>
        <v>NA</v>
      </c>
      <c r="V67" t="str">
        <f>VLOOKUP(C67,Leonard2010!E:BB,46,FALSE)</f>
        <v>NA</v>
      </c>
      <c r="W67" t="str">
        <f>IF(T67="NA","NA",VLOOKUP(C67,Leonard2010!E:BD,51,FALSE)/E67)</f>
        <v>NA</v>
      </c>
      <c r="X67" t="str">
        <f>IF(U67="NA","NA",VLOOKUP(C67,Leonard2010!E:BE,52,FALSE)/E67)</f>
        <v>NA</v>
      </c>
      <c r="Y67" t="str">
        <f>IF(V67="NA","NA",VLOOKUP(C67,Leonard2010!E:BF,53,FALSE)/E67)</f>
        <v>NA</v>
      </c>
      <c r="Z67">
        <f t="shared" si="1"/>
        <v>0</v>
      </c>
      <c r="AA67" t="str">
        <f>IF(X67="NA","NA",VLOOKUP(E67,Leonard2010!G:BH,53,FALSE)/G67)</f>
        <v>NA</v>
      </c>
      <c r="AB67" t="str">
        <f>IF(Y67="NA","NA",VLOOKUP(F67,Leonard2010!H:BI,53,FALSE)/H67)</f>
        <v>NA</v>
      </c>
      <c r="AC67">
        <f t="shared" ref="AC67:AC130" si="8">N67*H67</f>
        <v>22.26560164524399</v>
      </c>
    </row>
    <row r="68" spans="1:29" x14ac:dyDescent="0.2">
      <c r="A68">
        <f>VLOOKUP(C68,Leonard2010!E:CD,78,FALSE)</f>
        <v>67</v>
      </c>
      <c r="B68" s="13" t="s">
        <v>258</v>
      </c>
      <c r="C68" s="64" t="s">
        <v>378</v>
      </c>
      <c r="D68" s="13" t="s">
        <v>42</v>
      </c>
      <c r="E68">
        <v>0.5</v>
      </c>
      <c r="F68">
        <v>-14.682</v>
      </c>
      <c r="G68">
        <v>34.597000000000001</v>
      </c>
      <c r="H68">
        <v>23.2</v>
      </c>
      <c r="I68">
        <v>343</v>
      </c>
      <c r="J68">
        <v>53</v>
      </c>
      <c r="K68" t="str">
        <f>VLOOKUP(C68,Leonard2010!E:P,12,FALSE)</f>
        <v>E</v>
      </c>
      <c r="L68">
        <f>VLOOKUP(C68,Leonard2010!E:Q,13,FALSE)</f>
        <v>0</v>
      </c>
      <c r="M68">
        <f>VLOOKUP(C68,Leonard2010!E:R,14,FALSE)</f>
        <v>0</v>
      </c>
      <c r="N68">
        <f t="shared" si="7"/>
        <v>14.23519340258277</v>
      </c>
      <c r="O68">
        <f>VLOOKUP(B68,Leonard2010!D:CC,78,FALSE)</f>
        <v>328</v>
      </c>
      <c r="P68">
        <f>VLOOKUP(B68,FaultGeometry!B:G,6,FALSE)</f>
        <v>342</v>
      </c>
      <c r="Q68">
        <f>VLOOKUP(B68,FaultGeometry!B:L,11,FALSE)</f>
        <v>42.905915506357459</v>
      </c>
      <c r="R68">
        <f>VLOOKUP(C68,Leonard2010!E:CE,79,FALSE)</f>
        <v>0</v>
      </c>
      <c r="S68" t="str">
        <f>VLOOKUP(R68,FaultGeometry!W:X,2,FALSE)</f>
        <v>NA</v>
      </c>
      <c r="T68">
        <f>VLOOKUP(C68,Leonard2010!E:BA,44,FALSE)</f>
        <v>6.0913980201548368</v>
      </c>
      <c r="U68">
        <f>VLOOKUP(C68,Leonard2010!E:BA,45,FALSE)</f>
        <v>6.5243830478342586</v>
      </c>
      <c r="V68">
        <f>VLOOKUP(C68,Leonard2010!E:BB,46,FALSE)</f>
        <v>7.0122167741072117</v>
      </c>
      <c r="W68">
        <v>586.75332756233115</v>
      </c>
      <c r="X68">
        <v>1602.3771586192543</v>
      </c>
      <c r="Y68">
        <v>4375.9659091016492</v>
      </c>
      <c r="Z68">
        <f t="shared" si="1"/>
        <v>2141804518691756</v>
      </c>
      <c r="AA68">
        <v>0.41600238424407671</v>
      </c>
      <c r="AB68">
        <v>0.19125976839306624</v>
      </c>
      <c r="AC68">
        <f t="shared" si="8"/>
        <v>330.25648693992025</v>
      </c>
    </row>
    <row r="69" spans="1:29" x14ac:dyDescent="0.2">
      <c r="A69">
        <f>VLOOKUP(C69,Leonard2010!E:CD,78,FALSE)</f>
        <v>68</v>
      </c>
      <c r="B69" s="13" t="s">
        <v>258</v>
      </c>
      <c r="C69" s="64" t="s">
        <v>380</v>
      </c>
      <c r="D69" s="13" t="s">
        <v>42</v>
      </c>
      <c r="E69">
        <v>0.5</v>
      </c>
      <c r="F69">
        <v>-14.686</v>
      </c>
      <c r="G69">
        <v>34.582000000000001</v>
      </c>
      <c r="H69">
        <v>1.6</v>
      </c>
      <c r="I69">
        <v>74</v>
      </c>
      <c r="J69">
        <v>53</v>
      </c>
      <c r="K69" t="str">
        <f>VLOOKUP(C69,Leonard2010!E:P,12,FALSE)</f>
        <v>E</v>
      </c>
      <c r="L69">
        <f>VLOOKUP(C69,Leonard2010!E:Q,13,FALSE)</f>
        <v>0</v>
      </c>
      <c r="M69">
        <f>VLOOKUP(C69,Leonard2010!E:R,14,FALSE)</f>
        <v>0</v>
      </c>
      <c r="N69">
        <f t="shared" si="7"/>
        <v>2.3939663253473755</v>
      </c>
      <c r="O69">
        <f>VLOOKUP(B69,Leonard2010!D:CC,78,FALSE)</f>
        <v>328</v>
      </c>
      <c r="P69">
        <f>VLOOKUP(B69,FaultGeometry!B:G,6,FALSE)</f>
        <v>342</v>
      </c>
      <c r="Q69">
        <f>VLOOKUP(B69,FaultGeometry!B:L,11,FALSE)</f>
        <v>42.905915506357459</v>
      </c>
      <c r="R69">
        <f>VLOOKUP(C69,Leonard2010!E:CE,79,FALSE)</f>
        <v>0</v>
      </c>
      <c r="S69" t="str">
        <f>VLOOKUP(R69,FaultGeometry!W:X,2,FALSE)</f>
        <v>NA</v>
      </c>
      <c r="T69" t="str">
        <f>VLOOKUP(C69,Leonard2010!E:BA,44,FALSE)</f>
        <v>NA</v>
      </c>
      <c r="U69" t="str">
        <f>VLOOKUP(C69,Leonard2010!E:BA,45,FALSE)</f>
        <v>NA</v>
      </c>
      <c r="V69" t="str">
        <f>VLOOKUP(C69,Leonard2010!E:BB,46,FALSE)</f>
        <v>NA</v>
      </c>
      <c r="W69" t="str">
        <f>IF(T69="NA","NA",VLOOKUP(C69,Leonard2010!E:BD,51,FALSE)/E69)</f>
        <v>NA</v>
      </c>
      <c r="X69" t="str">
        <f>IF(U69="NA","NA",VLOOKUP(C69,Leonard2010!E:BE,52,FALSE)/E69)</f>
        <v>NA</v>
      </c>
      <c r="Y69" t="str">
        <f>IF(V69="NA","NA",VLOOKUP(C69,Leonard2010!E:BF,53,FALSE)/E69)</f>
        <v>NA</v>
      </c>
      <c r="Z69">
        <f t="shared" ref="Z69:Z133" si="9">IF(U69="NA",0,E69*10^(U69*1.5+9.05)/X69)</f>
        <v>0</v>
      </c>
      <c r="AA69" t="str">
        <f>IF(X69="NA","NA",VLOOKUP(E69,Leonard2010!G:BH,53,FALSE)/G69)</f>
        <v>NA</v>
      </c>
      <c r="AB69" t="str">
        <f>IF(Y69="NA","NA",VLOOKUP(F69,Leonard2010!H:BI,53,FALSE)/H69)</f>
        <v>NA</v>
      </c>
      <c r="AC69">
        <f t="shared" si="8"/>
        <v>3.8303461205558009</v>
      </c>
    </row>
    <row r="70" spans="1:29" x14ac:dyDescent="0.2">
      <c r="A70">
        <f>VLOOKUP(C70,Leonard2010!E:CD,78,FALSE)</f>
        <v>69</v>
      </c>
      <c r="B70" s="13" t="s">
        <v>258</v>
      </c>
      <c r="C70" s="64" t="s">
        <v>259</v>
      </c>
      <c r="D70" s="13" t="s">
        <v>42</v>
      </c>
      <c r="E70">
        <v>0.5</v>
      </c>
      <c r="F70">
        <v>-14.754</v>
      </c>
      <c r="G70">
        <v>34.6</v>
      </c>
      <c r="H70">
        <v>7.7</v>
      </c>
      <c r="I70">
        <v>346</v>
      </c>
      <c r="J70">
        <v>53</v>
      </c>
      <c r="K70" t="str">
        <f>VLOOKUP(C70,Leonard2010!E:P,12,FALSE)</f>
        <v>E</v>
      </c>
      <c r="L70">
        <f>VLOOKUP(C70,Leonard2010!E:Q,13,FALSE)</f>
        <v>0</v>
      </c>
      <c r="M70">
        <f>VLOOKUP(C70,Leonard2010!E:R,14,FALSE)</f>
        <v>0</v>
      </c>
      <c r="N70">
        <f t="shared" si="7"/>
        <v>6.8238876118232898</v>
      </c>
      <c r="O70">
        <f>VLOOKUP(B70,Leonard2010!D:CC,78,FALSE)</f>
        <v>328</v>
      </c>
      <c r="P70">
        <f>VLOOKUP(B70,FaultGeometry!B:G,6,FALSE)</f>
        <v>342</v>
      </c>
      <c r="Q70">
        <f>VLOOKUP(B70,FaultGeometry!B:L,11,FALSE)</f>
        <v>42.905915506357459</v>
      </c>
      <c r="R70">
        <f>VLOOKUP(C70,Leonard2010!E:CE,79,FALSE)</f>
        <v>0</v>
      </c>
      <c r="S70" t="str">
        <f>VLOOKUP(R70,FaultGeometry!W:X,2,FALSE)</f>
        <v>NA</v>
      </c>
      <c r="T70">
        <f>VLOOKUP(C70,Leonard2010!E:BA,44,FALSE)</f>
        <v>5.2930692539574737</v>
      </c>
      <c r="U70">
        <f>VLOOKUP(C70,Leonard2010!E:BA,45,FALSE)</f>
        <v>5.7260542816368956</v>
      </c>
      <c r="V70">
        <f>VLOOKUP(C70,Leonard2010!E:BB,46,FALSE)</f>
        <v>6.2138880079098486</v>
      </c>
      <c r="W70">
        <v>235.07997598154498</v>
      </c>
      <c r="X70">
        <v>633.93147327709198</v>
      </c>
      <c r="Y70">
        <v>1709.4995485400814</v>
      </c>
      <c r="Z70">
        <f t="shared" si="9"/>
        <v>343565156800651.62</v>
      </c>
      <c r="AA70">
        <v>0.41765164927603793</v>
      </c>
      <c r="AB70">
        <v>0.19050248443547008</v>
      </c>
      <c r="AC70">
        <f t="shared" si="8"/>
        <v>52.543934611039333</v>
      </c>
    </row>
    <row r="71" spans="1:29" x14ac:dyDescent="0.2">
      <c r="A71">
        <f>VLOOKUP(C71,Leonard2010!E:CD,78,FALSE)</f>
        <v>70</v>
      </c>
      <c r="B71" s="13" t="s">
        <v>258</v>
      </c>
      <c r="C71" s="66" t="s">
        <v>290</v>
      </c>
      <c r="D71" s="13" t="s">
        <v>42</v>
      </c>
      <c r="E71">
        <v>0.5</v>
      </c>
      <c r="F71">
        <v>-14.954000000000001</v>
      </c>
      <c r="G71">
        <v>34.686999999999998</v>
      </c>
      <c r="H71">
        <v>24.1</v>
      </c>
      <c r="I71">
        <v>338</v>
      </c>
      <c r="J71">
        <v>53</v>
      </c>
      <c r="K71" t="str">
        <f>VLOOKUP(C71,Leonard2010!E:P,12,FALSE)</f>
        <v>E</v>
      </c>
      <c r="L71">
        <f>VLOOKUP(C71,Leonard2010!E:Q,13,FALSE)</f>
        <v>0</v>
      </c>
      <c r="M71">
        <f>VLOOKUP(C71,Leonard2010!E:R,14,FALSE)</f>
        <v>0</v>
      </c>
      <c r="N71">
        <f t="shared" si="7"/>
        <v>14.601004800036735</v>
      </c>
      <c r="O71">
        <f>VLOOKUP(B71,Leonard2010!D:CC,78,FALSE)</f>
        <v>328</v>
      </c>
      <c r="P71">
        <f>VLOOKUP(B71,FaultGeometry!B:G,6,FALSE)</f>
        <v>342</v>
      </c>
      <c r="Q71">
        <f>VLOOKUP(B71,FaultGeometry!B:L,11,FALSE)</f>
        <v>42.905915506357459</v>
      </c>
      <c r="R71">
        <f>VLOOKUP(C71,Leonard2010!E:CE,79,FALSE)</f>
        <v>0</v>
      </c>
      <c r="S71" t="str">
        <f>VLOOKUP(R71,FaultGeometry!W:X,2,FALSE)</f>
        <v>NA</v>
      </c>
      <c r="T71">
        <f>VLOOKUP(C71,Leonard2010!E:BA,44,FALSE)</f>
        <v>6.118946449628119</v>
      </c>
      <c r="U71">
        <f>VLOOKUP(C71,Leonard2010!E:BA,45,FALSE)</f>
        <v>6.5519314773075408</v>
      </c>
      <c r="V71">
        <f>VLOOKUP(C71,Leonard2010!E:BB,46,FALSE)</f>
        <v>7.0397652035804938</v>
      </c>
      <c r="W71">
        <v>607.61994832180494</v>
      </c>
      <c r="X71">
        <v>1641.9625679532478</v>
      </c>
      <c r="Y71">
        <v>4437.0516175544644</v>
      </c>
      <c r="Z71">
        <f t="shared" si="9"/>
        <v>2298814713033070</v>
      </c>
      <c r="AA71">
        <v>0.41765934917897046</v>
      </c>
      <c r="AB71">
        <v>0.19240493824665078</v>
      </c>
      <c r="AC71">
        <f t="shared" si="8"/>
        <v>351.88421568088535</v>
      </c>
    </row>
    <row r="72" spans="1:29" x14ac:dyDescent="0.2">
      <c r="A72">
        <f>VLOOKUP(C72,Leonard2010!E:CD,78,FALSE)</f>
        <v>71</v>
      </c>
      <c r="B72" s="13" t="s">
        <v>258</v>
      </c>
      <c r="C72" s="66" t="s">
        <v>289</v>
      </c>
      <c r="D72" s="13" t="s">
        <v>42</v>
      </c>
      <c r="E72">
        <v>0.5</v>
      </c>
      <c r="F72">
        <v>-14.973000000000001</v>
      </c>
      <c r="G72">
        <v>34.679000000000002</v>
      </c>
      <c r="H72">
        <v>2.2999999999999998</v>
      </c>
      <c r="I72">
        <v>22</v>
      </c>
      <c r="J72">
        <v>53</v>
      </c>
      <c r="K72" t="str">
        <f>VLOOKUP(C72,Leonard2010!E:P,12,FALSE)</f>
        <v>E</v>
      </c>
      <c r="L72">
        <f>VLOOKUP(C72,Leonard2010!E:Q,13,FALSE)</f>
        <v>0</v>
      </c>
      <c r="M72">
        <f>VLOOKUP(C72,Leonard2010!E:R,14,FALSE)</f>
        <v>0</v>
      </c>
      <c r="N72">
        <f t="shared" si="7"/>
        <v>3.0492282827626984</v>
      </c>
      <c r="O72">
        <f>VLOOKUP(B72,Leonard2010!D:CC,78,FALSE)</f>
        <v>328</v>
      </c>
      <c r="P72">
        <f>VLOOKUP(B72,FaultGeometry!B:G,6,FALSE)</f>
        <v>342</v>
      </c>
      <c r="Q72">
        <f>VLOOKUP(B72,FaultGeometry!B:L,11,FALSE)</f>
        <v>42.905915506357459</v>
      </c>
      <c r="R72">
        <f>VLOOKUP(C72,Leonard2010!E:CE,79,FALSE)</f>
        <v>0</v>
      </c>
      <c r="S72" t="str">
        <f>VLOOKUP(R72,FaultGeometry!W:X,2,FALSE)</f>
        <v>NA</v>
      </c>
      <c r="T72" t="str">
        <f>VLOOKUP(C72,Leonard2010!E:BA,44,FALSE)</f>
        <v>NA</v>
      </c>
      <c r="U72" t="str">
        <f>VLOOKUP(C72,Leonard2010!E:BA,45,FALSE)</f>
        <v>NA</v>
      </c>
      <c r="V72" t="str">
        <f>VLOOKUP(C72,Leonard2010!E:BB,46,FALSE)</f>
        <v>NA</v>
      </c>
      <c r="W72" t="str">
        <f>IF(T72="NA","NA",VLOOKUP(C72,Leonard2010!E:BD,51,FALSE)/E72)</f>
        <v>NA</v>
      </c>
      <c r="X72" t="str">
        <f>IF(U72="NA","NA",VLOOKUP(C72,Leonard2010!E:BE,52,FALSE)/E72)</f>
        <v>NA</v>
      </c>
      <c r="Y72" t="str">
        <f>IF(V72="NA","NA",VLOOKUP(C72,Leonard2010!E:BF,53,FALSE)/E72)</f>
        <v>NA</v>
      </c>
      <c r="Z72">
        <f t="shared" si="9"/>
        <v>0</v>
      </c>
      <c r="AA72" t="str">
        <f>IF(X72="NA","NA",VLOOKUP(E72,Leonard2010!G:BH,53,FALSE)/G72)</f>
        <v>NA</v>
      </c>
      <c r="AB72" t="str">
        <f>IF(Y72="NA","NA",VLOOKUP(F72,Leonard2010!H:BI,53,FALSE)/H72)</f>
        <v>NA</v>
      </c>
      <c r="AC72">
        <f t="shared" si="8"/>
        <v>7.0132250503542055</v>
      </c>
    </row>
    <row r="73" spans="1:29" x14ac:dyDescent="0.2">
      <c r="A73">
        <f>VLOOKUP(C73,Leonard2010!E:CD,78,FALSE)</f>
        <v>72</v>
      </c>
      <c r="B73" s="13" t="s">
        <v>258</v>
      </c>
      <c r="C73" s="66" t="s">
        <v>291</v>
      </c>
      <c r="D73" s="13" t="s">
        <v>42</v>
      </c>
      <c r="E73">
        <v>0.5</v>
      </c>
      <c r="F73">
        <v>-15.081</v>
      </c>
      <c r="G73">
        <v>34.781999999999996</v>
      </c>
      <c r="H73">
        <v>16.2</v>
      </c>
      <c r="I73">
        <v>317</v>
      </c>
      <c r="J73">
        <v>53</v>
      </c>
      <c r="K73" t="str">
        <f>VLOOKUP(C73,Leonard2010!E:P,12,FALSE)</f>
        <v>E</v>
      </c>
      <c r="L73">
        <f>VLOOKUP(C73,Leonard2010!E:Q,13,FALSE)</f>
        <v>0</v>
      </c>
      <c r="M73">
        <f>VLOOKUP(C73,Leonard2010!E:R,14,FALSE)</f>
        <v>0</v>
      </c>
      <c r="N73">
        <f t="shared" si="7"/>
        <v>11.204213909143695</v>
      </c>
      <c r="O73">
        <f>VLOOKUP(B73,Leonard2010!D:CC,78,FALSE)</f>
        <v>328</v>
      </c>
      <c r="P73">
        <f>VLOOKUP(B73,FaultGeometry!B:G,6,FALSE)</f>
        <v>342</v>
      </c>
      <c r="Q73">
        <f>VLOOKUP(B73,FaultGeometry!B:L,11,FALSE)</f>
        <v>42.905915506357459</v>
      </c>
      <c r="R73">
        <f>VLOOKUP(C73,Leonard2010!E:CE,79,FALSE)</f>
        <v>0</v>
      </c>
      <c r="S73" t="str">
        <f>VLOOKUP(R73,FaultGeometry!W:X,2,FALSE)</f>
        <v>NA</v>
      </c>
      <c r="T73">
        <f>VLOOKUP(C73,Leonard2010!E:BA,44,FALSE)</f>
        <v>5.8314430695743882</v>
      </c>
      <c r="U73">
        <f>VLOOKUP(C73,Leonard2010!E:BA,45,FALSE)</f>
        <v>6.26442809725381</v>
      </c>
      <c r="V73">
        <f>VLOOKUP(C73,Leonard2010!E:BB,46,FALSE)</f>
        <v>6.7522618235267631</v>
      </c>
      <c r="W73">
        <v>450.16320829296217</v>
      </c>
      <c r="X73">
        <v>1343.9115538287033</v>
      </c>
      <c r="Y73">
        <v>4012.0965712926177</v>
      </c>
      <c r="Z73">
        <f t="shared" si="9"/>
        <v>1040498509821913.6</v>
      </c>
      <c r="AA73">
        <v>0.37467167879693974</v>
      </c>
      <c r="AB73">
        <v>0.19678515052975784</v>
      </c>
      <c r="AC73">
        <f t="shared" si="8"/>
        <v>181.50826532812783</v>
      </c>
    </row>
    <row r="74" spans="1:29" x14ac:dyDescent="0.2">
      <c r="A74">
        <f>VLOOKUP(C74,Leonard2010!E:CD,78,FALSE)</f>
        <v>73</v>
      </c>
      <c r="B74" s="13" t="s">
        <v>261</v>
      </c>
      <c r="C74" s="64" t="s">
        <v>382</v>
      </c>
      <c r="D74" s="13" t="s">
        <v>42</v>
      </c>
      <c r="E74">
        <v>0.5</v>
      </c>
      <c r="F74">
        <v>-14.927</v>
      </c>
      <c r="G74">
        <v>34.942</v>
      </c>
      <c r="H74">
        <v>29.2</v>
      </c>
      <c r="I74">
        <v>325</v>
      </c>
      <c r="J74">
        <v>42</v>
      </c>
      <c r="K74" t="str">
        <f>VLOOKUP(C74,Leonard2010!E:P,12,FALSE)</f>
        <v>NE</v>
      </c>
      <c r="L74">
        <f>VLOOKUP(C74,Leonard2010!E:Q,13,FALSE)</f>
        <v>0</v>
      </c>
      <c r="M74">
        <f>VLOOKUP(C74,Leonard2010!E:R,14,FALSE)</f>
        <v>0</v>
      </c>
      <c r="N74">
        <f t="shared" si="7"/>
        <v>16.594338684941128</v>
      </c>
      <c r="O74">
        <f>VLOOKUP(B74,Leonard2010!D:CC,78,FALSE)</f>
        <v>329</v>
      </c>
      <c r="P74">
        <f>VLOOKUP(B74,FaultGeometry!B:G,6,FALSE)</f>
        <v>329</v>
      </c>
      <c r="Q74">
        <f>VLOOKUP(B74,FaultGeometry!B:L,11,FALSE)</f>
        <v>46.235039037254246</v>
      </c>
      <c r="R74">
        <f>VLOOKUP(C74,Leonard2010!E:CE,79,FALSE)</f>
        <v>0</v>
      </c>
      <c r="S74" t="str">
        <f>VLOOKUP(R74,FaultGeometry!W:X,2,FALSE)</f>
        <v>NA</v>
      </c>
      <c r="T74">
        <f>VLOOKUP(C74,Leonard2010!E:BA,44,FALSE)</f>
        <v>6.2578894644173673</v>
      </c>
      <c r="U74">
        <f>VLOOKUP(C74,Leonard2010!E:BA,45,FALSE)</f>
        <v>6.6908744920967891</v>
      </c>
      <c r="V74">
        <f>VLOOKUP(C74,Leonard2010!E:BB,46,FALSE)</f>
        <v>7.1787082183697422</v>
      </c>
      <c r="W74">
        <v>7659.315316395905</v>
      </c>
      <c r="X74">
        <v>25220.238828341717</v>
      </c>
      <c r="Y74">
        <v>83044.034653725917</v>
      </c>
      <c r="Z74">
        <f t="shared" si="9"/>
        <v>241842457652763.06</v>
      </c>
      <c r="AA74">
        <v>3.2305903272684254E-2</v>
      </c>
      <c r="AB74">
        <v>2.1356743765098312E-2</v>
      </c>
      <c r="AC74">
        <f t="shared" si="8"/>
        <v>484.55468960028094</v>
      </c>
    </row>
    <row r="75" spans="1:29" x14ac:dyDescent="0.2">
      <c r="A75">
        <f>VLOOKUP(C75,Leonard2010!E:CD,78,FALSE)</f>
        <v>74</v>
      </c>
      <c r="B75" s="13" t="s">
        <v>261</v>
      </c>
      <c r="C75" s="64" t="s">
        <v>383</v>
      </c>
      <c r="D75" s="13" t="s">
        <v>42</v>
      </c>
      <c r="E75">
        <v>0.5</v>
      </c>
      <c r="F75">
        <v>-14.268000000000001</v>
      </c>
      <c r="G75">
        <v>34.506</v>
      </c>
      <c r="H75">
        <v>11.7</v>
      </c>
      <c r="I75">
        <v>7</v>
      </c>
      <c r="J75">
        <v>42</v>
      </c>
      <c r="K75" t="str">
        <f>VLOOKUP(C75,Leonard2010!E:P,12,FALSE)</f>
        <v>SE</v>
      </c>
      <c r="L75">
        <f>VLOOKUP(C75,Leonard2010!E:Q,13,FALSE)</f>
        <v>0</v>
      </c>
      <c r="M75">
        <f>VLOOKUP(C75,Leonard2010!E:R,14,FALSE)</f>
        <v>0</v>
      </c>
      <c r="N75">
        <f t="shared" si="7"/>
        <v>9.0190741300600408</v>
      </c>
      <c r="O75">
        <f>VLOOKUP(B75,Leonard2010!D:CC,78,FALSE)</f>
        <v>329</v>
      </c>
      <c r="P75">
        <f>VLOOKUP(B75,FaultGeometry!B:G,6,FALSE)</f>
        <v>329</v>
      </c>
      <c r="Q75">
        <f>VLOOKUP(B75,FaultGeometry!B:L,11,FALSE)</f>
        <v>46.235039037254246</v>
      </c>
      <c r="R75">
        <f>VLOOKUP(C75,Leonard2010!E:CE,79,FALSE)</f>
        <v>0</v>
      </c>
      <c r="S75" t="str">
        <f>VLOOKUP(R75,FaultGeometry!W:X,2,FALSE)</f>
        <v>NA</v>
      </c>
      <c r="T75">
        <f>VLOOKUP(C75,Leonard2010!E:BA,44,FALSE)</f>
        <v>5.5958944815802738</v>
      </c>
      <c r="U75">
        <f>VLOOKUP(C75,Leonard2010!E:BA,45,FALSE)</f>
        <v>6.0288795092596956</v>
      </c>
      <c r="V75">
        <f>VLOOKUP(C75,Leonard2010!E:BB,46,FALSE)</f>
        <v>6.5167132355326487</v>
      </c>
      <c r="W75">
        <v>3638.4128795248939</v>
      </c>
      <c r="X75">
        <v>12196.775510292431</v>
      </c>
      <c r="Y75">
        <v>40886.325377095345</v>
      </c>
      <c r="Z75">
        <f t="shared" si="9"/>
        <v>50821120699128.359</v>
      </c>
      <c r="AA75">
        <v>3.1036580666743852E-2</v>
      </c>
      <c r="AB75">
        <v>2.10717409675448E-2</v>
      </c>
      <c r="AC75">
        <f t="shared" si="8"/>
        <v>105.52316732170247</v>
      </c>
    </row>
    <row r="76" spans="1:29" x14ac:dyDescent="0.2">
      <c r="A76">
        <f>VLOOKUP(C76,Leonard2010!E:CD,78,FALSE)</f>
        <v>75</v>
      </c>
      <c r="B76" s="13" t="s">
        <v>261</v>
      </c>
      <c r="C76" s="64" t="s">
        <v>384</v>
      </c>
      <c r="D76" s="13" t="s">
        <v>42</v>
      </c>
      <c r="E76">
        <v>0.5</v>
      </c>
      <c r="F76">
        <v>-14.712</v>
      </c>
      <c r="G76">
        <v>34.783000000000001</v>
      </c>
      <c r="H76">
        <v>19.399999999999999</v>
      </c>
      <c r="I76">
        <v>318</v>
      </c>
      <c r="J76">
        <v>42</v>
      </c>
      <c r="K76" t="str">
        <f>VLOOKUP(C76,Leonard2010!E:P,12,FALSE)</f>
        <v>NE</v>
      </c>
      <c r="L76">
        <f>VLOOKUP(C76,Leonard2010!E:Q,13,FALSE)</f>
        <v>0</v>
      </c>
      <c r="M76">
        <f>VLOOKUP(C76,Leonard2010!E:R,14,FALSE)</f>
        <v>0</v>
      </c>
      <c r="N76">
        <f t="shared" si="7"/>
        <v>12.634921130151755</v>
      </c>
      <c r="O76">
        <f>VLOOKUP(B76,Leonard2010!D:CC,78,FALSE)</f>
        <v>329</v>
      </c>
      <c r="P76">
        <f>VLOOKUP(B76,FaultGeometry!B:G,6,FALSE)</f>
        <v>329</v>
      </c>
      <c r="Q76">
        <f>VLOOKUP(B76,FaultGeometry!B:L,11,FALSE)</f>
        <v>46.235039037254246</v>
      </c>
      <c r="R76">
        <f>VLOOKUP(C76,Leonard2010!E:CE,79,FALSE)</f>
        <v>0</v>
      </c>
      <c r="S76" t="str">
        <f>VLOOKUP(R76,FaultGeometry!W:X,2,FALSE)</f>
        <v>NA</v>
      </c>
      <c r="T76">
        <f>VLOOKUP(C76,Leonard2010!E:BA,44,FALSE)</f>
        <v>5.961920928553714</v>
      </c>
      <c r="U76">
        <f>VLOOKUP(C76,Leonard2010!E:BA,45,FALSE)</f>
        <v>6.3949059562331358</v>
      </c>
      <c r="V76">
        <f>VLOOKUP(C76,Leonard2010!E:BB,46,FALSE)</f>
        <v>6.8827396825060889</v>
      </c>
      <c r="W76">
        <v>5447.5796684183542</v>
      </c>
      <c r="X76">
        <v>18511.221081473304</v>
      </c>
      <c r="Y76">
        <v>62902.302817844036</v>
      </c>
      <c r="Z76">
        <f t="shared" si="9"/>
        <v>118547901605471.88</v>
      </c>
      <c r="AA76">
        <v>3.0856061506041602E-2</v>
      </c>
      <c r="AB76">
        <v>2.1231182967523923E-2</v>
      </c>
      <c r="AC76">
        <f t="shared" si="8"/>
        <v>245.11746992494403</v>
      </c>
    </row>
    <row r="77" spans="1:29" x14ac:dyDescent="0.2">
      <c r="A77">
        <f>VLOOKUP(C77,Leonard2010!E:CD,78,FALSE)</f>
        <v>76</v>
      </c>
      <c r="B77" s="13" t="s">
        <v>261</v>
      </c>
      <c r="C77" s="64" t="s">
        <v>385</v>
      </c>
      <c r="D77" s="13" t="s">
        <v>42</v>
      </c>
      <c r="E77">
        <v>0.5</v>
      </c>
      <c r="F77">
        <v>-14.582000000000001</v>
      </c>
      <c r="G77">
        <v>34.662999999999997</v>
      </c>
      <c r="H77">
        <v>18.399999999999999</v>
      </c>
      <c r="I77">
        <v>330</v>
      </c>
      <c r="J77">
        <v>42</v>
      </c>
      <c r="K77" t="str">
        <f>VLOOKUP(C77,Leonard2010!E:P,12,FALSE)</f>
        <v>NE</v>
      </c>
      <c r="L77">
        <f>VLOOKUP(C77,Leonard2010!E:Q,13,FALSE)</f>
        <v>0</v>
      </c>
      <c r="M77">
        <f>VLOOKUP(C77,Leonard2010!E:R,14,FALSE)</f>
        <v>0</v>
      </c>
      <c r="N77">
        <f t="shared" si="7"/>
        <v>12.196913131050795</v>
      </c>
      <c r="O77">
        <f>VLOOKUP(B77,Leonard2010!D:CC,78,FALSE)</f>
        <v>329</v>
      </c>
      <c r="P77">
        <f>VLOOKUP(B77,FaultGeometry!B:G,6,FALSE)</f>
        <v>329</v>
      </c>
      <c r="Q77">
        <f>VLOOKUP(B77,FaultGeometry!B:L,11,FALSE)</f>
        <v>46.235039037254246</v>
      </c>
      <c r="R77">
        <f>VLOOKUP(C77,Leonard2010!E:CE,79,FALSE)</f>
        <v>0</v>
      </c>
      <c r="S77" t="str">
        <f>VLOOKUP(R77,FaultGeometry!W:X,2,FALSE)</f>
        <v>NA</v>
      </c>
      <c r="T77">
        <f>VLOOKUP(C77,Leonard2010!E:BA,44,FALSE)</f>
        <v>5.9236144170192331</v>
      </c>
      <c r="U77">
        <f>VLOOKUP(C77,Leonard2010!E:BA,45,FALSE)</f>
        <v>6.3565994446986549</v>
      </c>
      <c r="V77">
        <f>VLOOKUP(C77,Leonard2010!E:BB,46,FALSE)</f>
        <v>6.844433170971608</v>
      </c>
      <c r="W77">
        <v>5208.5051317561374</v>
      </c>
      <c r="X77">
        <v>16583.471593960076</v>
      </c>
      <c r="Y77">
        <v>52800.472141409955</v>
      </c>
      <c r="Z77">
        <f t="shared" si="9"/>
        <v>115929435244119.3</v>
      </c>
      <c r="AA77">
        <v>3.2945687413834177E-2</v>
      </c>
      <c r="AB77">
        <v>2.123909643658705E-2</v>
      </c>
      <c r="AC77">
        <f t="shared" si="8"/>
        <v>224.4232016113346</v>
      </c>
    </row>
    <row r="78" spans="1:29" x14ac:dyDescent="0.2">
      <c r="A78">
        <f>VLOOKUP(C78,Leonard2010!E:CD,78,FALSE)</f>
        <v>77</v>
      </c>
      <c r="B78" s="13" t="s">
        <v>261</v>
      </c>
      <c r="C78" s="64" t="s">
        <v>386</v>
      </c>
      <c r="D78" s="13" t="s">
        <v>42</v>
      </c>
      <c r="E78">
        <v>0.5</v>
      </c>
      <c r="F78">
        <v>-14.439</v>
      </c>
      <c r="G78">
        <v>34.576000000000001</v>
      </c>
      <c r="H78">
        <v>20.399999999999999</v>
      </c>
      <c r="I78">
        <v>339</v>
      </c>
      <c r="J78">
        <v>42</v>
      </c>
      <c r="K78" t="str">
        <f>VLOOKUP(C78,Leonard2010!E:P,12,FALSE)</f>
        <v>NE</v>
      </c>
      <c r="L78">
        <f>VLOOKUP(C78,Leonard2010!E:Q,13,FALSE)</f>
        <v>0</v>
      </c>
      <c r="M78">
        <f>VLOOKUP(C78,Leonard2010!E:R,14,FALSE)</f>
        <v>0</v>
      </c>
      <c r="N78">
        <f t="shared" si="7"/>
        <v>13.065463678932394</v>
      </c>
      <c r="O78">
        <f>VLOOKUP(B78,Leonard2010!D:CC,78,FALSE)</f>
        <v>329</v>
      </c>
      <c r="P78">
        <f>VLOOKUP(B78,FaultGeometry!B:G,6,FALSE)</f>
        <v>329</v>
      </c>
      <c r="Q78">
        <f>VLOOKUP(B78,FaultGeometry!B:L,11,FALSE)</f>
        <v>46.235039037254246</v>
      </c>
      <c r="R78">
        <f>VLOOKUP(C78,Leonard2010!E:CE,79,FALSE)</f>
        <v>0</v>
      </c>
      <c r="S78" t="str">
        <f>VLOOKUP(R78,FaultGeometry!W:X,2,FALSE)</f>
        <v>NA</v>
      </c>
      <c r="T78">
        <f>VLOOKUP(C78,Leonard2010!E:BA,44,FALSE)</f>
        <v>5.998301657713168</v>
      </c>
      <c r="U78">
        <f>VLOOKUP(C78,Leonard2010!E:BA,45,FALSE)</f>
        <v>6.4312866853925899</v>
      </c>
      <c r="V78">
        <f>VLOOKUP(C78,Leonard2010!E:BB,46,FALSE)</f>
        <v>6.9191204116655429</v>
      </c>
      <c r="W78">
        <v>5620.9359219072467</v>
      </c>
      <c r="X78">
        <v>17806.000946807646</v>
      </c>
      <c r="Y78">
        <v>56405.850221849694</v>
      </c>
      <c r="Z78">
        <f t="shared" si="9"/>
        <v>139744151249406.45</v>
      </c>
      <c r="AA78">
        <v>3.3796770810000008E-2</v>
      </c>
      <c r="AB78">
        <v>2.1484982846501532E-2</v>
      </c>
      <c r="AC78">
        <f t="shared" si="8"/>
        <v>266.53545905022082</v>
      </c>
    </row>
    <row r="79" spans="1:29" x14ac:dyDescent="0.2">
      <c r="A79">
        <f>VLOOKUP(C79,Leonard2010!E:CD,78,FALSE)</f>
        <v>78</v>
      </c>
      <c r="B79" s="13" t="s">
        <v>261</v>
      </c>
      <c r="C79" s="64" t="s">
        <v>387</v>
      </c>
      <c r="D79" s="13" t="s">
        <v>42</v>
      </c>
      <c r="E79">
        <v>0.5</v>
      </c>
      <c r="F79">
        <v>-14.163</v>
      </c>
      <c r="G79">
        <v>34.518999999999998</v>
      </c>
      <c r="H79">
        <v>15.7</v>
      </c>
      <c r="I79">
        <v>324</v>
      </c>
      <c r="J79">
        <v>42</v>
      </c>
      <c r="K79" t="str">
        <f>VLOOKUP(C79,Leonard2010!E:P,12,FALSE)</f>
        <v>NE</v>
      </c>
      <c r="L79">
        <f>VLOOKUP(C79,Leonard2010!E:Q,13,FALSE)</f>
        <v>0</v>
      </c>
      <c r="M79">
        <f>VLOOKUP(C79,Leonard2010!E:R,14,FALSE)</f>
        <v>0</v>
      </c>
      <c r="N79">
        <f t="shared" si="7"/>
        <v>10.972472059566613</v>
      </c>
      <c r="O79">
        <f>VLOOKUP(B79,Leonard2010!D:CC,78,FALSE)</f>
        <v>329</v>
      </c>
      <c r="P79">
        <f>VLOOKUP(B79,FaultGeometry!B:G,6,FALSE)</f>
        <v>329</v>
      </c>
      <c r="Q79">
        <f>VLOOKUP(B79,FaultGeometry!B:L,11,FALSE)</f>
        <v>46.235039037254246</v>
      </c>
      <c r="R79">
        <f>VLOOKUP(C79,Leonard2010!E:CE,79,FALSE)</f>
        <v>0</v>
      </c>
      <c r="S79" t="str">
        <f>VLOOKUP(R79,FaultGeometry!W:X,2,FALSE)</f>
        <v>NA</v>
      </c>
      <c r="T79">
        <f>VLOOKUP(C79,Leonard2010!E:BA,44,FALSE)</f>
        <v>5.8087507993520617</v>
      </c>
      <c r="U79">
        <f>VLOOKUP(C79,Leonard2010!E:BA,45,FALSE)</f>
        <v>6.2417358270314836</v>
      </c>
      <c r="V79">
        <f>VLOOKUP(C79,Leonard2010!E:BB,46,FALSE)</f>
        <v>6.7295695533044366</v>
      </c>
      <c r="W79">
        <v>4545.516069246687</v>
      </c>
      <c r="X79">
        <v>14952.098693135005</v>
      </c>
      <c r="Y79">
        <v>49183.690459662204</v>
      </c>
      <c r="Z79">
        <f t="shared" si="9"/>
        <v>86471220701416.125</v>
      </c>
      <c r="AA79">
        <v>3.2048627246439844E-2</v>
      </c>
      <c r="AB79">
        <v>2.1052051088832961E-2</v>
      </c>
      <c r="AC79">
        <f t="shared" si="8"/>
        <v>172.2678113351958</v>
      </c>
    </row>
    <row r="80" spans="1:29" x14ac:dyDescent="0.2">
      <c r="A80">
        <f>VLOOKUP(C80,Leonard2010!E:CD,78,FALSE)</f>
        <v>79</v>
      </c>
      <c r="B80" s="13" t="s">
        <v>261</v>
      </c>
      <c r="C80" s="64" t="s">
        <v>262</v>
      </c>
      <c r="D80" s="13" t="s">
        <v>42</v>
      </c>
      <c r="E80">
        <v>0.5</v>
      </c>
      <c r="F80">
        <v>-14.048999999999999</v>
      </c>
      <c r="G80">
        <v>34.432000000000002</v>
      </c>
      <c r="H80">
        <v>13.4</v>
      </c>
      <c r="I80">
        <v>324</v>
      </c>
      <c r="J80">
        <v>42</v>
      </c>
      <c r="K80" t="str">
        <f>VLOOKUP(C80,Leonard2010!E:P,12,FALSE)</f>
        <v>NE</v>
      </c>
      <c r="L80">
        <f>VLOOKUP(C80,Leonard2010!E:Q,13,FALSE)</f>
        <v>0</v>
      </c>
      <c r="M80">
        <f>VLOOKUP(C80,Leonard2010!E:R,14,FALSE)</f>
        <v>0</v>
      </c>
      <c r="N80">
        <f t="shared" si="7"/>
        <v>9.8728206481583705</v>
      </c>
      <c r="O80">
        <f>VLOOKUP(B80,Leonard2010!D:CC,78,FALSE)</f>
        <v>329</v>
      </c>
      <c r="P80">
        <f>VLOOKUP(B80,FaultGeometry!B:G,6,FALSE)</f>
        <v>329</v>
      </c>
      <c r="Q80">
        <f>VLOOKUP(B80,FaultGeometry!B:L,11,FALSE)</f>
        <v>46.235039037254246</v>
      </c>
      <c r="R80">
        <f>VLOOKUP(C80,Leonard2010!E:CE,79,FALSE)</f>
        <v>0</v>
      </c>
      <c r="S80" t="str">
        <f>VLOOKUP(R80,FaultGeometry!W:X,2,FALSE)</f>
        <v>NA</v>
      </c>
      <c r="T80">
        <f>VLOOKUP(C80,Leonard2010!E:BA,44,FALSE)</f>
        <v>5.6940927092780171</v>
      </c>
      <c r="U80">
        <f>VLOOKUP(C80,Leonard2010!E:BA,45,FALSE)</f>
        <v>6.127077736957439</v>
      </c>
      <c r="V80">
        <f>VLOOKUP(C80,Leonard2010!E:BB,46,FALSE)</f>
        <v>6.614911463230392</v>
      </c>
      <c r="W80">
        <v>4008.2252016662983</v>
      </c>
      <c r="X80">
        <v>13105.113980156617</v>
      </c>
      <c r="Y80">
        <v>42847.89496396036</v>
      </c>
      <c r="Z80">
        <f t="shared" si="9"/>
        <v>66396594866282.016</v>
      </c>
      <c r="AA80">
        <v>3.2589556348859024E-2</v>
      </c>
      <c r="AB80">
        <v>2.1514725507563538E-2</v>
      </c>
      <c r="AC80">
        <f t="shared" si="8"/>
        <v>132.29579668532216</v>
      </c>
    </row>
    <row r="81" spans="1:29" x14ac:dyDescent="0.2">
      <c r="A81">
        <f>VLOOKUP(C81,Leonard2010!E:CD,78,FALSE)</f>
        <v>80</v>
      </c>
      <c r="B81" s="13" t="s">
        <v>261</v>
      </c>
      <c r="C81" s="64" t="s">
        <v>263</v>
      </c>
      <c r="D81" s="13" t="s">
        <v>42</v>
      </c>
      <c r="E81">
        <v>0.5</v>
      </c>
      <c r="F81">
        <v>-13.952</v>
      </c>
      <c r="G81">
        <v>34.357999999999997</v>
      </c>
      <c r="H81">
        <v>7.6</v>
      </c>
      <c r="I81">
        <v>317</v>
      </c>
      <c r="J81">
        <v>42</v>
      </c>
      <c r="K81" t="str">
        <f>VLOOKUP(C81,Leonard2010!E:P,12,FALSE)</f>
        <v>NE</v>
      </c>
      <c r="L81">
        <f>VLOOKUP(C81,Leonard2010!E:Q,13,FALSE)</f>
        <v>0</v>
      </c>
      <c r="M81">
        <f>VLOOKUP(C81,Leonard2010!E:R,14,FALSE)</f>
        <v>0</v>
      </c>
      <c r="N81">
        <f t="shared" si="7"/>
        <v>6.7646777084708241</v>
      </c>
      <c r="O81">
        <f>VLOOKUP(B81,Leonard2010!D:CC,78,FALSE)</f>
        <v>329</v>
      </c>
      <c r="P81">
        <f>VLOOKUP(B81,FaultGeometry!B:G,6,FALSE)</f>
        <v>329</v>
      </c>
      <c r="Q81">
        <f>VLOOKUP(B81,FaultGeometry!B:L,11,FALSE)</f>
        <v>46.235039037254246</v>
      </c>
      <c r="R81">
        <f>VLOOKUP(C81,Leonard2010!E:CE,79,FALSE)</f>
        <v>0</v>
      </c>
      <c r="S81" t="str">
        <f>VLOOKUP(R81,FaultGeometry!W:X,2,FALSE)</f>
        <v>NA</v>
      </c>
      <c r="T81">
        <f>VLOOKUP(C81,Leonard2010!E:BA,44,FALSE)</f>
        <v>5.2836073658046558</v>
      </c>
      <c r="U81">
        <f>VLOOKUP(C81,Leonard2010!E:BA,45,FALSE)</f>
        <v>5.7165923934840777</v>
      </c>
      <c r="V81">
        <f>VLOOKUP(C81,Leonard2010!E:BB,46,FALSE)</f>
        <v>6.2044261197570307</v>
      </c>
      <c r="W81">
        <v>2509.2645958315038</v>
      </c>
      <c r="X81">
        <v>8531.0920598799803</v>
      </c>
      <c r="Y81">
        <v>29004.327345570364</v>
      </c>
      <c r="Z81">
        <f t="shared" si="9"/>
        <v>24708931537449.977</v>
      </c>
      <c r="AA81">
        <v>3.073972395027938E-2</v>
      </c>
      <c r="AB81">
        <v>2.0932757486454852E-2</v>
      </c>
      <c r="AC81">
        <f t="shared" si="8"/>
        <v>51.411550584378261</v>
      </c>
    </row>
    <row r="82" spans="1:29" x14ac:dyDescent="0.2">
      <c r="A82">
        <f>VLOOKUP(C82,Leonard2010!E:CD,78,FALSE)</f>
        <v>81</v>
      </c>
      <c r="B82" s="13" t="s">
        <v>264</v>
      </c>
      <c r="C82" s="64" t="s">
        <v>388</v>
      </c>
      <c r="D82" s="13" t="s">
        <v>42</v>
      </c>
      <c r="E82">
        <v>0.5</v>
      </c>
      <c r="F82">
        <v>-14.927</v>
      </c>
      <c r="G82">
        <v>34.942</v>
      </c>
      <c r="H82">
        <v>29.2</v>
      </c>
      <c r="I82">
        <v>325</v>
      </c>
      <c r="J82">
        <v>42</v>
      </c>
      <c r="K82" t="str">
        <f>VLOOKUP(C82,Leonard2010!E:P,12,FALSE)</f>
        <v>NE</v>
      </c>
      <c r="L82">
        <f>VLOOKUP(C82,Leonard2010!E:Q,13,FALSE)</f>
        <v>0</v>
      </c>
      <c r="M82">
        <f>VLOOKUP(C82,Leonard2010!E:R,14,FALSE)</f>
        <v>0</v>
      </c>
      <c r="N82">
        <f t="shared" si="7"/>
        <v>16.594338684941128</v>
      </c>
      <c r="O82">
        <f>VLOOKUP(B82,Leonard2010!D:CC,78,FALSE)</f>
        <v>330</v>
      </c>
      <c r="P82">
        <f>VLOOKUP(B82,FaultGeometry!B:G,6,FALSE)</f>
        <v>329</v>
      </c>
      <c r="Q82">
        <f>VLOOKUP(B82,FaultGeometry!B:L,11,FALSE)</f>
        <v>47.385490166386099</v>
      </c>
      <c r="R82">
        <f>VLOOKUP(C82,Leonard2010!E:CE,79,FALSE)</f>
        <v>0</v>
      </c>
      <c r="S82" t="str">
        <f>VLOOKUP(R82,FaultGeometry!W:X,2,FALSE)</f>
        <v>NA</v>
      </c>
      <c r="T82">
        <f>VLOOKUP(C82,Leonard2010!E:BA,44,FALSE)</f>
        <v>6.2578894644173673</v>
      </c>
      <c r="U82">
        <f>VLOOKUP(C82,Leonard2010!E:BA,45,FALSE)</f>
        <v>6.6908744920967891</v>
      </c>
      <c r="V82">
        <f>VLOOKUP(C82,Leonard2010!E:BB,46,FALSE)</f>
        <v>7.1787082183697422</v>
      </c>
      <c r="W82">
        <v>7450.4855677427331</v>
      </c>
      <c r="X82">
        <v>24967.137441097679</v>
      </c>
      <c r="Y82">
        <v>83666.755184591253</v>
      </c>
      <c r="Z82">
        <f t="shared" si="9"/>
        <v>244294106812416.59</v>
      </c>
      <c r="AA82">
        <v>3.2342169777290257E-2</v>
      </c>
      <c r="AB82">
        <v>2.1355509627237441E-2</v>
      </c>
      <c r="AC82">
        <f t="shared" si="8"/>
        <v>484.55468960028094</v>
      </c>
    </row>
    <row r="83" spans="1:29" x14ac:dyDescent="0.2">
      <c r="A83">
        <f>VLOOKUP(C83,Leonard2010!E:CD,78,FALSE)</f>
        <v>82</v>
      </c>
      <c r="B83" s="13" t="s">
        <v>264</v>
      </c>
      <c r="C83" s="64" t="s">
        <v>389</v>
      </c>
      <c r="D83" s="13" t="s">
        <v>42</v>
      </c>
      <c r="E83">
        <v>0.5</v>
      </c>
      <c r="F83">
        <v>-14.268000000000001</v>
      </c>
      <c r="G83">
        <v>34.506</v>
      </c>
      <c r="H83">
        <v>11.7</v>
      </c>
      <c r="I83">
        <v>7</v>
      </c>
      <c r="J83">
        <v>42</v>
      </c>
      <c r="K83" t="str">
        <f>VLOOKUP(C83,Leonard2010!E:P,12,FALSE)</f>
        <v>SE</v>
      </c>
      <c r="L83">
        <f>VLOOKUP(C83,Leonard2010!E:Q,13,FALSE)</f>
        <v>0</v>
      </c>
      <c r="M83">
        <f>VLOOKUP(C83,Leonard2010!E:R,14,FALSE)</f>
        <v>0</v>
      </c>
      <c r="N83">
        <f t="shared" si="7"/>
        <v>9.0190741300600408</v>
      </c>
      <c r="O83">
        <f>VLOOKUP(B83,Leonard2010!D:CC,78,FALSE)</f>
        <v>330</v>
      </c>
      <c r="P83">
        <f>VLOOKUP(B83,FaultGeometry!B:G,6,FALSE)</f>
        <v>329</v>
      </c>
      <c r="Q83">
        <f>VLOOKUP(B83,FaultGeometry!B:L,11,FALSE)</f>
        <v>47.385490166386099</v>
      </c>
      <c r="R83">
        <f>VLOOKUP(C83,Leonard2010!E:CE,79,FALSE)</f>
        <v>0</v>
      </c>
      <c r="S83" t="str">
        <f>VLOOKUP(R83,FaultGeometry!W:X,2,FALSE)</f>
        <v>NA</v>
      </c>
      <c r="T83">
        <f>VLOOKUP(C83,Leonard2010!E:BA,44,FALSE)</f>
        <v>5.5958944815802738</v>
      </c>
      <c r="U83">
        <f>VLOOKUP(C83,Leonard2010!E:BA,45,FALSE)</f>
        <v>6.0288795092596956</v>
      </c>
      <c r="V83">
        <f>VLOOKUP(C83,Leonard2010!E:BB,46,FALSE)</f>
        <v>6.5167132355326487</v>
      </c>
      <c r="W83">
        <v>3626.1806044383366</v>
      </c>
      <c r="X83">
        <v>12241.492192958836</v>
      </c>
      <c r="Y83">
        <v>41325.611561336787</v>
      </c>
      <c r="Z83">
        <f t="shared" si="9"/>
        <v>50635477324020.781</v>
      </c>
      <c r="AA83">
        <v>3.1108818276038119E-2</v>
      </c>
      <c r="AB83">
        <v>2.0833081310376093E-2</v>
      </c>
      <c r="AC83">
        <f t="shared" si="8"/>
        <v>105.52316732170247</v>
      </c>
    </row>
    <row r="84" spans="1:29" x14ac:dyDescent="0.2">
      <c r="A84">
        <f>VLOOKUP(C84,Leonard2010!E:CD,78,FALSE)</f>
        <v>83</v>
      </c>
      <c r="B84" s="13" t="s">
        <v>264</v>
      </c>
      <c r="C84" s="64" t="s">
        <v>390</v>
      </c>
      <c r="D84" s="13" t="s">
        <v>42</v>
      </c>
      <c r="E84">
        <v>0.5</v>
      </c>
      <c r="F84">
        <v>-14.712</v>
      </c>
      <c r="G84">
        <v>34.783000000000001</v>
      </c>
      <c r="H84">
        <v>19.399999999999999</v>
      </c>
      <c r="I84">
        <v>318</v>
      </c>
      <c r="J84">
        <v>42</v>
      </c>
      <c r="K84" t="str">
        <f>VLOOKUP(C84,Leonard2010!E:P,12,FALSE)</f>
        <v>NE</v>
      </c>
      <c r="L84">
        <f>VLOOKUP(C84,Leonard2010!E:Q,13,FALSE)</f>
        <v>0</v>
      </c>
      <c r="M84">
        <f>VLOOKUP(C84,Leonard2010!E:R,14,FALSE)</f>
        <v>0</v>
      </c>
      <c r="N84">
        <f t="shared" si="7"/>
        <v>12.634921130151755</v>
      </c>
      <c r="O84">
        <f>VLOOKUP(B84,Leonard2010!D:CC,78,FALSE)</f>
        <v>330</v>
      </c>
      <c r="P84">
        <f>VLOOKUP(B84,FaultGeometry!B:G,6,FALSE)</f>
        <v>329</v>
      </c>
      <c r="Q84">
        <f>VLOOKUP(B84,FaultGeometry!B:L,11,FALSE)</f>
        <v>47.385490166386099</v>
      </c>
      <c r="R84">
        <f>VLOOKUP(C84,Leonard2010!E:CE,79,FALSE)</f>
        <v>0</v>
      </c>
      <c r="S84" t="str">
        <f>VLOOKUP(R84,FaultGeometry!W:X,2,FALSE)</f>
        <v>NA</v>
      </c>
      <c r="T84">
        <f>VLOOKUP(C84,Leonard2010!E:BA,44,FALSE)</f>
        <v>5.961920928553714</v>
      </c>
      <c r="U84">
        <f>VLOOKUP(C84,Leonard2010!E:BA,45,FALSE)</f>
        <v>6.3949059562331358</v>
      </c>
      <c r="V84">
        <f>VLOOKUP(C84,Leonard2010!E:BB,46,FALSE)</f>
        <v>6.8827396825060889</v>
      </c>
      <c r="W84">
        <v>5401.1485786415069</v>
      </c>
      <c r="X84">
        <v>18484.379108312969</v>
      </c>
      <c r="Y84">
        <v>63259.187568169829</v>
      </c>
      <c r="Z84">
        <f t="shared" si="9"/>
        <v>118720050184250.86</v>
      </c>
      <c r="AA84">
        <v>3.0949157629277489E-2</v>
      </c>
      <c r="AB84">
        <v>2.0941827384951744E-2</v>
      </c>
      <c r="AC84">
        <f t="shared" si="8"/>
        <v>245.11746992494403</v>
      </c>
    </row>
    <row r="85" spans="1:29" x14ac:dyDescent="0.2">
      <c r="A85">
        <f>VLOOKUP(C85,Leonard2010!E:CD,78,FALSE)</f>
        <v>84</v>
      </c>
      <c r="B85" s="13" t="s">
        <v>264</v>
      </c>
      <c r="C85" s="64" t="s">
        <v>391</v>
      </c>
      <c r="D85" s="13" t="s">
        <v>42</v>
      </c>
      <c r="E85">
        <v>0.5</v>
      </c>
      <c r="F85">
        <v>-14.582000000000001</v>
      </c>
      <c r="G85">
        <v>34.662999999999997</v>
      </c>
      <c r="H85">
        <v>18.399999999999999</v>
      </c>
      <c r="I85">
        <v>330</v>
      </c>
      <c r="J85">
        <v>42</v>
      </c>
      <c r="K85" t="str">
        <f>VLOOKUP(C85,Leonard2010!E:P,12,FALSE)</f>
        <v>NE</v>
      </c>
      <c r="L85">
        <f>VLOOKUP(C85,Leonard2010!E:Q,13,FALSE)</f>
        <v>0</v>
      </c>
      <c r="M85">
        <f>VLOOKUP(C85,Leonard2010!E:R,14,FALSE)</f>
        <v>0</v>
      </c>
      <c r="N85">
        <f t="shared" si="7"/>
        <v>12.196913131050795</v>
      </c>
      <c r="O85">
        <f>VLOOKUP(B85,Leonard2010!D:CC,78,FALSE)</f>
        <v>330</v>
      </c>
      <c r="P85">
        <f>VLOOKUP(B85,FaultGeometry!B:G,6,FALSE)</f>
        <v>329</v>
      </c>
      <c r="Q85">
        <f>VLOOKUP(B85,FaultGeometry!B:L,11,FALSE)</f>
        <v>47.385490166386099</v>
      </c>
      <c r="R85">
        <f>VLOOKUP(C85,Leonard2010!E:CE,79,FALSE)</f>
        <v>0</v>
      </c>
      <c r="S85" t="str">
        <f>VLOOKUP(R85,FaultGeometry!W:X,2,FALSE)</f>
        <v>NA</v>
      </c>
      <c r="T85">
        <f>VLOOKUP(C85,Leonard2010!E:BA,44,FALSE)</f>
        <v>5.9236144170192331</v>
      </c>
      <c r="U85">
        <f>VLOOKUP(C85,Leonard2010!E:BA,45,FALSE)</f>
        <v>6.3565994446986549</v>
      </c>
      <c r="V85">
        <f>VLOOKUP(C85,Leonard2010!E:BB,46,FALSE)</f>
        <v>6.844433170971608</v>
      </c>
      <c r="W85">
        <v>5172.4608081707993</v>
      </c>
      <c r="X85">
        <v>16359.390117361154</v>
      </c>
      <c r="Y85">
        <v>51741.261062673751</v>
      </c>
      <c r="Z85">
        <f t="shared" si="9"/>
        <v>117517369686932.84</v>
      </c>
      <c r="AA85">
        <v>3.3232907261404029E-2</v>
      </c>
      <c r="AB85">
        <v>2.1285993863234161E-2</v>
      </c>
      <c r="AC85">
        <f t="shared" si="8"/>
        <v>224.4232016113346</v>
      </c>
    </row>
    <row r="86" spans="1:29" x14ac:dyDescent="0.2">
      <c r="A86">
        <f>VLOOKUP(C86,Leonard2010!E:CD,78,FALSE)</f>
        <v>85</v>
      </c>
      <c r="B86" s="13" t="s">
        <v>264</v>
      </c>
      <c r="C86" s="64" t="s">
        <v>392</v>
      </c>
      <c r="D86" s="13" t="s">
        <v>42</v>
      </c>
      <c r="E86">
        <v>0.5</v>
      </c>
      <c r="F86">
        <v>-14.439</v>
      </c>
      <c r="G86">
        <v>34.576000000000001</v>
      </c>
      <c r="H86">
        <v>20.399999999999999</v>
      </c>
      <c r="I86">
        <v>339</v>
      </c>
      <c r="J86">
        <v>42</v>
      </c>
      <c r="K86" t="str">
        <f>VLOOKUP(C86,Leonard2010!E:P,12,FALSE)</f>
        <v>NE</v>
      </c>
      <c r="L86">
        <f>VLOOKUP(C86,Leonard2010!E:Q,13,FALSE)</f>
        <v>0</v>
      </c>
      <c r="M86">
        <f>VLOOKUP(C86,Leonard2010!E:R,14,FALSE)</f>
        <v>0</v>
      </c>
      <c r="N86">
        <f t="shared" si="7"/>
        <v>13.065463678932394</v>
      </c>
      <c r="O86">
        <f>VLOOKUP(B86,Leonard2010!D:CC,78,FALSE)</f>
        <v>330</v>
      </c>
      <c r="P86">
        <f>VLOOKUP(B86,FaultGeometry!B:G,6,FALSE)</f>
        <v>329</v>
      </c>
      <c r="Q86">
        <f>VLOOKUP(B86,FaultGeometry!B:L,11,FALSE)</f>
        <v>47.385490166386099</v>
      </c>
      <c r="R86">
        <f>VLOOKUP(C86,Leonard2010!E:CE,79,FALSE)</f>
        <v>0</v>
      </c>
      <c r="S86" t="str">
        <f>VLOOKUP(R86,FaultGeometry!W:X,2,FALSE)</f>
        <v>NA</v>
      </c>
      <c r="T86">
        <f>VLOOKUP(C86,Leonard2010!E:BA,44,FALSE)</f>
        <v>5.998301657713168</v>
      </c>
      <c r="U86">
        <f>VLOOKUP(C86,Leonard2010!E:BA,45,FALSE)</f>
        <v>6.4312866853925899</v>
      </c>
      <c r="V86">
        <f>VLOOKUP(C86,Leonard2010!E:BB,46,FALSE)</f>
        <v>6.9191204116655429</v>
      </c>
      <c r="W86">
        <v>5489.3623285396434</v>
      </c>
      <c r="X86">
        <v>17604.592606970047</v>
      </c>
      <c r="Y86">
        <v>56458.59433363987</v>
      </c>
      <c r="Z86">
        <f t="shared" si="9"/>
        <v>141342918010644.31</v>
      </c>
      <c r="AA86">
        <v>3.3829913702886218E-2</v>
      </c>
      <c r="AB86">
        <v>2.1622956271292001E-2</v>
      </c>
      <c r="AC86">
        <f t="shared" si="8"/>
        <v>266.53545905022082</v>
      </c>
    </row>
    <row r="87" spans="1:29" x14ac:dyDescent="0.2">
      <c r="A87">
        <f>VLOOKUP(C87,Leonard2010!E:CD,78,FALSE)</f>
        <v>86</v>
      </c>
      <c r="B87" s="13" t="s">
        <v>264</v>
      </c>
      <c r="C87" s="64" t="s">
        <v>393</v>
      </c>
      <c r="D87" s="13" t="s">
        <v>42</v>
      </c>
      <c r="E87">
        <v>0.5</v>
      </c>
      <c r="F87">
        <v>-14.163</v>
      </c>
      <c r="G87">
        <v>34.518999999999998</v>
      </c>
      <c r="H87">
        <v>15.7</v>
      </c>
      <c r="I87">
        <v>324</v>
      </c>
      <c r="J87">
        <v>42</v>
      </c>
      <c r="K87" t="str">
        <f>VLOOKUP(C87,Leonard2010!E:P,12,FALSE)</f>
        <v>NE</v>
      </c>
      <c r="L87">
        <f>VLOOKUP(C87,Leonard2010!E:Q,13,FALSE)</f>
        <v>0</v>
      </c>
      <c r="M87">
        <f>VLOOKUP(C87,Leonard2010!E:R,14,FALSE)</f>
        <v>0</v>
      </c>
      <c r="N87">
        <f t="shared" si="7"/>
        <v>10.972472059566613</v>
      </c>
      <c r="O87">
        <f>VLOOKUP(B87,Leonard2010!D:CC,78,FALSE)</f>
        <v>330</v>
      </c>
      <c r="P87">
        <f>VLOOKUP(B87,FaultGeometry!B:G,6,FALSE)</f>
        <v>329</v>
      </c>
      <c r="Q87">
        <f>VLOOKUP(B87,FaultGeometry!B:L,11,FALSE)</f>
        <v>47.385490166386099</v>
      </c>
      <c r="R87">
        <f>VLOOKUP(C87,Leonard2010!E:CE,79,FALSE)</f>
        <v>0</v>
      </c>
      <c r="S87" t="str">
        <f>VLOOKUP(R87,FaultGeometry!W:X,2,FALSE)</f>
        <v>NA</v>
      </c>
      <c r="T87">
        <f>VLOOKUP(C87,Leonard2010!E:BA,44,FALSE)</f>
        <v>5.8087507993520617</v>
      </c>
      <c r="U87">
        <f>VLOOKUP(C87,Leonard2010!E:BA,45,FALSE)</f>
        <v>6.2417358270314836</v>
      </c>
      <c r="V87">
        <f>VLOOKUP(C87,Leonard2010!E:BB,46,FALSE)</f>
        <v>6.7295695533044366</v>
      </c>
      <c r="W87">
        <v>4620.0746696693914</v>
      </c>
      <c r="X87">
        <v>15002.638732232441</v>
      </c>
      <c r="Y87">
        <v>48717.647445725706</v>
      </c>
      <c r="Z87">
        <f t="shared" si="9"/>
        <v>86179921353811.141</v>
      </c>
      <c r="AA87">
        <v>3.2093959073428685E-2</v>
      </c>
      <c r="AB87">
        <v>2.1088070105427213E-2</v>
      </c>
      <c r="AC87">
        <f t="shared" si="8"/>
        <v>172.2678113351958</v>
      </c>
    </row>
    <row r="88" spans="1:29" x14ac:dyDescent="0.2">
      <c r="A88">
        <f>VLOOKUP(C88,Leonard2010!E:CD,78,FALSE)</f>
        <v>87</v>
      </c>
      <c r="B88" s="13" t="s">
        <v>264</v>
      </c>
      <c r="C88" s="64" t="s">
        <v>265</v>
      </c>
      <c r="D88" s="13" t="s">
        <v>42</v>
      </c>
      <c r="E88">
        <v>0.5</v>
      </c>
      <c r="F88">
        <v>-14.048999999999999</v>
      </c>
      <c r="G88">
        <v>34.432000000000002</v>
      </c>
      <c r="H88">
        <v>18.399999999999999</v>
      </c>
      <c r="I88">
        <v>326</v>
      </c>
      <c r="J88">
        <v>42</v>
      </c>
      <c r="K88" t="str">
        <f>VLOOKUP(C88,Leonard2010!E:P,12,FALSE)</f>
        <v>NE</v>
      </c>
      <c r="L88">
        <f>VLOOKUP(C88,Leonard2010!E:Q,13,FALSE)</f>
        <v>0</v>
      </c>
      <c r="M88">
        <f>VLOOKUP(C88,Leonard2010!E:R,14,FALSE)</f>
        <v>0</v>
      </c>
      <c r="N88">
        <f t="shared" si="7"/>
        <v>12.196913131050795</v>
      </c>
      <c r="O88">
        <f>VLOOKUP(B88,Leonard2010!D:CC,78,FALSE)</f>
        <v>330</v>
      </c>
      <c r="P88">
        <f>VLOOKUP(B88,FaultGeometry!B:G,6,FALSE)</f>
        <v>329</v>
      </c>
      <c r="Q88">
        <f>VLOOKUP(B88,FaultGeometry!B:L,11,FALSE)</f>
        <v>47.385490166386099</v>
      </c>
      <c r="R88">
        <f>VLOOKUP(C88,Leonard2010!E:CE,79,FALSE)</f>
        <v>0</v>
      </c>
      <c r="S88" t="str">
        <f>VLOOKUP(R88,FaultGeometry!W:X,2,FALSE)</f>
        <v>NA</v>
      </c>
      <c r="T88">
        <f>VLOOKUP(C88,Leonard2010!E:BA,44,FALSE)</f>
        <v>5.9236144170192331</v>
      </c>
      <c r="U88">
        <f>VLOOKUP(C88,Leonard2010!E:BA,45,FALSE)</f>
        <v>6.3565994446986549</v>
      </c>
      <c r="V88">
        <f>VLOOKUP(C88,Leonard2010!E:BB,46,FALSE)</f>
        <v>6.844433170971608</v>
      </c>
      <c r="W88">
        <v>5182.7824199652177</v>
      </c>
      <c r="X88">
        <v>17144.139511644225</v>
      </c>
      <c r="Y88">
        <v>56711.143894922221</v>
      </c>
      <c r="Z88">
        <f t="shared" si="9"/>
        <v>112138173803877.66</v>
      </c>
      <c r="AA88">
        <v>3.26708286783969E-2</v>
      </c>
      <c r="AB88">
        <v>2.1482982962203023E-2</v>
      </c>
      <c r="AC88">
        <f t="shared" si="8"/>
        <v>224.4232016113346</v>
      </c>
    </row>
    <row r="89" spans="1:29" x14ac:dyDescent="0.2">
      <c r="A89">
        <f>VLOOKUP(C89,Leonard2010!E:CD,78,FALSE)</f>
        <v>88</v>
      </c>
      <c r="B89" s="13" t="s">
        <v>264</v>
      </c>
      <c r="C89" s="64" t="s">
        <v>266</v>
      </c>
      <c r="D89" s="13" t="s">
        <v>42</v>
      </c>
      <c r="E89">
        <v>0.5</v>
      </c>
      <c r="F89">
        <v>-13.912000000000001</v>
      </c>
      <c r="G89">
        <v>34.335999999999999</v>
      </c>
      <c r="H89">
        <v>0.6</v>
      </c>
      <c r="I89">
        <v>31</v>
      </c>
      <c r="J89">
        <v>42</v>
      </c>
      <c r="K89" t="str">
        <f>VLOOKUP(C89,Leonard2010!E:P,12,FALSE)</f>
        <v>SE</v>
      </c>
      <c r="L89">
        <f>VLOOKUP(C89,Leonard2010!E:Q,13,FALSE)</f>
        <v>0</v>
      </c>
      <c r="M89">
        <f>VLOOKUP(C89,Leonard2010!E:R,14,FALSE)</f>
        <v>0</v>
      </c>
      <c r="N89">
        <f t="shared" si="7"/>
        <v>1.2449126565715218</v>
      </c>
      <c r="O89">
        <f>VLOOKUP(B89,Leonard2010!D:CC,78,FALSE)</f>
        <v>330</v>
      </c>
      <c r="P89">
        <f>VLOOKUP(B89,FaultGeometry!B:G,6,FALSE)</f>
        <v>329</v>
      </c>
      <c r="Q89">
        <f>VLOOKUP(B89,FaultGeometry!B:L,11,FALSE)</f>
        <v>47.385490166386099</v>
      </c>
      <c r="R89">
        <f>VLOOKUP(C89,Leonard2010!E:CE,79,FALSE)</f>
        <v>0</v>
      </c>
      <c r="S89" t="str">
        <f>VLOOKUP(R89,FaultGeometry!W:X,2,FALSE)</f>
        <v>NA</v>
      </c>
      <c r="T89" t="str">
        <f>VLOOKUP(C89,Leonard2010!E:BA,44,FALSE)</f>
        <v>NA</v>
      </c>
      <c r="U89" t="str">
        <f>VLOOKUP(C89,Leonard2010!E:BA,45,FALSE)</f>
        <v>NA</v>
      </c>
      <c r="V89" t="str">
        <f>VLOOKUP(C89,Leonard2010!E:BB,46,FALSE)</f>
        <v>NA</v>
      </c>
      <c r="W89" t="str">
        <f>IF(T89="NA","NA",VLOOKUP(C89,Leonard2010!E:BD,51,FALSE)/E89)</f>
        <v>NA</v>
      </c>
      <c r="X89" t="str">
        <f>IF(U89="NA","NA",VLOOKUP(C89,Leonard2010!E:BE,52,FALSE)/E89)</f>
        <v>NA</v>
      </c>
      <c r="Y89" t="str">
        <f>IF(V89="NA","NA",VLOOKUP(C89,Leonard2010!E:BF,53,FALSE)/E89)</f>
        <v>NA</v>
      </c>
      <c r="Z89">
        <f t="shared" si="9"/>
        <v>0</v>
      </c>
      <c r="AA89" t="str">
        <f>IF(X89="NA","NA",VLOOKUP(E89,Leonard2010!G:BH,53,FALSE)/G89)</f>
        <v>NA</v>
      </c>
      <c r="AB89" t="str">
        <f>IF(Y89="NA","NA",VLOOKUP(F89,Leonard2010!H:BI,53,FALSE)/H89)</f>
        <v>NA</v>
      </c>
      <c r="AC89">
        <f t="shared" si="8"/>
        <v>0.7469475939429131</v>
      </c>
    </row>
    <row r="90" spans="1:29" x14ac:dyDescent="0.2">
      <c r="A90">
        <f>VLOOKUP(C90,Leonard2010!E:CD,78,FALSE)</f>
        <v>89</v>
      </c>
      <c r="B90" s="13" t="s">
        <v>264</v>
      </c>
      <c r="C90" t="s">
        <v>292</v>
      </c>
      <c r="D90" s="13" t="s">
        <v>42</v>
      </c>
      <c r="E90">
        <v>0.5</v>
      </c>
      <c r="F90">
        <v>-13.907</v>
      </c>
      <c r="G90">
        <v>34.338999999999999</v>
      </c>
      <c r="H90">
        <v>7.1</v>
      </c>
      <c r="I90">
        <v>310</v>
      </c>
      <c r="J90">
        <v>42</v>
      </c>
      <c r="K90" t="str">
        <f>VLOOKUP(C90,Leonard2010!E:P,12,FALSE)</f>
        <v>NE</v>
      </c>
      <c r="L90">
        <f>VLOOKUP(C90,Leonard2010!E:Q,13,FALSE)</f>
        <v>0</v>
      </c>
      <c r="M90">
        <f>VLOOKUP(C90,Leonard2010!E:R,14,FALSE)</f>
        <v>0</v>
      </c>
      <c r="N90">
        <f t="shared" si="7"/>
        <v>6.4646291248575674</v>
      </c>
      <c r="O90">
        <f>VLOOKUP(B90,Leonard2010!D:CC,78,FALSE)</f>
        <v>330</v>
      </c>
      <c r="P90">
        <f>VLOOKUP(B90,FaultGeometry!B:G,6,FALSE)</f>
        <v>329</v>
      </c>
      <c r="Q90">
        <f>VLOOKUP(B90,FaultGeometry!B:L,11,FALSE)</f>
        <v>47.385490166386099</v>
      </c>
      <c r="R90">
        <f>VLOOKUP(C90,Leonard2010!E:CE,79,FALSE)</f>
        <v>0</v>
      </c>
      <c r="S90" t="str">
        <f>VLOOKUP(R90,FaultGeometry!W:X,2,FALSE)</f>
        <v>NA</v>
      </c>
      <c r="T90">
        <f>VLOOKUP(C90,Leonard2010!E:BA,44,FALSE)</f>
        <v>5.2343486265351302</v>
      </c>
      <c r="U90">
        <f>VLOOKUP(C90,Leonard2010!E:BA,45,FALSE)</f>
        <v>5.667333654214552</v>
      </c>
      <c r="V90">
        <f>VLOOKUP(C90,Leonard2010!E:BB,46,FALSE)</f>
        <v>6.1551673804875051</v>
      </c>
      <c r="W90">
        <v>2425.3699198447803</v>
      </c>
      <c r="X90">
        <v>8663.5310436168675</v>
      </c>
      <c r="Y90">
        <v>30946.524705194963</v>
      </c>
      <c r="Z90">
        <f t="shared" si="9"/>
        <v>20524640064162.691</v>
      </c>
      <c r="AA90">
        <v>2.8467473835969703E-2</v>
      </c>
      <c r="AB90">
        <v>2.0377503877987393E-2</v>
      </c>
      <c r="AC90">
        <f t="shared" si="8"/>
        <v>45.898866786488725</v>
      </c>
    </row>
    <row r="91" spans="1:29" x14ac:dyDescent="0.2">
      <c r="A91">
        <f>VLOOKUP(C91,Leonard2010!E:CD,78,FALSE)</f>
        <v>90</v>
      </c>
      <c r="B91" s="13" t="s">
        <v>0</v>
      </c>
      <c r="C91" s="13" t="s">
        <v>59</v>
      </c>
      <c r="D91" s="11" t="s">
        <v>240</v>
      </c>
      <c r="E91">
        <v>1</v>
      </c>
      <c r="F91">
        <v>-14.672000000000001</v>
      </c>
      <c r="G91">
        <v>35.177</v>
      </c>
      <c r="H91">
        <v>20.8</v>
      </c>
      <c r="I91">
        <v>354</v>
      </c>
      <c r="J91">
        <v>53</v>
      </c>
      <c r="K91" t="str">
        <f>VLOOKUP(C91,Leonard2010!E:P,12,FALSE)</f>
        <v>E</v>
      </c>
      <c r="L91">
        <f>VLOOKUP(C91,Leonard2010!E:Q,13,FALSE)</f>
        <v>0</v>
      </c>
      <c r="M91">
        <f>VLOOKUP(C91,Leonard2010!E:R,14,FALSE)</f>
        <v>0</v>
      </c>
      <c r="N91">
        <f t="shared" si="7"/>
        <v>13.235700724375937</v>
      </c>
      <c r="O91">
        <f>VLOOKUP(B91,Leonard2010!D:CC,78,FALSE)</f>
        <v>333</v>
      </c>
      <c r="P91">
        <f>VLOOKUP(B91,FaultGeometry!B:G,6,FALSE)</f>
        <v>5</v>
      </c>
      <c r="Q91">
        <f>VLOOKUP(B91,FaultGeometry!B:L,11,FALSE)</f>
        <v>32.68037804859518</v>
      </c>
      <c r="R91">
        <f>VLOOKUP(C91,Leonard2010!E:CE,79,FALSE)</f>
        <v>603</v>
      </c>
      <c r="S91">
        <f>VLOOKUP(R91,FaultGeometry!W:X,2,FALSE)</f>
        <v>41.288375307262264</v>
      </c>
      <c r="T91">
        <f>VLOOKUP(C91,Leonard2010!E:BA,44,FALSE)</f>
        <v>6.0123569369412735</v>
      </c>
      <c r="U91">
        <f>VLOOKUP(C91,Leonard2010!E:BA,45,FALSE)</f>
        <v>6.4453419646206953</v>
      </c>
      <c r="V91">
        <f>VLOOKUP(C91,Leonard2010!E:BB,46,FALSE)</f>
        <v>6.9331756908936484</v>
      </c>
      <c r="W91">
        <v>4077.5667116035693</v>
      </c>
      <c r="X91">
        <v>13789.608081481219</v>
      </c>
      <c r="Y91">
        <v>46634.011038919656</v>
      </c>
      <c r="Z91">
        <f t="shared" si="9"/>
        <v>378844532427301.56</v>
      </c>
      <c r="AA91">
        <v>4.4037806526439627E-2</v>
      </c>
      <c r="AB91">
        <v>3.1554671293048418E-2</v>
      </c>
      <c r="AC91">
        <f t="shared" si="8"/>
        <v>275.30257506701952</v>
      </c>
    </row>
    <row r="92" spans="1:29" x14ac:dyDescent="0.2">
      <c r="A92">
        <f>VLOOKUP(C92,Leonard2010!E:CD,78,FALSE)</f>
        <v>91</v>
      </c>
      <c r="B92" s="13" t="s">
        <v>0</v>
      </c>
      <c r="C92" s="13" t="s">
        <v>161</v>
      </c>
      <c r="D92" s="11" t="s">
        <v>240</v>
      </c>
      <c r="E92">
        <v>1</v>
      </c>
      <c r="F92">
        <v>-14.677</v>
      </c>
      <c r="G92">
        <v>35.161000000000001</v>
      </c>
      <c r="H92">
        <v>1.8</v>
      </c>
      <c r="I92">
        <v>71</v>
      </c>
      <c r="J92">
        <v>53</v>
      </c>
      <c r="K92" t="str">
        <f>VLOOKUP(C92,Leonard2010!E:P,12,FALSE)</f>
        <v>E</v>
      </c>
      <c r="L92">
        <f>VLOOKUP(C92,Leonard2010!E:Q,13,FALSE)</f>
        <v>0</v>
      </c>
      <c r="M92">
        <f>VLOOKUP(C92,Leonard2010!E:R,14,FALSE)</f>
        <v>0</v>
      </c>
      <c r="N92">
        <f t="shared" si="7"/>
        <v>2.5895226780469942</v>
      </c>
      <c r="O92">
        <f>VLOOKUP(B92,Leonard2010!D:CC,78,FALSE)</f>
        <v>333</v>
      </c>
      <c r="P92">
        <f>VLOOKUP(B92,FaultGeometry!B:G,6,FALSE)</f>
        <v>5</v>
      </c>
      <c r="Q92">
        <f>VLOOKUP(B92,FaultGeometry!B:L,11,FALSE)</f>
        <v>32.68037804859518</v>
      </c>
      <c r="R92">
        <f>VLOOKUP(C92,Leonard2010!E:CE,79,FALSE)</f>
        <v>603</v>
      </c>
      <c r="S92">
        <f>VLOOKUP(R92,FaultGeometry!W:X,2,FALSE)</f>
        <v>41.288375307262264</v>
      </c>
      <c r="T92" t="str">
        <f>VLOOKUP(C92,Leonard2010!E:BA,44,FALSE)</f>
        <v>NA</v>
      </c>
      <c r="U92" t="str">
        <f>VLOOKUP(C92,Leonard2010!E:BA,45,FALSE)</f>
        <v>NA</v>
      </c>
      <c r="V92" t="str">
        <f>VLOOKUP(C92,Leonard2010!E:BB,46,FALSE)</f>
        <v>NA</v>
      </c>
      <c r="W92" t="str">
        <f>IF(T92="NA","NA",VLOOKUP(C92,Leonard2010!E:BD,51,FALSE)/E92)</f>
        <v>NA</v>
      </c>
      <c r="X92" t="str">
        <f>IF(U92="NA","NA",VLOOKUP(C92,Leonard2010!E:BE,52,FALSE)/E92)</f>
        <v>NA</v>
      </c>
      <c r="Y92" t="str">
        <f>IF(V92="NA","NA",VLOOKUP(C92,Leonard2010!E:BF,53,FALSE)/E92)</f>
        <v>NA</v>
      </c>
      <c r="Z92">
        <f t="shared" si="9"/>
        <v>0</v>
      </c>
      <c r="AA92" t="str">
        <f>IF(X92="NA","NA",VLOOKUP(E92,Leonard2010!G:BH,53,FALSE)/G92)</f>
        <v>NA</v>
      </c>
      <c r="AB92" t="str">
        <f>IF(Y92="NA","NA",VLOOKUP(F92,Leonard2010!H:BI,53,FALSE)/H92)</f>
        <v>NA</v>
      </c>
      <c r="AC92">
        <f t="shared" si="8"/>
        <v>4.6611408204845901</v>
      </c>
    </row>
    <row r="93" spans="1:29" x14ac:dyDescent="0.2">
      <c r="A93">
        <f>VLOOKUP(C93,Leonard2010!E:CD,78,FALSE)</f>
        <v>92</v>
      </c>
      <c r="B93" s="13" t="s">
        <v>0</v>
      </c>
      <c r="C93" s="13" t="s">
        <v>255</v>
      </c>
      <c r="D93" s="11" t="s">
        <v>240</v>
      </c>
      <c r="E93">
        <v>1</v>
      </c>
      <c r="F93">
        <v>-14.885999999999999</v>
      </c>
      <c r="G93">
        <v>35.15</v>
      </c>
      <c r="H93">
        <v>23.2</v>
      </c>
      <c r="I93">
        <v>3</v>
      </c>
      <c r="J93">
        <v>53</v>
      </c>
      <c r="K93" t="str">
        <f>VLOOKUP(C93,Leonard2010!E:P,12,FALSE)</f>
        <v>E</v>
      </c>
      <c r="L93">
        <f>VLOOKUP(C93,Leonard2010!E:Q,13,FALSE)</f>
        <v>0</v>
      </c>
      <c r="M93">
        <f>VLOOKUP(C93,Leonard2010!E:R,14,FALSE)</f>
        <v>0</v>
      </c>
      <c r="N93">
        <f t="shared" si="7"/>
        <v>14.23519340258277</v>
      </c>
      <c r="O93">
        <f>VLOOKUP(B93,Leonard2010!D:CC,78,FALSE)</f>
        <v>333</v>
      </c>
      <c r="P93">
        <f>VLOOKUP(B93,FaultGeometry!B:G,6,FALSE)</f>
        <v>5</v>
      </c>
      <c r="Q93">
        <f>VLOOKUP(B93,FaultGeometry!B:L,11,FALSE)</f>
        <v>32.68037804859518</v>
      </c>
      <c r="R93">
        <f>VLOOKUP(C93,Leonard2010!E:CE,79,FALSE)</f>
        <v>603</v>
      </c>
      <c r="S93">
        <f>VLOOKUP(R93,FaultGeometry!W:X,2,FALSE)</f>
        <v>41.288375307262264</v>
      </c>
      <c r="T93">
        <f>VLOOKUP(C93,Leonard2010!E:BA,44,FALSE)</f>
        <v>6.0913980201548368</v>
      </c>
      <c r="U93">
        <f>VLOOKUP(C93,Leonard2010!E:BA,45,FALSE)</f>
        <v>6.5243830478342586</v>
      </c>
      <c r="V93">
        <f>VLOOKUP(C93,Leonard2010!E:BB,46,FALSE)</f>
        <v>7.0122167741072117</v>
      </c>
      <c r="W93">
        <v>4702.0246104600574</v>
      </c>
      <c r="X93">
        <v>16055.566322765744</v>
      </c>
      <c r="Y93">
        <v>54823.449747853963</v>
      </c>
      <c r="Z93">
        <f t="shared" si="9"/>
        <v>427512623346440.75</v>
      </c>
      <c r="AA93">
        <v>4.1866042451047705E-2</v>
      </c>
      <c r="AB93">
        <v>3.0497339134484339E-2</v>
      </c>
      <c r="AC93">
        <f t="shared" si="8"/>
        <v>330.25648693992025</v>
      </c>
    </row>
    <row r="94" spans="1:29" x14ac:dyDescent="0.2">
      <c r="A94">
        <f>VLOOKUP(C94,Leonard2010!E:CD,78,FALSE)</f>
        <v>93</v>
      </c>
      <c r="B94" s="13" t="s">
        <v>0</v>
      </c>
      <c r="C94" s="66" t="s">
        <v>538</v>
      </c>
      <c r="D94" s="11" t="s">
        <v>240</v>
      </c>
      <c r="E94">
        <v>1</v>
      </c>
      <c r="F94">
        <v>-15.167999999999999</v>
      </c>
      <c r="G94">
        <v>35.101999999999997</v>
      </c>
      <c r="H94">
        <v>9.9</v>
      </c>
      <c r="I94">
        <v>355</v>
      </c>
      <c r="J94">
        <v>53</v>
      </c>
      <c r="K94" t="str">
        <f>VLOOKUP(C94,Leonard2010!E:P,12,FALSE)</f>
        <v>E</v>
      </c>
      <c r="L94">
        <f>VLOOKUP(C94,Leonard2010!E:Q,13,FALSE)</f>
        <v>0</v>
      </c>
      <c r="M94">
        <f>VLOOKUP(C94,Leonard2010!E:R,14,FALSE)</f>
        <v>0</v>
      </c>
      <c r="N94">
        <f t="shared" si="7"/>
        <v>8.0685379325000994</v>
      </c>
      <c r="O94">
        <f>VLOOKUP(B94,Leonard2010!D:CC,78,FALSE)</f>
        <v>333</v>
      </c>
      <c r="P94">
        <f>VLOOKUP(B94,FaultGeometry!B:G,6,FALSE)</f>
        <v>5</v>
      </c>
      <c r="Q94">
        <f>VLOOKUP(B94,FaultGeometry!B:L,11,FALSE)</f>
        <v>32.68037804859518</v>
      </c>
      <c r="R94">
        <f>VLOOKUP(C94,Leonard2010!E:CE,79,FALSE)</f>
        <v>603</v>
      </c>
      <c r="S94">
        <f>VLOOKUP(R94,FaultGeometry!W:X,2,FALSE)</f>
        <v>41.288375307262264</v>
      </c>
      <c r="T94">
        <f>VLOOKUP(C94,Leonard2010!E:BA,44,FALSE)</f>
        <v>5.4749767029992542</v>
      </c>
      <c r="U94">
        <f>VLOOKUP(C94,Leonard2010!E:BA,45,FALSE)</f>
        <v>5.907961730678676</v>
      </c>
      <c r="V94">
        <f>VLOOKUP(C94,Leonard2010!E:BB,46,FALSE)</f>
        <v>6.3957954569516291</v>
      </c>
      <c r="W94">
        <v>2287.355182706619</v>
      </c>
      <c r="X94">
        <v>7546.5756921942584</v>
      </c>
      <c r="Y94">
        <v>24898.102886945428</v>
      </c>
      <c r="Z94">
        <f t="shared" si="9"/>
        <v>108191380824045.11</v>
      </c>
      <c r="AA94">
        <v>4.3644508561264145E-2</v>
      </c>
      <c r="AB94">
        <v>3.1323693851029413E-2</v>
      </c>
      <c r="AC94">
        <f t="shared" si="8"/>
        <v>79.878525531750981</v>
      </c>
    </row>
    <row r="95" spans="1:29" x14ac:dyDescent="0.2">
      <c r="A95">
        <f>VLOOKUP(C95,Leonard2010!E:CD,78,FALSE)</f>
        <v>94</v>
      </c>
      <c r="B95" s="13" t="s">
        <v>0</v>
      </c>
      <c r="C95" s="66" t="s">
        <v>293</v>
      </c>
      <c r="D95" s="11" t="s">
        <v>240</v>
      </c>
      <c r="E95">
        <v>1</v>
      </c>
      <c r="F95">
        <v>-15.079000000000001</v>
      </c>
      <c r="G95">
        <v>35.091999999999999</v>
      </c>
      <c r="H95">
        <v>16.2</v>
      </c>
      <c r="I95">
        <v>36</v>
      </c>
      <c r="J95">
        <v>53</v>
      </c>
      <c r="K95" t="str">
        <f>VLOOKUP(C95,Leonard2010!E:P,12,FALSE)</f>
        <v>E</v>
      </c>
      <c r="L95">
        <f>VLOOKUP(C95,Leonard2010!E:Q,13,FALSE)</f>
        <v>0</v>
      </c>
      <c r="M95">
        <f>VLOOKUP(C95,Leonard2010!E:R,14,FALSE)</f>
        <v>0</v>
      </c>
      <c r="N95">
        <f t="shared" ref="N95" si="10">MIN((((H95*1000)^(2/3)*17.5)/1000),((35-M95)/SIN(RADIANS(J95))))</f>
        <v>11.204213909143695</v>
      </c>
      <c r="O95">
        <f>VLOOKUP(B95,Leonard2010!D:CC,78,FALSE)</f>
        <v>333</v>
      </c>
      <c r="P95">
        <f>VLOOKUP(B95,FaultGeometry!B:G,6,FALSE)</f>
        <v>5</v>
      </c>
      <c r="Q95">
        <f>VLOOKUP(B95,FaultGeometry!B:L,11,FALSE)</f>
        <v>32.68037804859518</v>
      </c>
      <c r="R95">
        <f>VLOOKUP(C95,Leonard2010!E:CE,79,FALSE)</f>
        <v>603</v>
      </c>
      <c r="S95">
        <f>VLOOKUP(R95,FaultGeometry!W:X,2,FALSE)</f>
        <v>41.288375307262264</v>
      </c>
      <c r="T95">
        <f>VLOOKUP(C95,Leonard2010!E:BA,44,FALSE)</f>
        <v>5.8314430695743882</v>
      </c>
      <c r="U95">
        <f>VLOOKUP(C95,Leonard2010!E:BA,45,FALSE)</f>
        <v>6.26442809725381</v>
      </c>
      <c r="V95">
        <f>VLOOKUP(C95,Leonard2010!E:BB,46,FALSE)</f>
        <v>6.7522618235267631</v>
      </c>
      <c r="W95">
        <v>3895.833481290736</v>
      </c>
      <c r="X95">
        <v>16897.491066225572</v>
      </c>
      <c r="Y95">
        <v>73289.889237918644</v>
      </c>
      <c r="Z95">
        <f t="shared" ref="Z95" si="11">IF(U95="NA",0,E95*10^(U95*1.5+9.05)/X95)</f>
        <v>165508354300739.16</v>
      </c>
      <c r="AA95">
        <v>2.9097693814524837E-2</v>
      </c>
      <c r="AB95">
        <v>2.6169331786940201E-2</v>
      </c>
      <c r="AC95">
        <f t="shared" si="8"/>
        <v>181.50826532812783</v>
      </c>
    </row>
    <row r="96" spans="1:29" x14ac:dyDescent="0.2">
      <c r="A96">
        <f>VLOOKUP(C96,Leonard2010!E:CD,78,FALSE)</f>
        <v>95</v>
      </c>
      <c r="B96" s="13" t="s">
        <v>0</v>
      </c>
      <c r="C96" s="13" t="s">
        <v>254</v>
      </c>
      <c r="D96" s="11" t="s">
        <v>240</v>
      </c>
      <c r="E96">
        <v>1</v>
      </c>
      <c r="F96">
        <v>-14.96</v>
      </c>
      <c r="G96">
        <v>35.180999999999997</v>
      </c>
      <c r="H96">
        <v>8.8000000000000007</v>
      </c>
      <c r="I96">
        <v>339</v>
      </c>
      <c r="J96">
        <v>53</v>
      </c>
      <c r="K96" t="str">
        <f>VLOOKUP(C96,Leonard2010!E:P,12,FALSE)</f>
        <v>E</v>
      </c>
      <c r="L96">
        <f>VLOOKUP(C96,Leonard2010!E:Q,13,FALSE)</f>
        <v>0</v>
      </c>
      <c r="M96">
        <f>VLOOKUP(C96,Leonard2010!E:R,14,FALSE)</f>
        <v>0</v>
      </c>
      <c r="N96">
        <f t="shared" si="7"/>
        <v>7.4592156573662773</v>
      </c>
      <c r="O96">
        <f>VLOOKUP(B96,Leonard2010!D:CC,78,FALSE)</f>
        <v>333</v>
      </c>
      <c r="P96">
        <f>VLOOKUP(B96,FaultGeometry!B:G,6,FALSE)</f>
        <v>5</v>
      </c>
      <c r="Q96">
        <f>VLOOKUP(B96,FaultGeometry!B:L,11,FALSE)</f>
        <v>32.68037804859518</v>
      </c>
      <c r="R96">
        <f>VLOOKUP(C96,Leonard2010!E:CE,79,FALSE)</f>
        <v>603</v>
      </c>
      <c r="S96">
        <f>VLOOKUP(R96,FaultGeometry!W:X,2,FALSE)</f>
        <v>41.288375307262264</v>
      </c>
      <c r="T96">
        <f>VLOOKUP(C96,Leonard2010!E:BA,44,FALSE)</f>
        <v>5.3897224989202854</v>
      </c>
      <c r="U96">
        <f>VLOOKUP(C96,Leonard2010!E:BA,45,FALSE)</f>
        <v>5.8227075265997073</v>
      </c>
      <c r="V96">
        <f>VLOOKUP(C96,Leonard2010!E:BB,46,FALSE)</f>
        <v>6.3105412528726603</v>
      </c>
      <c r="W96">
        <v>2006.5032627886455</v>
      </c>
      <c r="X96">
        <v>6624.6292907231145</v>
      </c>
      <c r="Y96">
        <v>21871.737790505293</v>
      </c>
      <c r="Z96">
        <f t="shared" si="9"/>
        <v>91812055259582.328</v>
      </c>
      <c r="AA96">
        <v>4.4824856410477926E-2</v>
      </c>
      <c r="AB96">
        <v>3.1452663110961294E-2</v>
      </c>
      <c r="AC96">
        <f t="shared" si="8"/>
        <v>65.641097784823245</v>
      </c>
    </row>
    <row r="97" spans="1:29" x14ac:dyDescent="0.2">
      <c r="A97">
        <f>VLOOKUP(C97,Leonard2010!E:CD,78,FALSE)</f>
        <v>96</v>
      </c>
      <c r="B97" s="13" t="s">
        <v>32</v>
      </c>
      <c r="C97" s="13" t="s">
        <v>195</v>
      </c>
      <c r="D97" s="13" t="s">
        <v>42</v>
      </c>
      <c r="E97">
        <v>1</v>
      </c>
      <c r="F97">
        <v>-14.939</v>
      </c>
      <c r="G97">
        <v>35.475999999999999</v>
      </c>
      <c r="H97">
        <v>27.6</v>
      </c>
      <c r="I97">
        <v>211</v>
      </c>
      <c r="J97">
        <v>53</v>
      </c>
      <c r="K97" t="str">
        <f>VLOOKUP(C97,Leonard2010!E:P,12,FALSE)</f>
        <v>W</v>
      </c>
      <c r="L97">
        <f>VLOOKUP(C97,Leonard2010!E:Q,13,FALSE)</f>
        <v>0</v>
      </c>
      <c r="M97">
        <f>VLOOKUP(C97,Leonard2010!E:R,14,FALSE)</f>
        <v>0</v>
      </c>
      <c r="N97">
        <f t="shared" si="7"/>
        <v>15.982477562057428</v>
      </c>
      <c r="O97">
        <f>VLOOKUP(B97,Leonard2010!D:CC,78,FALSE)</f>
        <v>334</v>
      </c>
      <c r="P97">
        <f>VLOOKUP(B97,FaultGeometry!B:G,6,FALSE)</f>
        <v>177</v>
      </c>
      <c r="Q97">
        <f>VLOOKUP(B97,FaultGeometry!B:L,11,FALSE)</f>
        <v>43.352428744085564</v>
      </c>
      <c r="R97">
        <f>VLOOKUP(C97,Leonard2010!E:CE,79,FALSE)</f>
        <v>0</v>
      </c>
      <c r="S97" t="str">
        <f>VLOOKUP(R97,FaultGeometry!W:X,2,FALSE)</f>
        <v>NA</v>
      </c>
      <c r="T97">
        <f>VLOOKUP(C97,Leonard2010!E:BA,44,FALSE)</f>
        <v>6.217099848778699</v>
      </c>
      <c r="U97">
        <f>VLOOKUP(C97,Leonard2010!E:BA,45,FALSE)</f>
        <v>6.6500848764581209</v>
      </c>
      <c r="V97">
        <f>VLOOKUP(C97,Leonard2010!E:BB,46,FALSE)</f>
        <v>7.1379186027310739</v>
      </c>
      <c r="W97">
        <v>732.74671344750334</v>
      </c>
      <c r="X97">
        <v>2674.2979837396101</v>
      </c>
      <c r="Y97">
        <v>9760.3572620406394</v>
      </c>
      <c r="Z97">
        <f t="shared" si="9"/>
        <v>3962027793618359.5</v>
      </c>
      <c r="AA97">
        <v>0.28822246847333766</v>
      </c>
      <c r="AB97">
        <v>0.18747688607982574</v>
      </c>
      <c r="AC97">
        <f t="shared" si="8"/>
        <v>441.11638071278503</v>
      </c>
    </row>
    <row r="98" spans="1:29" x14ac:dyDescent="0.2">
      <c r="A98">
        <f>VLOOKUP(C98,Leonard2010!E:CD,78,FALSE)</f>
        <v>97</v>
      </c>
      <c r="B98" s="13" t="s">
        <v>32</v>
      </c>
      <c r="C98" s="13" t="s">
        <v>196</v>
      </c>
      <c r="D98" s="13" t="s">
        <v>42</v>
      </c>
      <c r="E98">
        <v>1</v>
      </c>
      <c r="F98">
        <v>-14.683999999999999</v>
      </c>
      <c r="G98">
        <v>35.433999999999997</v>
      </c>
      <c r="H98">
        <v>28.5</v>
      </c>
      <c r="I98">
        <v>171</v>
      </c>
      <c r="J98">
        <v>53</v>
      </c>
      <c r="K98" t="str">
        <f>VLOOKUP(C98,Leonard2010!E:P,12,FALSE)</f>
        <v>W</v>
      </c>
      <c r="L98">
        <f>VLOOKUP(C98,Leonard2010!E:Q,13,FALSE)</f>
        <v>0</v>
      </c>
      <c r="M98">
        <f>VLOOKUP(C98,Leonard2010!E:R,14,FALSE)</f>
        <v>0</v>
      </c>
      <c r="N98">
        <f t="shared" si="7"/>
        <v>16.328061294517298</v>
      </c>
      <c r="O98">
        <f>VLOOKUP(B98,Leonard2010!D:CC,78,FALSE)</f>
        <v>334</v>
      </c>
      <c r="P98">
        <f>VLOOKUP(B98,FaultGeometry!B:G,6,FALSE)</f>
        <v>177</v>
      </c>
      <c r="Q98">
        <f>VLOOKUP(B98,FaultGeometry!B:L,11,FALSE)</f>
        <v>43.352428744085564</v>
      </c>
      <c r="R98">
        <f>VLOOKUP(C98,Leonard2010!E:CE,79,FALSE)</f>
        <v>0</v>
      </c>
      <c r="S98" t="str">
        <f>VLOOKUP(R98,FaultGeometry!W:X,2,FALSE)</f>
        <v>NA</v>
      </c>
      <c r="T98">
        <f>VLOOKUP(C98,Leonard2010!E:BA,44,FALSE)</f>
        <v>6.2403261453508536</v>
      </c>
      <c r="U98">
        <f>VLOOKUP(C98,Leonard2010!E:BA,45,FALSE)</f>
        <v>6.6733111730302754</v>
      </c>
      <c r="V98">
        <f>VLOOKUP(C98,Leonard2010!E:BB,46,FALSE)</f>
        <v>7.1611448993032285</v>
      </c>
      <c r="W98">
        <v>688.73322862036832</v>
      </c>
      <c r="X98">
        <v>1912.6851269993647</v>
      </c>
      <c r="Y98">
        <v>5311.7291906661821</v>
      </c>
      <c r="Z98">
        <f t="shared" si="9"/>
        <v>6002377130204287</v>
      </c>
      <c r="AA98">
        <v>0.41202056531954939</v>
      </c>
      <c r="AB98">
        <v>0.19322694639508828</v>
      </c>
      <c r="AC98">
        <f t="shared" si="8"/>
        <v>465.34974689374297</v>
      </c>
    </row>
    <row r="99" spans="1:29" x14ac:dyDescent="0.2">
      <c r="A99">
        <f>VLOOKUP(C99,Leonard2010!E:CD,78,FALSE)</f>
        <v>98</v>
      </c>
      <c r="B99" s="13" t="s">
        <v>32</v>
      </c>
      <c r="C99" s="13" t="s">
        <v>158</v>
      </c>
      <c r="D99" s="13" t="s">
        <v>42</v>
      </c>
      <c r="E99">
        <v>1</v>
      </c>
      <c r="F99">
        <v>-14.680999999999999</v>
      </c>
      <c r="G99">
        <v>35.442999999999998</v>
      </c>
      <c r="H99">
        <v>1.1000000000000001</v>
      </c>
      <c r="I99">
        <v>247</v>
      </c>
      <c r="J99">
        <v>53</v>
      </c>
      <c r="K99" t="str">
        <f>VLOOKUP(C99,Leonard2010!E:P,12,FALSE)</f>
        <v>NW</v>
      </c>
      <c r="L99">
        <f>VLOOKUP(C99,Leonard2010!E:Q,13,FALSE)</f>
        <v>0</v>
      </c>
      <c r="M99">
        <f>VLOOKUP(C99,Leonard2010!E:R,14,FALSE)</f>
        <v>0</v>
      </c>
      <c r="N99">
        <f t="shared" si="7"/>
        <v>1.8648039143415671</v>
      </c>
      <c r="O99">
        <f>VLOOKUP(B99,Leonard2010!D:CC,78,FALSE)</f>
        <v>334</v>
      </c>
      <c r="P99">
        <f>VLOOKUP(B99,FaultGeometry!B:G,6,FALSE)</f>
        <v>177</v>
      </c>
      <c r="Q99">
        <f>VLOOKUP(B99,FaultGeometry!B:L,11,FALSE)</f>
        <v>43.352428744085564</v>
      </c>
      <c r="R99">
        <f>VLOOKUP(C99,Leonard2010!E:CE,79,FALSE)</f>
        <v>0</v>
      </c>
      <c r="S99" t="str">
        <f>VLOOKUP(R99,FaultGeometry!W:X,2,FALSE)</f>
        <v>NA</v>
      </c>
      <c r="T99" t="str">
        <f>VLOOKUP(C99,Leonard2010!E:BA,44,FALSE)</f>
        <v>NA</v>
      </c>
      <c r="U99" t="str">
        <f>VLOOKUP(C99,Leonard2010!E:BA,45,FALSE)</f>
        <v>NA</v>
      </c>
      <c r="V99" t="str">
        <f>VLOOKUP(C99,Leonard2010!E:BB,46,FALSE)</f>
        <v>NA</v>
      </c>
      <c r="W99" t="str">
        <f>IF(T99="NA","NA",VLOOKUP(C99,Leonard2010!E:BD,51,FALSE)/E99)</f>
        <v>NA</v>
      </c>
      <c r="X99" t="str">
        <f>IF(U99="NA","NA",VLOOKUP(C99,Leonard2010!E:BE,52,FALSE)/E99)</f>
        <v>NA</v>
      </c>
      <c r="Y99" t="str">
        <f>IF(V99="NA","NA",VLOOKUP(C99,Leonard2010!E:BF,53,FALSE)/E99)</f>
        <v>NA</v>
      </c>
      <c r="Z99">
        <f t="shared" si="9"/>
        <v>0</v>
      </c>
      <c r="AA99" t="str">
        <f>IF(X99="NA","NA",VLOOKUP(E99,Leonard2010!G:BH,53,FALSE)/G99)</f>
        <v>NA</v>
      </c>
      <c r="AB99" t="str">
        <f>IF(Y99="NA","NA",VLOOKUP(F99,Leonard2010!H:BI,53,FALSE)/H99)</f>
        <v>NA</v>
      </c>
      <c r="AC99">
        <f t="shared" si="8"/>
        <v>2.0512843057757242</v>
      </c>
    </row>
    <row r="100" spans="1:29" x14ac:dyDescent="0.2">
      <c r="A100">
        <f>VLOOKUP(C100,Leonard2010!E:CD,78,FALSE)</f>
        <v>99</v>
      </c>
      <c r="B100" s="13" t="s">
        <v>32</v>
      </c>
      <c r="C100" s="13" t="s">
        <v>60</v>
      </c>
      <c r="D100" s="13" t="s">
        <v>42</v>
      </c>
      <c r="E100">
        <v>1</v>
      </c>
      <c r="F100">
        <v>-14.545</v>
      </c>
      <c r="G100">
        <v>35.380000000000003</v>
      </c>
      <c r="H100">
        <v>16.399999999999999</v>
      </c>
      <c r="I100">
        <v>156</v>
      </c>
      <c r="J100">
        <v>53</v>
      </c>
      <c r="K100" t="str">
        <f>VLOOKUP(C100,Leonard2010!E:P,12,FALSE)</f>
        <v>W</v>
      </c>
      <c r="L100">
        <f>VLOOKUP(C100,Leonard2010!E:Q,13,FALSE)</f>
        <v>0</v>
      </c>
      <c r="M100">
        <f>VLOOKUP(C100,Leonard2010!E:R,14,FALSE)</f>
        <v>0</v>
      </c>
      <c r="N100">
        <f t="shared" si="7"/>
        <v>11.296240950820572</v>
      </c>
      <c r="O100">
        <f>VLOOKUP(B100,Leonard2010!D:CC,78,FALSE)</f>
        <v>334</v>
      </c>
      <c r="P100">
        <f>VLOOKUP(B100,FaultGeometry!B:G,6,FALSE)</f>
        <v>177</v>
      </c>
      <c r="Q100">
        <f>VLOOKUP(B100,FaultGeometry!B:L,11,FALSE)</f>
        <v>43.352428744085564</v>
      </c>
      <c r="R100">
        <f>VLOOKUP(C100,Leonard2010!E:CE,79,FALSE)</f>
        <v>0</v>
      </c>
      <c r="S100" t="str">
        <f>VLOOKUP(R100,FaultGeometry!W:X,2,FALSE)</f>
        <v>NA</v>
      </c>
      <c r="T100">
        <f>VLOOKUP(C100,Leonard2010!E:BA,44,FALSE)</f>
        <v>5.8403244587495022</v>
      </c>
      <c r="U100">
        <f>VLOOKUP(C100,Leonard2010!E:BA,45,FALSE)</f>
        <v>6.2733094864289241</v>
      </c>
      <c r="V100">
        <f>VLOOKUP(C100,Leonard2010!E:BB,46,FALSE)</f>
        <v>6.7611432127018771</v>
      </c>
      <c r="W100">
        <v>439.35114798797099</v>
      </c>
      <c r="X100">
        <v>1193.8900156771467</v>
      </c>
      <c r="Y100">
        <v>3244.2691365691007</v>
      </c>
      <c r="Z100">
        <f t="shared" si="9"/>
        <v>2415460330377539.5</v>
      </c>
      <c r="AA100">
        <v>0.41593070398552684</v>
      </c>
      <c r="AB100">
        <v>0.19306772361662938</v>
      </c>
      <c r="AC100">
        <f t="shared" si="8"/>
        <v>185.25835159345735</v>
      </c>
    </row>
    <row r="101" spans="1:29" x14ac:dyDescent="0.2">
      <c r="A101">
        <f>VLOOKUP(C101,Leonard2010!E:CD,78,FALSE)</f>
        <v>100</v>
      </c>
      <c r="B101" s="13" t="s">
        <v>32</v>
      </c>
      <c r="C101" s="13" t="s">
        <v>159</v>
      </c>
      <c r="D101" s="13" t="s">
        <v>42</v>
      </c>
      <c r="E101">
        <v>1</v>
      </c>
      <c r="F101">
        <v>-14.535</v>
      </c>
      <c r="G101">
        <v>35.404000000000003</v>
      </c>
      <c r="H101">
        <v>2.8</v>
      </c>
      <c r="I101">
        <v>246</v>
      </c>
      <c r="J101">
        <v>53</v>
      </c>
      <c r="K101" t="str">
        <f>VLOOKUP(C101,Leonard2010!E:P,12,FALSE)</f>
        <v>NW</v>
      </c>
      <c r="L101">
        <f>VLOOKUP(C101,Leonard2010!E:Q,13,FALSE)</f>
        <v>0</v>
      </c>
      <c r="M101">
        <f>VLOOKUP(C101,Leonard2010!E:R,14,FALSE)</f>
        <v>0</v>
      </c>
      <c r="N101">
        <f t="shared" si="7"/>
        <v>3.4765093593274399</v>
      </c>
      <c r="O101">
        <f>VLOOKUP(B101,Leonard2010!D:CC,78,FALSE)</f>
        <v>334</v>
      </c>
      <c r="P101">
        <f>VLOOKUP(B101,FaultGeometry!B:G,6,FALSE)</f>
        <v>177</v>
      </c>
      <c r="Q101">
        <f>VLOOKUP(B101,FaultGeometry!B:L,11,FALSE)</f>
        <v>43.352428744085564</v>
      </c>
      <c r="R101">
        <f>VLOOKUP(C101,Leonard2010!E:CE,79,FALSE)</f>
        <v>0</v>
      </c>
      <c r="S101" t="str">
        <f>VLOOKUP(R101,FaultGeometry!W:X,2,FALSE)</f>
        <v>NA</v>
      </c>
      <c r="T101" t="str">
        <f>VLOOKUP(C101,Leonard2010!E:BA,44,FALSE)</f>
        <v>NA</v>
      </c>
      <c r="U101" t="str">
        <f>VLOOKUP(C101,Leonard2010!E:BA,45,FALSE)</f>
        <v>NA</v>
      </c>
      <c r="V101" t="str">
        <f>VLOOKUP(C101,Leonard2010!E:BB,46,FALSE)</f>
        <v>NA</v>
      </c>
      <c r="W101" t="str">
        <f>IF(T101="NA","NA",VLOOKUP(C101,Leonard2010!E:BD,51,FALSE)/E101)</f>
        <v>NA</v>
      </c>
      <c r="X101" t="str">
        <f>IF(U101="NA","NA",VLOOKUP(C101,Leonard2010!E:BE,52,FALSE)/E101)</f>
        <v>NA</v>
      </c>
      <c r="Y101" t="str">
        <f>IF(V101="NA","NA",VLOOKUP(C101,Leonard2010!E:BF,53,FALSE)/E101)</f>
        <v>NA</v>
      </c>
      <c r="Z101">
        <f t="shared" si="9"/>
        <v>0</v>
      </c>
      <c r="AA101" t="str">
        <f>IF(X101="NA","NA",VLOOKUP(E101,Leonard2010!G:BH,53,FALSE)/G101)</f>
        <v>NA</v>
      </c>
      <c r="AB101" t="str">
        <f>IF(Y101="NA","NA",VLOOKUP(F101,Leonard2010!H:BI,53,FALSE)/H101)</f>
        <v>NA</v>
      </c>
      <c r="AC101">
        <f t="shared" si="8"/>
        <v>9.7342262061168316</v>
      </c>
    </row>
    <row r="102" spans="1:29" x14ac:dyDescent="0.2">
      <c r="A102">
        <f>VLOOKUP(C102,Leonard2010!E:CD,78,FALSE)</f>
        <v>101</v>
      </c>
      <c r="B102" s="13" t="s">
        <v>32</v>
      </c>
      <c r="C102" s="13" t="s">
        <v>160</v>
      </c>
      <c r="D102" s="13" t="s">
        <v>42</v>
      </c>
      <c r="E102">
        <v>1</v>
      </c>
      <c r="F102">
        <v>-14.404</v>
      </c>
      <c r="G102">
        <v>35.335999999999999</v>
      </c>
      <c r="H102">
        <v>3.6</v>
      </c>
      <c r="I102">
        <v>146</v>
      </c>
      <c r="J102">
        <v>53</v>
      </c>
      <c r="K102" t="str">
        <f>VLOOKUP(C102,Leonard2010!E:P,12,FALSE)</f>
        <v>W</v>
      </c>
      <c r="L102">
        <f>VLOOKUP(C102,Leonard2010!E:Q,13,FALSE)</f>
        <v>0</v>
      </c>
      <c r="M102">
        <f>VLOOKUP(C102,Leonard2010!E:R,14,FALSE)</f>
        <v>0</v>
      </c>
      <c r="N102">
        <f t="shared" si="7"/>
        <v>4.110611023227305</v>
      </c>
      <c r="O102">
        <f>VLOOKUP(B102,Leonard2010!D:CC,78,FALSE)</f>
        <v>334</v>
      </c>
      <c r="P102">
        <f>VLOOKUP(B102,FaultGeometry!B:G,6,FALSE)</f>
        <v>177</v>
      </c>
      <c r="Q102">
        <f>VLOOKUP(B102,FaultGeometry!B:L,11,FALSE)</f>
        <v>43.352428744085564</v>
      </c>
      <c r="R102">
        <f>VLOOKUP(C102,Leonard2010!E:CE,79,FALSE)</f>
        <v>0</v>
      </c>
      <c r="S102" t="str">
        <f>VLOOKUP(R102,FaultGeometry!W:X,2,FALSE)</f>
        <v>NA</v>
      </c>
      <c r="T102" t="str">
        <f>VLOOKUP(C102,Leonard2010!E:BA,44,FALSE)</f>
        <v>NA</v>
      </c>
      <c r="U102" t="str">
        <f>VLOOKUP(C102,Leonard2010!E:BA,45,FALSE)</f>
        <v>NA</v>
      </c>
      <c r="V102" t="str">
        <f>VLOOKUP(C102,Leonard2010!E:BB,46,FALSE)</f>
        <v>NA</v>
      </c>
      <c r="W102" t="str">
        <f>IF(T102="NA","NA",VLOOKUP(C102,Leonard2010!E:BD,51,FALSE)/E102)</f>
        <v>NA</v>
      </c>
      <c r="X102" t="str">
        <f>IF(U102="NA","NA",VLOOKUP(C102,Leonard2010!E:BE,52,FALSE)/E102)</f>
        <v>NA</v>
      </c>
      <c r="Y102" t="str">
        <f>IF(V102="NA","NA",VLOOKUP(C102,Leonard2010!E:BF,53,FALSE)/E102)</f>
        <v>NA</v>
      </c>
      <c r="Z102">
        <f t="shared" si="9"/>
        <v>0</v>
      </c>
      <c r="AA102" t="str">
        <f>IF(X102="NA","NA",VLOOKUP(E102,Leonard2010!G:BH,53,FALSE)/G102)</f>
        <v>NA</v>
      </c>
      <c r="AB102" t="str">
        <f>IF(Y102="NA","NA",VLOOKUP(F102,Leonard2010!H:BI,53,FALSE)/H102)</f>
        <v>NA</v>
      </c>
      <c r="AC102">
        <f t="shared" si="8"/>
        <v>14.798199683618298</v>
      </c>
    </row>
    <row r="103" spans="1:29" x14ac:dyDescent="0.2">
      <c r="A103">
        <f>VLOOKUP(C103,Leonard2010!E:CD,78,FALSE)</f>
        <v>102</v>
      </c>
      <c r="B103" s="13" t="s">
        <v>32</v>
      </c>
      <c r="C103" s="13" t="s">
        <v>61</v>
      </c>
      <c r="D103" s="13" t="s">
        <v>42</v>
      </c>
      <c r="E103">
        <v>1</v>
      </c>
      <c r="F103">
        <v>-14.430999999999999</v>
      </c>
      <c r="G103">
        <v>35.354999999999997</v>
      </c>
      <c r="H103">
        <v>12.7</v>
      </c>
      <c r="I103">
        <v>156</v>
      </c>
      <c r="J103">
        <v>53</v>
      </c>
      <c r="K103" t="str">
        <f>VLOOKUP(C103,Leonard2010!E:P,12,FALSE)</f>
        <v>W</v>
      </c>
      <c r="L103">
        <f>VLOOKUP(C103,Leonard2010!E:Q,13,FALSE)</f>
        <v>0</v>
      </c>
      <c r="M103">
        <f>VLOOKUP(C103,Leonard2010!E:R,14,FALSE)</f>
        <v>0</v>
      </c>
      <c r="N103">
        <f t="shared" si="7"/>
        <v>9.5259258359311829</v>
      </c>
      <c r="O103">
        <f>VLOOKUP(B103,Leonard2010!D:CC,78,FALSE)</f>
        <v>334</v>
      </c>
      <c r="P103">
        <f>VLOOKUP(B103,FaultGeometry!B:G,6,FALSE)</f>
        <v>177</v>
      </c>
      <c r="Q103">
        <f>VLOOKUP(B103,FaultGeometry!B:L,11,FALSE)</f>
        <v>43.352428744085564</v>
      </c>
      <c r="R103">
        <f>VLOOKUP(C103,Leonard2010!E:CE,79,FALSE)</f>
        <v>0</v>
      </c>
      <c r="S103" t="str">
        <f>VLOOKUP(R103,FaultGeometry!W:X,2,FALSE)</f>
        <v>NA</v>
      </c>
      <c r="T103">
        <f>VLOOKUP(C103,Leonard2010!E:BA,44,FALSE)</f>
        <v>5.6552575802632674</v>
      </c>
      <c r="U103">
        <f>VLOOKUP(C103,Leonard2010!E:BA,45,FALSE)</f>
        <v>6.0882426079426892</v>
      </c>
      <c r="V103">
        <f>VLOOKUP(C103,Leonard2010!E:BB,46,FALSE)</f>
        <v>6.5760763342156423</v>
      </c>
      <c r="W103">
        <v>360.82524331276255</v>
      </c>
      <c r="X103">
        <v>982.84991163864288</v>
      </c>
      <c r="Y103">
        <v>2677.1795119965223</v>
      </c>
      <c r="Z103">
        <f t="shared" si="9"/>
        <v>1548376990689169.8</v>
      </c>
      <c r="AA103">
        <v>0.4151943695818423</v>
      </c>
      <c r="AB103">
        <v>0.19240461701450678</v>
      </c>
      <c r="AC103">
        <f t="shared" si="8"/>
        <v>120.97925811632602</v>
      </c>
    </row>
    <row r="104" spans="1:29" x14ac:dyDescent="0.2">
      <c r="A104">
        <f>VLOOKUP(C104,Leonard2010!E:CD,78,FALSE)</f>
        <v>103</v>
      </c>
      <c r="B104" s="13" t="s">
        <v>32</v>
      </c>
      <c r="C104" s="13" t="s">
        <v>62</v>
      </c>
      <c r="D104" s="13" t="s">
        <v>42</v>
      </c>
      <c r="E104">
        <v>1</v>
      </c>
      <c r="F104">
        <v>-14.34</v>
      </c>
      <c r="G104">
        <v>35.29</v>
      </c>
      <c r="H104">
        <v>8.6999999999999993</v>
      </c>
      <c r="I104">
        <v>146</v>
      </c>
      <c r="J104">
        <v>53</v>
      </c>
      <c r="K104" t="str">
        <f>VLOOKUP(C104,Leonard2010!E:P,12,FALSE)</f>
        <v>W</v>
      </c>
      <c r="L104">
        <f>VLOOKUP(C104,Leonard2010!E:Q,13,FALSE)</f>
        <v>0</v>
      </c>
      <c r="M104">
        <f>VLOOKUP(C104,Leonard2010!E:R,14,FALSE)</f>
        <v>0</v>
      </c>
      <c r="N104">
        <f t="shared" si="7"/>
        <v>7.4025988786819097</v>
      </c>
      <c r="O104">
        <f>VLOOKUP(B104,Leonard2010!D:CC,78,FALSE)</f>
        <v>334</v>
      </c>
      <c r="P104">
        <f>VLOOKUP(B104,FaultGeometry!B:G,6,FALSE)</f>
        <v>177</v>
      </c>
      <c r="Q104">
        <f>VLOOKUP(B104,FaultGeometry!B:L,11,FALSE)</f>
        <v>43.352428744085564</v>
      </c>
      <c r="R104">
        <f>VLOOKUP(C104,Leonard2010!E:CE,79,FALSE)</f>
        <v>0</v>
      </c>
      <c r="S104" t="str">
        <f>VLOOKUP(R104,FaultGeometry!W:X,2,FALSE)</f>
        <v>NA</v>
      </c>
      <c r="T104">
        <f>VLOOKUP(C104,Leonard2010!E:BA,44,FALSE)</f>
        <v>5.3814501330343676</v>
      </c>
      <c r="U104">
        <f>VLOOKUP(C104,Leonard2010!E:BA,45,FALSE)</f>
        <v>5.8144351607137894</v>
      </c>
      <c r="V104">
        <f>VLOOKUP(C104,Leonard2010!E:BB,46,FALSE)</f>
        <v>6.3022688869867425</v>
      </c>
      <c r="W104">
        <v>261.92139304529258</v>
      </c>
      <c r="X104">
        <v>738.61700954354933</v>
      </c>
      <c r="Y104">
        <v>2082.8962477788746</v>
      </c>
      <c r="Z104">
        <f t="shared" si="9"/>
        <v>800264287059167.38</v>
      </c>
      <c r="AA104">
        <v>0.40213230057463772</v>
      </c>
      <c r="AB104">
        <v>0.19440871020954473</v>
      </c>
      <c r="AC104">
        <f t="shared" si="8"/>
        <v>64.40261024453261</v>
      </c>
    </row>
    <row r="105" spans="1:29" x14ac:dyDescent="0.2">
      <c r="A105">
        <f>VLOOKUP(C105,Leonard2010!E:CD,78,FALSE)</f>
        <v>104</v>
      </c>
      <c r="B105" s="13" t="s">
        <v>32</v>
      </c>
      <c r="C105" s="13" t="s">
        <v>63</v>
      </c>
      <c r="D105" s="13" t="s">
        <v>42</v>
      </c>
      <c r="E105">
        <v>1</v>
      </c>
      <c r="F105">
        <v>-14.141999999999999</v>
      </c>
      <c r="G105">
        <v>35.274999999999999</v>
      </c>
      <c r="H105">
        <v>21.9</v>
      </c>
      <c r="I105">
        <v>176</v>
      </c>
      <c r="J105">
        <v>53</v>
      </c>
      <c r="K105" t="str">
        <f>VLOOKUP(C105,Leonard2010!E:P,12,FALSE)</f>
        <v>W</v>
      </c>
      <c r="L105">
        <f>VLOOKUP(C105,Leonard2010!E:Q,13,FALSE)</f>
        <v>0</v>
      </c>
      <c r="M105">
        <f>VLOOKUP(C105,Leonard2010!E:R,14,FALSE)</f>
        <v>0</v>
      </c>
      <c r="N105">
        <f t="shared" si="7"/>
        <v>13.698324770298328</v>
      </c>
      <c r="O105">
        <f>VLOOKUP(B105,Leonard2010!D:CC,78,FALSE)</f>
        <v>334</v>
      </c>
      <c r="P105">
        <f>VLOOKUP(B105,FaultGeometry!B:G,6,FALSE)</f>
        <v>177</v>
      </c>
      <c r="Q105">
        <f>VLOOKUP(B105,FaultGeometry!B:L,11,FALSE)</f>
        <v>43.352428744085564</v>
      </c>
      <c r="R105">
        <f>VLOOKUP(C105,Leonard2010!E:CE,79,FALSE)</f>
        <v>0</v>
      </c>
      <c r="S105" t="str">
        <f>VLOOKUP(R105,FaultGeometry!W:X,2,FALSE)</f>
        <v>NA</v>
      </c>
      <c r="T105">
        <f>VLOOKUP(C105,Leonard2010!E:BA,44,FALSE)</f>
        <v>6.0496582367368674</v>
      </c>
      <c r="U105">
        <f>VLOOKUP(C105,Leonard2010!E:BA,45,FALSE)</f>
        <v>6.4826432644162892</v>
      </c>
      <c r="V105">
        <f>VLOOKUP(C105,Leonard2010!E:BB,46,FALSE)</f>
        <v>6.9704769906892423</v>
      </c>
      <c r="W105">
        <v>562.62475840708521</v>
      </c>
      <c r="X105">
        <v>1547.2630970992873</v>
      </c>
      <c r="Y105">
        <v>4255.0973021935406</v>
      </c>
      <c r="Z105">
        <f t="shared" si="9"/>
        <v>3840614604727782</v>
      </c>
      <c r="AA105">
        <v>0.4070287892547787</v>
      </c>
      <c r="AB105">
        <v>0.19383211290859687</v>
      </c>
      <c r="AC105">
        <f t="shared" si="8"/>
        <v>299.99331246953335</v>
      </c>
    </row>
    <row r="106" spans="1:29" x14ac:dyDescent="0.2">
      <c r="A106">
        <f>VLOOKUP(C106,Leonard2010!E:CD,78,FALSE)</f>
        <v>105</v>
      </c>
      <c r="B106" s="52" t="s">
        <v>267</v>
      </c>
      <c r="C106" s="50" t="s">
        <v>394</v>
      </c>
      <c r="D106" s="52" t="s">
        <v>42</v>
      </c>
      <c r="E106">
        <v>0.5</v>
      </c>
      <c r="F106">
        <v>-13.231999999999999</v>
      </c>
      <c r="G106">
        <v>34.877000000000002</v>
      </c>
      <c r="H106">
        <v>42.3</v>
      </c>
      <c r="I106">
        <v>141</v>
      </c>
      <c r="J106">
        <v>53</v>
      </c>
      <c r="K106" t="str">
        <f>VLOOKUP(C106,Leonard2010!E:P,12,FALSE)</f>
        <v>SW</v>
      </c>
      <c r="L106">
        <f>VLOOKUP(C106,Leonard2010!E:Q,13,FALSE)</f>
        <v>0</v>
      </c>
      <c r="M106">
        <f>VLOOKUP(C106,Leonard2010!E:R,14,FALSE)</f>
        <v>0</v>
      </c>
      <c r="N106">
        <f t="shared" si="7"/>
        <v>21.245402350191615</v>
      </c>
      <c r="O106">
        <f>VLOOKUP(B106,Leonard2010!D:CC,78,FALSE)</f>
        <v>337</v>
      </c>
      <c r="P106">
        <f>VLOOKUP(B106,FaultGeometry!B:G,6,FALSE)</f>
        <v>159</v>
      </c>
      <c r="Q106">
        <f>VLOOKUP(B106,FaultGeometry!B:L,11,FALSE)</f>
        <v>34.228047052288524</v>
      </c>
      <c r="R106">
        <f>VLOOKUP(C106,Leonard2010!E:CE,79,FALSE)</f>
        <v>0</v>
      </c>
      <c r="S106" t="str">
        <f>VLOOKUP(R106,FaultGeometry!W:X,2,FALSE)</f>
        <v>NA</v>
      </c>
      <c r="T106">
        <f>VLOOKUP(C106,Leonard2010!E:BA,44,FALSE)</f>
        <v>6.5261519909617407</v>
      </c>
      <c r="U106">
        <f>VLOOKUP(C106,Leonard2010!E:BA,45,FALSE)</f>
        <v>6.9591370186411625</v>
      </c>
      <c r="V106">
        <f>VLOOKUP(C106,Leonard2010!E:BB,46,FALSE)</f>
        <v>7.4469707449141156</v>
      </c>
      <c r="W106">
        <v>822.8219598462772</v>
      </c>
      <c r="X106">
        <v>2268.1473287388467</v>
      </c>
      <c r="Y106">
        <v>6252.2545045179395</v>
      </c>
      <c r="Z106">
        <f t="shared" si="9"/>
        <v>6792103126819118</v>
      </c>
      <c r="AA106">
        <v>0.48691182952196194</v>
      </c>
      <c r="AB106">
        <v>0.23516497982085743</v>
      </c>
      <c r="AC106">
        <f t="shared" si="8"/>
        <v>898.68051941310523</v>
      </c>
    </row>
    <row r="107" spans="1:29" x14ac:dyDescent="0.2">
      <c r="A107">
        <f>VLOOKUP(C107,Leonard2010!E:CD,78,FALSE)</f>
        <v>106</v>
      </c>
      <c r="B107" s="52" t="s">
        <v>267</v>
      </c>
      <c r="C107" s="50" t="s">
        <v>395</v>
      </c>
      <c r="D107" s="52" t="s">
        <v>42</v>
      </c>
      <c r="E107">
        <v>0.5</v>
      </c>
      <c r="F107">
        <v>-13.211</v>
      </c>
      <c r="G107">
        <v>34.805999999999997</v>
      </c>
      <c r="H107">
        <v>8.1</v>
      </c>
      <c r="I107">
        <v>107</v>
      </c>
      <c r="J107">
        <v>53</v>
      </c>
      <c r="K107" t="str">
        <f>VLOOKUP(C107,Leonard2010!E:P,12,FALSE)</f>
        <v>SW</v>
      </c>
      <c r="L107">
        <f>VLOOKUP(C107,Leonard2010!E:Q,13,FALSE)</f>
        <v>0</v>
      </c>
      <c r="M107">
        <f>VLOOKUP(C107,Leonard2010!E:R,14,FALSE)</f>
        <v>0</v>
      </c>
      <c r="N107">
        <f t="shared" si="7"/>
        <v>7.0582124758275295</v>
      </c>
      <c r="O107">
        <f>VLOOKUP(B107,Leonard2010!D:CC,78,FALSE)</f>
        <v>337</v>
      </c>
      <c r="P107">
        <f>VLOOKUP(B107,FaultGeometry!B:G,6,FALSE)</f>
        <v>159</v>
      </c>
      <c r="Q107">
        <f>VLOOKUP(B107,FaultGeometry!B:L,11,FALSE)</f>
        <v>34.228047052288524</v>
      </c>
      <c r="R107">
        <f>VLOOKUP(C107,Leonard2010!E:CE,79,FALSE)</f>
        <v>0</v>
      </c>
      <c r="S107" t="str">
        <f>VLOOKUP(R107,FaultGeometry!W:X,2,FALSE)</f>
        <v>NA</v>
      </c>
      <c r="T107" t="str">
        <f>VLOOKUP(C107,Leonard2010!E:BA,44,FALSE)</f>
        <v>NA</v>
      </c>
      <c r="U107" t="str">
        <f>VLOOKUP(C107,Leonard2010!E:BA,45,FALSE)</f>
        <v>NA</v>
      </c>
      <c r="V107" t="str">
        <f>VLOOKUP(C107,Leonard2010!E:BB,46,FALSE)</f>
        <v>NA</v>
      </c>
      <c r="W107" t="str">
        <f>IF(T107="NA","NA",VLOOKUP(C107,Leonard2010!E:BD,51,FALSE)/E107)</f>
        <v>NA</v>
      </c>
      <c r="X107" t="str">
        <f>IF(U107="NA","NA",VLOOKUP(C107,Leonard2010!E:BE,52,FALSE)/E107)</f>
        <v>NA</v>
      </c>
      <c r="Y107" t="str">
        <f>IF(V107="NA","NA",VLOOKUP(C107,Leonard2010!E:BF,53,FALSE)/E107)</f>
        <v>NA</v>
      </c>
      <c r="Z107">
        <f t="shared" si="9"/>
        <v>0</v>
      </c>
      <c r="AA107" t="str">
        <f>IF(X107="NA","NA",VLOOKUP(E107,Leonard2010!G:BH,53,FALSE)/G107)</f>
        <v>NA</v>
      </c>
      <c r="AB107" t="str">
        <f>IF(Y107="NA","NA",VLOOKUP(F107,Leonard2010!H:BI,53,FALSE)/H107)</f>
        <v>NA</v>
      </c>
      <c r="AC107">
        <f t="shared" si="8"/>
        <v>57.171521054202984</v>
      </c>
    </row>
    <row r="108" spans="1:29" x14ac:dyDescent="0.2">
      <c r="A108">
        <f>VLOOKUP(C108,Leonard2010!E:CD,78,FALSE)</f>
        <v>107</v>
      </c>
      <c r="B108" s="52" t="s">
        <v>267</v>
      </c>
      <c r="C108" s="50" t="s">
        <v>396</v>
      </c>
      <c r="D108" s="52" t="s">
        <v>42</v>
      </c>
      <c r="E108">
        <v>0.5</v>
      </c>
      <c r="F108">
        <v>-13.099</v>
      </c>
      <c r="G108">
        <v>34.814999999999998</v>
      </c>
      <c r="H108">
        <v>12.4</v>
      </c>
      <c r="I108">
        <v>185</v>
      </c>
      <c r="J108">
        <v>53</v>
      </c>
      <c r="K108" t="str">
        <f>VLOOKUP(C108,Leonard2010!E:P,12,FALSE)</f>
        <v>W</v>
      </c>
      <c r="L108">
        <f>VLOOKUP(C108,Leonard2010!E:Q,13,FALSE)</f>
        <v>0</v>
      </c>
      <c r="M108">
        <f>VLOOKUP(C108,Leonard2010!E:R,14,FALSE)</f>
        <v>0</v>
      </c>
      <c r="N108">
        <f t="shared" si="7"/>
        <v>9.3753143598292255</v>
      </c>
      <c r="O108">
        <f>VLOOKUP(B108,Leonard2010!D:CC,78,FALSE)</f>
        <v>337</v>
      </c>
      <c r="P108">
        <f>VLOOKUP(B108,FaultGeometry!B:G,6,FALSE)</f>
        <v>159</v>
      </c>
      <c r="Q108">
        <f>VLOOKUP(B108,FaultGeometry!B:L,11,FALSE)</f>
        <v>34.228047052288524</v>
      </c>
      <c r="R108">
        <f>VLOOKUP(C108,Leonard2010!E:CE,79,FALSE)</f>
        <v>0</v>
      </c>
      <c r="S108" t="str">
        <f>VLOOKUP(R108,FaultGeometry!W:X,2,FALSE)</f>
        <v>NA</v>
      </c>
      <c r="T108">
        <f>VLOOKUP(C108,Leonard2010!E:BA,44,FALSE)</f>
        <v>5.6379541872737278</v>
      </c>
      <c r="U108">
        <f>VLOOKUP(C108,Leonard2010!E:BA,45,FALSE)</f>
        <v>6.0709392149531496</v>
      </c>
      <c r="V108">
        <f>VLOOKUP(C108,Leonard2010!E:BB,46,FALSE)</f>
        <v>6.5587729412261027</v>
      </c>
      <c r="W108">
        <v>300.55766391970849</v>
      </c>
      <c r="X108">
        <v>814.6627751188679</v>
      </c>
      <c r="Y108">
        <v>2208.1467779230234</v>
      </c>
      <c r="Z108">
        <f t="shared" si="9"/>
        <v>879834433121502.25</v>
      </c>
      <c r="AA108">
        <v>0.49117609848894855</v>
      </c>
      <c r="AB108">
        <v>0.23410012929314603</v>
      </c>
      <c r="AC108">
        <f t="shared" si="8"/>
        <v>116.2538980618824</v>
      </c>
    </row>
    <row r="109" spans="1:29" x14ac:dyDescent="0.2">
      <c r="A109">
        <f>VLOOKUP(C109,Leonard2010!E:CD,78,FALSE)</f>
        <v>108</v>
      </c>
      <c r="B109" s="52" t="s">
        <v>267</v>
      </c>
      <c r="C109" s="50" t="s">
        <v>397</v>
      </c>
      <c r="D109" s="52" t="s">
        <v>42</v>
      </c>
      <c r="E109">
        <v>0.5</v>
      </c>
      <c r="F109">
        <v>-13.061</v>
      </c>
      <c r="G109">
        <v>34.863</v>
      </c>
      <c r="H109">
        <v>6.8</v>
      </c>
      <c r="I109">
        <v>231</v>
      </c>
      <c r="J109">
        <v>53</v>
      </c>
      <c r="K109" t="str">
        <f>VLOOKUP(C109,Leonard2010!E:P,12,FALSE)</f>
        <v>NW</v>
      </c>
      <c r="L109">
        <f>VLOOKUP(C109,Leonard2010!E:Q,13,FALSE)</f>
        <v>0</v>
      </c>
      <c r="M109">
        <f>VLOOKUP(C109,Leonard2010!E:R,14,FALSE)</f>
        <v>0</v>
      </c>
      <c r="N109">
        <f t="shared" si="7"/>
        <v>6.2812197922691038</v>
      </c>
      <c r="O109">
        <f>VLOOKUP(B109,Leonard2010!D:CC,78,FALSE)</f>
        <v>337</v>
      </c>
      <c r="P109">
        <f>VLOOKUP(B109,FaultGeometry!B:G,6,FALSE)</f>
        <v>159</v>
      </c>
      <c r="Q109">
        <f>VLOOKUP(B109,FaultGeometry!B:L,11,FALSE)</f>
        <v>34.228047052288524</v>
      </c>
      <c r="R109">
        <f>VLOOKUP(C109,Leonard2010!E:CE,79,FALSE)</f>
        <v>0</v>
      </c>
      <c r="S109" t="str">
        <f>VLOOKUP(R109,FaultGeometry!W:X,2,FALSE)</f>
        <v>NA</v>
      </c>
      <c r="T109" t="str">
        <f>VLOOKUP(C109,Leonard2010!E:BA,44,FALSE)</f>
        <v>NA</v>
      </c>
      <c r="U109" t="str">
        <f>VLOOKUP(C109,Leonard2010!E:BA,45,FALSE)</f>
        <v>NA</v>
      </c>
      <c r="V109" t="str">
        <f>VLOOKUP(C109,Leonard2010!E:BB,46,FALSE)</f>
        <v>NA</v>
      </c>
      <c r="W109" t="str">
        <f>IF(T109="NA","NA",VLOOKUP(C109,Leonard2010!E:BD,51,FALSE)/E109)</f>
        <v>NA</v>
      </c>
      <c r="X109" t="str">
        <f>IF(U109="NA","NA",VLOOKUP(C109,Leonard2010!E:BE,52,FALSE)/E109)</f>
        <v>NA</v>
      </c>
      <c r="Y109" t="str">
        <f>IF(V109="NA","NA",VLOOKUP(C109,Leonard2010!E:BF,53,FALSE)/E109)</f>
        <v>NA</v>
      </c>
      <c r="Z109">
        <f t="shared" si="9"/>
        <v>0</v>
      </c>
      <c r="AA109" t="str">
        <f>IF(X109="NA","NA",VLOOKUP(E109,Leonard2010!G:BH,53,FALSE)/G109)</f>
        <v>NA</v>
      </c>
      <c r="AB109" t="str">
        <f>IF(Y109="NA","NA",VLOOKUP(F109,Leonard2010!H:BI,53,FALSE)/H109)</f>
        <v>NA</v>
      </c>
      <c r="AC109">
        <f t="shared" si="8"/>
        <v>42.712294587429902</v>
      </c>
    </row>
    <row r="110" spans="1:29" x14ac:dyDescent="0.2">
      <c r="A110">
        <f>VLOOKUP(C110,Leonard2010!E:CD,78,FALSE)</f>
        <v>109</v>
      </c>
      <c r="B110" s="52" t="s">
        <v>267</v>
      </c>
      <c r="C110" s="50" t="s">
        <v>405</v>
      </c>
      <c r="D110" s="52" t="s">
        <v>42</v>
      </c>
      <c r="E110">
        <v>0.5</v>
      </c>
      <c r="F110">
        <v>-12.909000000000001</v>
      </c>
      <c r="G110">
        <v>34.884</v>
      </c>
      <c r="H110">
        <v>16.899999999999999</v>
      </c>
      <c r="I110">
        <v>188</v>
      </c>
      <c r="J110">
        <v>53</v>
      </c>
      <c r="K110" t="str">
        <f>VLOOKUP(C110,Leonard2010!E:P,12,FALSE)</f>
        <v>W</v>
      </c>
      <c r="L110">
        <f>VLOOKUP(C110,Leonard2010!E:Q,13,FALSE)</f>
        <v>0</v>
      </c>
      <c r="M110">
        <f>VLOOKUP(C110,Leonard2010!E:R,14,FALSE)</f>
        <v>0</v>
      </c>
      <c r="N110">
        <f t="shared" si="7"/>
        <v>11.524688218454507</v>
      </c>
      <c r="O110">
        <f>VLOOKUP(B110,Leonard2010!D:CC,78,FALSE)</f>
        <v>337</v>
      </c>
      <c r="P110">
        <f>VLOOKUP(B110,FaultGeometry!B:G,6,FALSE)</f>
        <v>159</v>
      </c>
      <c r="Q110">
        <f>VLOOKUP(B110,FaultGeometry!B:L,11,FALSE)</f>
        <v>34.228047052288524</v>
      </c>
      <c r="R110">
        <f>VLOOKUP(C110,Leonard2010!E:CE,79,FALSE)</f>
        <v>0</v>
      </c>
      <c r="S110" t="str">
        <f>VLOOKUP(R110,FaultGeometry!W:X,2,FALSE)</f>
        <v>NA</v>
      </c>
      <c r="T110">
        <f>VLOOKUP(C110,Leonard2010!E:BA,44,FALSE)</f>
        <v>5.8620625530261279</v>
      </c>
      <c r="U110">
        <f>VLOOKUP(C110,Leonard2010!E:BA,45,FALSE)</f>
        <v>6.2950475807055497</v>
      </c>
      <c r="V110">
        <f>VLOOKUP(C110,Leonard2010!E:BB,46,FALSE)</f>
        <v>6.7828813069785028</v>
      </c>
      <c r="W110">
        <v>395.06796766698523</v>
      </c>
      <c r="X110">
        <v>1085.3777703961603</v>
      </c>
      <c r="Y110">
        <v>2981.8790711555484</v>
      </c>
      <c r="Z110">
        <f t="shared" si="9"/>
        <v>1432057489169718.2</v>
      </c>
      <c r="AA110">
        <v>0.47869054467508304</v>
      </c>
      <c r="AB110">
        <v>0.23061262984975522</v>
      </c>
      <c r="AC110">
        <f t="shared" si="8"/>
        <v>194.76723089188116</v>
      </c>
    </row>
    <row r="111" spans="1:29" x14ac:dyDescent="0.2">
      <c r="A111">
        <f>VLOOKUP(C111,Leonard2010!E:CD,78,FALSE)</f>
        <v>110</v>
      </c>
      <c r="B111" s="52" t="s">
        <v>268</v>
      </c>
      <c r="C111" s="50" t="s">
        <v>398</v>
      </c>
      <c r="D111" s="52" t="s">
        <v>42</v>
      </c>
      <c r="E111">
        <v>0.5</v>
      </c>
      <c r="F111">
        <v>-13.231999999999999</v>
      </c>
      <c r="G111">
        <v>34.877000000000002</v>
      </c>
      <c r="H111">
        <v>42.3</v>
      </c>
      <c r="I111">
        <v>141</v>
      </c>
      <c r="J111">
        <v>53</v>
      </c>
      <c r="K111" t="str">
        <f>VLOOKUP(C111,Leonard2010!E:P,12,FALSE)</f>
        <v>SW</v>
      </c>
      <c r="L111">
        <f>VLOOKUP(C111,Leonard2010!E:Q,13,FALSE)</f>
        <v>0</v>
      </c>
      <c r="M111">
        <f>VLOOKUP(C111,Leonard2010!E:R,14,FALSE)</f>
        <v>0</v>
      </c>
      <c r="N111">
        <f t="shared" si="7"/>
        <v>21.245402350191615</v>
      </c>
      <c r="O111">
        <f>VLOOKUP(B111,Leonard2010!D:CC,78,FALSE)</f>
        <v>338</v>
      </c>
      <c r="P111">
        <f>VLOOKUP(B111,FaultGeometry!B:G,6,FALSE)</f>
        <v>163</v>
      </c>
      <c r="Q111">
        <f>VLOOKUP(B111,FaultGeometry!B:L,11,FALSE)</f>
        <v>37.928484744758173</v>
      </c>
      <c r="R111">
        <f>VLOOKUP(C111,Leonard2010!E:CE,79,FALSE)</f>
        <v>0</v>
      </c>
      <c r="S111" t="str">
        <f>VLOOKUP(R111,FaultGeometry!W:X,2,FALSE)</f>
        <v>NA</v>
      </c>
      <c r="T111">
        <f>VLOOKUP(C111,Leonard2010!E:BA,44,FALSE)</f>
        <v>6.5261519909617407</v>
      </c>
      <c r="U111">
        <f>VLOOKUP(C111,Leonard2010!E:BA,45,FALSE)</f>
        <v>6.9591370186411625</v>
      </c>
      <c r="V111">
        <f>VLOOKUP(C111,Leonard2010!E:BB,46,FALSE)</f>
        <v>7.4469707449141156</v>
      </c>
      <c r="W111">
        <v>823.019327466704</v>
      </c>
      <c r="X111">
        <v>2249.208971231315</v>
      </c>
      <c r="Y111">
        <v>6146.8070401689256</v>
      </c>
      <c r="Z111">
        <f t="shared" si="9"/>
        <v>6849292689411564</v>
      </c>
      <c r="AA111">
        <v>0.48407119523979653</v>
      </c>
      <c r="AB111">
        <v>0.23329222137932709</v>
      </c>
      <c r="AC111">
        <f t="shared" si="8"/>
        <v>898.68051941310523</v>
      </c>
    </row>
    <row r="112" spans="1:29" x14ac:dyDescent="0.2">
      <c r="A112">
        <f>VLOOKUP(C112,Leonard2010!E:CD,78,FALSE)</f>
        <v>111</v>
      </c>
      <c r="B112" s="52" t="s">
        <v>268</v>
      </c>
      <c r="C112" s="50" t="s">
        <v>399</v>
      </c>
      <c r="D112" s="52" t="s">
        <v>42</v>
      </c>
      <c r="E112">
        <v>0.5</v>
      </c>
      <c r="F112">
        <v>-13.211</v>
      </c>
      <c r="G112">
        <v>34.805999999999997</v>
      </c>
      <c r="H112">
        <v>8.1</v>
      </c>
      <c r="I112">
        <v>107</v>
      </c>
      <c r="J112">
        <v>53</v>
      </c>
      <c r="K112" t="str">
        <f>VLOOKUP(C112,Leonard2010!E:P,12,FALSE)</f>
        <v>SW</v>
      </c>
      <c r="L112">
        <f>VLOOKUP(C112,Leonard2010!E:Q,13,FALSE)</f>
        <v>0</v>
      </c>
      <c r="M112">
        <f>VLOOKUP(C112,Leonard2010!E:R,14,FALSE)</f>
        <v>0</v>
      </c>
      <c r="N112">
        <f t="shared" si="7"/>
        <v>7.0582124758275295</v>
      </c>
      <c r="O112">
        <f>VLOOKUP(B112,Leonard2010!D:CC,78,FALSE)</f>
        <v>338</v>
      </c>
      <c r="P112">
        <f>VLOOKUP(B112,FaultGeometry!B:G,6,FALSE)</f>
        <v>163</v>
      </c>
      <c r="Q112">
        <f>VLOOKUP(B112,FaultGeometry!B:L,11,FALSE)</f>
        <v>37.928484744758173</v>
      </c>
      <c r="R112">
        <f>VLOOKUP(C112,Leonard2010!E:CE,79,FALSE)</f>
        <v>0</v>
      </c>
      <c r="S112" t="str">
        <f>VLOOKUP(R112,FaultGeometry!W:X,2,FALSE)</f>
        <v>NA</v>
      </c>
      <c r="T112" t="str">
        <f>VLOOKUP(C112,Leonard2010!E:BA,44,FALSE)</f>
        <v>NA</v>
      </c>
      <c r="U112" t="str">
        <f>VLOOKUP(C112,Leonard2010!E:BA,45,FALSE)</f>
        <v>NA</v>
      </c>
      <c r="V112" t="str">
        <f>VLOOKUP(C112,Leonard2010!E:BB,46,FALSE)</f>
        <v>NA</v>
      </c>
      <c r="W112" t="str">
        <f>IF(T112="NA","NA",VLOOKUP(C112,Leonard2010!E:BD,51,FALSE)/E112)</f>
        <v>NA</v>
      </c>
      <c r="X112" t="str">
        <f>IF(U112="NA","NA",VLOOKUP(C112,Leonard2010!E:BE,52,FALSE)/E112)</f>
        <v>NA</v>
      </c>
      <c r="Y112" t="str">
        <f>IF(V112="NA","NA",VLOOKUP(C112,Leonard2010!E:BF,53,FALSE)/E112)</f>
        <v>NA</v>
      </c>
      <c r="Z112">
        <f t="shared" si="9"/>
        <v>0</v>
      </c>
      <c r="AA112" t="str">
        <f>IF(X112="NA","NA",VLOOKUP(E112,Leonard2010!G:BH,53,FALSE)/G112)</f>
        <v>NA</v>
      </c>
      <c r="AB112" t="str">
        <f>IF(Y112="NA","NA",VLOOKUP(F112,Leonard2010!H:BI,53,FALSE)/H112)</f>
        <v>NA</v>
      </c>
      <c r="AC112">
        <f t="shared" si="8"/>
        <v>57.171521054202984</v>
      </c>
    </row>
    <row r="113" spans="1:29" x14ac:dyDescent="0.2">
      <c r="A113">
        <f>VLOOKUP(C113,Leonard2010!E:CD,78,FALSE)</f>
        <v>112</v>
      </c>
      <c r="B113" s="52" t="s">
        <v>268</v>
      </c>
      <c r="C113" s="50" t="s">
        <v>400</v>
      </c>
      <c r="D113" s="52" t="s">
        <v>42</v>
      </c>
      <c r="E113">
        <v>0.5</v>
      </c>
      <c r="F113">
        <v>-13.099</v>
      </c>
      <c r="G113">
        <v>34.814999999999998</v>
      </c>
      <c r="H113">
        <v>12.4</v>
      </c>
      <c r="I113">
        <v>185</v>
      </c>
      <c r="J113">
        <v>53</v>
      </c>
      <c r="K113" t="str">
        <f>VLOOKUP(C113,Leonard2010!E:P,12,FALSE)</f>
        <v>W</v>
      </c>
      <c r="L113">
        <f>VLOOKUP(C113,Leonard2010!E:Q,13,FALSE)</f>
        <v>0</v>
      </c>
      <c r="M113">
        <f>VLOOKUP(C113,Leonard2010!E:R,14,FALSE)</f>
        <v>0</v>
      </c>
      <c r="N113">
        <f t="shared" si="7"/>
        <v>9.3753143598292255</v>
      </c>
      <c r="O113">
        <f>VLOOKUP(B113,Leonard2010!D:CC,78,FALSE)</f>
        <v>338</v>
      </c>
      <c r="P113">
        <f>VLOOKUP(B113,FaultGeometry!B:G,6,FALSE)</f>
        <v>163</v>
      </c>
      <c r="Q113">
        <f>VLOOKUP(B113,FaultGeometry!B:L,11,FALSE)</f>
        <v>37.928484744758173</v>
      </c>
      <c r="R113">
        <f>VLOOKUP(C113,Leonard2010!E:CE,79,FALSE)</f>
        <v>0</v>
      </c>
      <c r="S113" t="str">
        <f>VLOOKUP(R113,FaultGeometry!W:X,2,FALSE)</f>
        <v>NA</v>
      </c>
      <c r="T113">
        <f>VLOOKUP(C113,Leonard2010!E:BA,44,FALSE)</f>
        <v>5.6379541872737278</v>
      </c>
      <c r="U113">
        <f>VLOOKUP(C113,Leonard2010!E:BA,45,FALSE)</f>
        <v>6.0709392149531496</v>
      </c>
      <c r="V113">
        <f>VLOOKUP(C113,Leonard2010!E:BB,46,FALSE)</f>
        <v>6.5587729412261027</v>
      </c>
      <c r="W113">
        <v>300.06483608917267</v>
      </c>
      <c r="X113">
        <v>816.94501653085501</v>
      </c>
      <c r="Y113">
        <v>2224.1831756529532</v>
      </c>
      <c r="Z113">
        <f t="shared" si="9"/>
        <v>877376502002111.88</v>
      </c>
      <c r="AA113">
        <v>0.48801432560826769</v>
      </c>
      <c r="AB113">
        <v>0.22901493656869984</v>
      </c>
      <c r="AC113">
        <f t="shared" si="8"/>
        <v>116.2538980618824</v>
      </c>
    </row>
    <row r="114" spans="1:29" x14ac:dyDescent="0.2">
      <c r="A114">
        <f>VLOOKUP(C114,Leonard2010!E:CD,78,FALSE)</f>
        <v>113</v>
      </c>
      <c r="B114" s="52" t="s">
        <v>268</v>
      </c>
      <c r="C114" s="50" t="s">
        <v>404</v>
      </c>
      <c r="D114" s="52" t="s">
        <v>42</v>
      </c>
      <c r="E114">
        <v>0.5</v>
      </c>
      <c r="F114">
        <v>-13.061</v>
      </c>
      <c r="G114">
        <v>34.863</v>
      </c>
      <c r="H114">
        <v>6.8</v>
      </c>
      <c r="I114">
        <v>231</v>
      </c>
      <c r="J114">
        <v>53</v>
      </c>
      <c r="K114" t="str">
        <f>VLOOKUP(C114,Leonard2010!E:P,12,FALSE)</f>
        <v>W</v>
      </c>
      <c r="L114">
        <f>VLOOKUP(C114,Leonard2010!E:Q,13,FALSE)</f>
        <v>0</v>
      </c>
      <c r="M114">
        <f>VLOOKUP(C114,Leonard2010!E:R,14,FALSE)</f>
        <v>0</v>
      </c>
      <c r="N114">
        <f t="shared" si="7"/>
        <v>6.2812197922691038</v>
      </c>
      <c r="O114">
        <f>VLOOKUP(B114,Leonard2010!D:CC,78,FALSE)</f>
        <v>338</v>
      </c>
      <c r="P114">
        <f>VLOOKUP(B114,FaultGeometry!B:G,6,FALSE)</f>
        <v>163</v>
      </c>
      <c r="Q114">
        <f>VLOOKUP(B114,FaultGeometry!B:L,11,FALSE)</f>
        <v>37.928484744758173</v>
      </c>
      <c r="R114">
        <f>VLOOKUP(C114,Leonard2010!E:CE,79,FALSE)</f>
        <v>0</v>
      </c>
      <c r="S114" t="str">
        <f>VLOOKUP(R114,FaultGeometry!W:X,2,FALSE)</f>
        <v>NA</v>
      </c>
      <c r="T114" t="str">
        <f>VLOOKUP(C114,Leonard2010!E:BA,44,FALSE)</f>
        <v>NA</v>
      </c>
      <c r="U114" t="str">
        <f>VLOOKUP(C114,Leonard2010!E:BA,45,FALSE)</f>
        <v>NA</v>
      </c>
      <c r="V114" t="str">
        <f>VLOOKUP(C114,Leonard2010!E:BB,46,FALSE)</f>
        <v>NA</v>
      </c>
      <c r="W114" t="str">
        <f>IF(T114="NA","NA",VLOOKUP(C114,Leonard2010!E:BD,51,FALSE)/E114)</f>
        <v>NA</v>
      </c>
      <c r="X114" t="str">
        <f>IF(U114="NA","NA",VLOOKUP(C114,Leonard2010!E:BE,52,FALSE)/E114)</f>
        <v>NA</v>
      </c>
      <c r="Y114" t="str">
        <f>IF(V114="NA","NA",VLOOKUP(C114,Leonard2010!E:BF,53,FALSE)/E114)</f>
        <v>NA</v>
      </c>
      <c r="Z114">
        <f t="shared" si="9"/>
        <v>0</v>
      </c>
      <c r="AA114" t="str">
        <f>IF(X114="NA","NA",VLOOKUP(E114,Leonard2010!G:BH,53,FALSE)/G114)</f>
        <v>NA</v>
      </c>
      <c r="AB114" t="str">
        <f>IF(Y114="NA","NA",VLOOKUP(F114,Leonard2010!H:BI,53,FALSE)/H114)</f>
        <v>NA</v>
      </c>
      <c r="AC114">
        <f t="shared" si="8"/>
        <v>42.712294587429902</v>
      </c>
    </row>
    <row r="115" spans="1:29" x14ac:dyDescent="0.2">
      <c r="A115">
        <f>VLOOKUP(C115,Leonard2010!E:CD,78,FALSE)</f>
        <v>114</v>
      </c>
      <c r="B115" s="52" t="s">
        <v>268</v>
      </c>
      <c r="C115" t="s">
        <v>403</v>
      </c>
      <c r="D115" s="52" t="s">
        <v>42</v>
      </c>
      <c r="E115">
        <v>0.5</v>
      </c>
      <c r="F115">
        <v>-12.813000000000001</v>
      </c>
      <c r="G115">
        <v>34.902000000000001</v>
      </c>
      <c r="H115">
        <v>14</v>
      </c>
      <c r="I115">
        <v>205</v>
      </c>
      <c r="J115">
        <v>53</v>
      </c>
      <c r="K115" t="str">
        <f>VLOOKUP(C115,Leonard2010!E:P,12,FALSE)</f>
        <v>W</v>
      </c>
      <c r="L115">
        <f>VLOOKUP(C115,Leonard2010!E:Q,13,FALSE)</f>
        <v>0</v>
      </c>
      <c r="M115">
        <f>VLOOKUP(C115,Leonard2010!E:R,14,FALSE)</f>
        <v>0</v>
      </c>
      <c r="N115">
        <f t="shared" si="7"/>
        <v>10.165375033736478</v>
      </c>
      <c r="O115">
        <f>VLOOKUP(B115,Leonard2010!D:CC,78,FALSE)</f>
        <v>338</v>
      </c>
      <c r="P115">
        <f>VLOOKUP(B115,FaultGeometry!B:G,6,FALSE)</f>
        <v>163</v>
      </c>
      <c r="Q115">
        <f>VLOOKUP(B115,FaultGeometry!B:L,11,FALSE)</f>
        <v>37.928484744758173</v>
      </c>
      <c r="R115">
        <f>VLOOKUP(C115,Leonard2010!E:CE,79,FALSE)</f>
        <v>0</v>
      </c>
      <c r="S115" t="str">
        <f>VLOOKUP(R115,FaultGeometry!W:X,2,FALSE)</f>
        <v>NA</v>
      </c>
      <c r="T115">
        <f>VLOOKUP(C115,Leonard2010!E:BA,44,FALSE)</f>
        <v>5.7257981048004014</v>
      </c>
      <c r="U115">
        <f>VLOOKUP(C115,Leonard2010!E:BA,45,FALSE)</f>
        <v>6.1587831324798232</v>
      </c>
      <c r="V115">
        <f>VLOOKUP(C115,Leonard2010!E:BB,46,FALSE)</f>
        <v>6.6466168587527763</v>
      </c>
      <c r="W115">
        <v>354.77868107770558</v>
      </c>
      <c r="X115">
        <v>1092.4716553261305</v>
      </c>
      <c r="Y115">
        <v>3364.0530881550062</v>
      </c>
      <c r="Z115">
        <f t="shared" si="9"/>
        <v>888657734662729.62</v>
      </c>
      <c r="AA115">
        <v>0.39853370257019771</v>
      </c>
      <c r="AB115">
        <v>0.22089023194599305</v>
      </c>
      <c r="AC115">
        <f t="shared" si="8"/>
        <v>142.31525047231068</v>
      </c>
    </row>
    <row r="116" spans="1:29" x14ac:dyDescent="0.2">
      <c r="A116">
        <f>VLOOKUP(C116,Leonard2010!E:CD,78,FALSE)</f>
        <v>115</v>
      </c>
      <c r="B116" s="52" t="s">
        <v>268</v>
      </c>
      <c r="C116" s="50" t="s">
        <v>402</v>
      </c>
      <c r="D116" s="52" t="s">
        <v>42</v>
      </c>
      <c r="E116">
        <v>0.5</v>
      </c>
      <c r="F116">
        <v>-12.928000000000001</v>
      </c>
      <c r="G116">
        <v>34.847999999999999</v>
      </c>
      <c r="H116">
        <v>2.8</v>
      </c>
      <c r="I116">
        <v>95</v>
      </c>
      <c r="J116">
        <v>53</v>
      </c>
      <c r="K116" t="str">
        <f>VLOOKUP(C116,Leonard2010!E:P,12,FALSE)</f>
        <v>SW</v>
      </c>
      <c r="L116">
        <f>VLOOKUP(C116,Leonard2010!E:Q,13,FALSE)</f>
        <v>0</v>
      </c>
      <c r="M116">
        <f>VLOOKUP(C116,Leonard2010!E:R,14,FALSE)</f>
        <v>0</v>
      </c>
      <c r="N116">
        <f t="shared" si="7"/>
        <v>3.4765093593274399</v>
      </c>
      <c r="O116">
        <f>VLOOKUP(B116,Leonard2010!D:CC,78,FALSE)</f>
        <v>338</v>
      </c>
      <c r="P116">
        <f>VLOOKUP(B116,FaultGeometry!B:G,6,FALSE)</f>
        <v>163</v>
      </c>
      <c r="Q116">
        <f>VLOOKUP(B116,FaultGeometry!B:L,11,FALSE)</f>
        <v>37.928484744758173</v>
      </c>
      <c r="R116">
        <f>VLOOKUP(C116,Leonard2010!E:CE,79,FALSE)</f>
        <v>0</v>
      </c>
      <c r="S116" t="str">
        <f>VLOOKUP(R116,FaultGeometry!W:X,2,FALSE)</f>
        <v>NA</v>
      </c>
      <c r="T116" t="str">
        <f>VLOOKUP(C116,Leonard2010!E:BA,44,FALSE)</f>
        <v>NA</v>
      </c>
      <c r="U116" t="str">
        <f>VLOOKUP(C116,Leonard2010!E:BA,45,FALSE)</f>
        <v>NA</v>
      </c>
      <c r="V116" t="str">
        <f>VLOOKUP(C116,Leonard2010!E:BB,46,FALSE)</f>
        <v>NA</v>
      </c>
      <c r="W116" t="str">
        <f>IF(T116="NA","NA",VLOOKUP(C116,Leonard2010!E:BD,51,FALSE)/E116)</f>
        <v>NA</v>
      </c>
      <c r="X116" t="str">
        <f>IF(U116="NA","NA",VLOOKUP(C116,Leonard2010!E:BE,52,FALSE)/E116)</f>
        <v>NA</v>
      </c>
      <c r="Y116" t="str">
        <f>IF(V116="NA","NA",VLOOKUP(C116,Leonard2010!E:BF,53,FALSE)/E116)</f>
        <v>NA</v>
      </c>
      <c r="Z116">
        <f t="shared" si="9"/>
        <v>0</v>
      </c>
      <c r="AA116" t="str">
        <f>IF(X116="NA","NA",VLOOKUP(E116,Leonard2010!G:BH,53,FALSE)/G116)</f>
        <v>NA</v>
      </c>
      <c r="AB116" t="str">
        <f>IF(Y116="NA","NA",VLOOKUP(F116,Leonard2010!H:BI,53,FALSE)/H116)</f>
        <v>NA</v>
      </c>
      <c r="AC116">
        <f t="shared" si="8"/>
        <v>9.7342262061168316</v>
      </c>
    </row>
    <row r="117" spans="1:29" x14ac:dyDescent="0.2">
      <c r="A117">
        <f>VLOOKUP(C117,Leonard2010!E:CD,78,FALSE)</f>
        <v>116</v>
      </c>
      <c r="B117" s="52" t="s">
        <v>268</v>
      </c>
      <c r="C117" s="50" t="s">
        <v>401</v>
      </c>
      <c r="D117" s="52" t="s">
        <v>42</v>
      </c>
      <c r="E117">
        <v>0.5</v>
      </c>
      <c r="F117">
        <v>-12.93</v>
      </c>
      <c r="G117">
        <v>34.874000000000002</v>
      </c>
      <c r="H117">
        <v>14.5</v>
      </c>
      <c r="I117">
        <v>185</v>
      </c>
      <c r="J117">
        <v>53</v>
      </c>
      <c r="K117" t="str">
        <f>VLOOKUP(C117,Leonard2010!E:P,12,FALSE)</f>
        <v>W</v>
      </c>
      <c r="L117">
        <f>VLOOKUP(C117,Leonard2010!E:Q,13,FALSE)</f>
        <v>0</v>
      </c>
      <c r="M117">
        <f>VLOOKUP(C117,Leonard2010!E:R,14,FALSE)</f>
        <v>0</v>
      </c>
      <c r="N117">
        <f t="shared" si="7"/>
        <v>10.4059895040107</v>
      </c>
      <c r="O117">
        <f>VLOOKUP(B117,Leonard2010!D:CC,78,FALSE)</f>
        <v>338</v>
      </c>
      <c r="P117">
        <f>VLOOKUP(B117,FaultGeometry!B:G,6,FALSE)</f>
        <v>163</v>
      </c>
      <c r="Q117">
        <f>VLOOKUP(B117,FaultGeometry!B:L,11,FALSE)</f>
        <v>37.928484744758173</v>
      </c>
      <c r="R117">
        <f>VLOOKUP(C117,Leonard2010!E:CE,79,FALSE)</f>
        <v>0</v>
      </c>
      <c r="S117" t="str">
        <f>VLOOKUP(R117,FaultGeometry!W:X,2,FALSE)</f>
        <v>NA</v>
      </c>
      <c r="T117">
        <f>VLOOKUP(C117,Leonard2010!E:BA,44,FALSE)</f>
        <v>5.7511980490616308</v>
      </c>
      <c r="U117">
        <f>VLOOKUP(C117,Leonard2010!E:BA,45,FALSE)</f>
        <v>6.1841830767410526</v>
      </c>
      <c r="V117">
        <f>VLOOKUP(C117,Leonard2010!E:BB,46,FALSE)</f>
        <v>6.6720168030140057</v>
      </c>
      <c r="W117">
        <v>341.55445195323819</v>
      </c>
      <c r="X117">
        <v>927.61939133985697</v>
      </c>
      <c r="Y117">
        <v>2519.2988417188999</v>
      </c>
      <c r="Z117">
        <f t="shared" si="9"/>
        <v>1142548911015281.8</v>
      </c>
      <c r="AA117">
        <v>0.4892911570191365</v>
      </c>
      <c r="AB117">
        <v>0.23131079858436918</v>
      </c>
      <c r="AC117">
        <f t="shared" si="8"/>
        <v>150.88684780815515</v>
      </c>
    </row>
    <row r="118" spans="1:29" x14ac:dyDescent="0.2">
      <c r="A118">
        <f>VLOOKUP(C118,Leonard2010!E:CD,78,FALSE)</f>
        <v>117</v>
      </c>
      <c r="B118" s="50" t="s">
        <v>99</v>
      </c>
      <c r="C118" s="50" t="s">
        <v>215</v>
      </c>
      <c r="D118" s="50" t="s">
        <v>178</v>
      </c>
      <c r="E118">
        <v>1</v>
      </c>
      <c r="F118">
        <v>-13.179</v>
      </c>
      <c r="G118">
        <v>34.325000000000003</v>
      </c>
      <c r="H118">
        <v>11.9</v>
      </c>
      <c r="I118">
        <v>174</v>
      </c>
      <c r="J118">
        <v>53</v>
      </c>
      <c r="K118" t="str">
        <f>VLOOKUP(C118,Leonard2010!E:P,12,FALSE)</f>
        <v>W</v>
      </c>
      <c r="L118">
        <f>VLOOKUP(C118,Leonard2010!E:Q,13,FALSE)</f>
        <v>0</v>
      </c>
      <c r="M118">
        <f>VLOOKUP(C118,Leonard2010!E:R,14,FALSE)</f>
        <v>0</v>
      </c>
      <c r="N118">
        <f t="shared" si="7"/>
        <v>9.1215649796776859</v>
      </c>
      <c r="O118">
        <f>VLOOKUP(B118,Leonard2010!D:CC,78,FALSE)</f>
        <v>340</v>
      </c>
      <c r="P118">
        <f>VLOOKUP(B118,FaultGeometry!B:G,6,FALSE)</f>
        <v>170</v>
      </c>
      <c r="Q118">
        <f>VLOOKUP(B118,FaultGeometry!B:L,11,FALSE)</f>
        <v>17.157880246387119</v>
      </c>
      <c r="R118">
        <f>VLOOKUP(C118,Leonard2010!E:CE,79,FALSE)</f>
        <v>605</v>
      </c>
      <c r="S118">
        <f>VLOOKUP(R118,FaultGeometry!W:X,2,FALSE)</f>
        <v>23.909232437227299</v>
      </c>
      <c r="T118">
        <f>VLOOKUP(C118,Leonard2010!E:BA,44,FALSE)</f>
        <v>5.6081629809908904</v>
      </c>
      <c r="U118">
        <f>VLOOKUP(C118,Leonard2010!E:BA,45,FALSE)</f>
        <v>6.0411480086703122</v>
      </c>
      <c r="V118">
        <f>VLOOKUP(C118,Leonard2010!E:BB,46,FALSE)</f>
        <v>6.5289817349432653</v>
      </c>
      <c r="W118">
        <v>1263.0360709105935</v>
      </c>
      <c r="X118">
        <v>4758.0318627438355</v>
      </c>
      <c r="Y118">
        <v>17924.165214508834</v>
      </c>
      <c r="Z118">
        <f t="shared" si="9"/>
        <v>271828298692010.59</v>
      </c>
      <c r="AA118">
        <v>8.0652561165020439E-2</v>
      </c>
      <c r="AB118">
        <v>8.3342974535593556E-2</v>
      </c>
      <c r="AC118">
        <f t="shared" si="8"/>
        <v>108.54662325816446</v>
      </c>
    </row>
    <row r="119" spans="1:29" x14ac:dyDescent="0.2">
      <c r="A119">
        <f>VLOOKUP(C119,Leonard2010!E:CD,78,FALSE)</f>
        <v>118</v>
      </c>
      <c r="B119" s="50" t="s">
        <v>99</v>
      </c>
      <c r="C119" s="50" t="s">
        <v>216</v>
      </c>
      <c r="D119" s="50" t="s">
        <v>178</v>
      </c>
      <c r="E119">
        <v>1</v>
      </c>
      <c r="F119">
        <v>-13.102</v>
      </c>
      <c r="G119">
        <v>34.314</v>
      </c>
      <c r="H119">
        <v>8.6</v>
      </c>
      <c r="I119">
        <v>172</v>
      </c>
      <c r="J119">
        <v>53</v>
      </c>
      <c r="K119" t="str">
        <f>VLOOKUP(C119,Leonard2010!E:P,12,FALSE)</f>
        <v>W</v>
      </c>
      <c r="L119">
        <f>VLOOKUP(C119,Leonard2010!E:Q,13,FALSE)</f>
        <v>0</v>
      </c>
      <c r="M119">
        <f>VLOOKUP(C119,Leonard2010!E:R,14,FALSE)</f>
        <v>0</v>
      </c>
      <c r="N119">
        <f t="shared" si="7"/>
        <v>7.3457647557878447</v>
      </c>
      <c r="O119">
        <f>VLOOKUP(B119,Leonard2010!D:CC,78,FALSE)</f>
        <v>340</v>
      </c>
      <c r="P119">
        <f>VLOOKUP(B119,FaultGeometry!B:G,6,FALSE)</f>
        <v>170</v>
      </c>
      <c r="Q119">
        <f>VLOOKUP(B119,FaultGeometry!B:L,11,FALSE)</f>
        <v>17.157880246387119</v>
      </c>
      <c r="R119">
        <f>VLOOKUP(C119,Leonard2010!E:CE,79,FALSE)</f>
        <v>605</v>
      </c>
      <c r="S119">
        <f>VLOOKUP(R119,FaultGeometry!W:X,2,FALSE)</f>
        <v>23.909232437227299</v>
      </c>
      <c r="T119">
        <f>VLOOKUP(C119,Leonard2010!E:BA,44,FALSE)</f>
        <v>5.3730821307426169</v>
      </c>
      <c r="U119">
        <f>VLOOKUP(C119,Leonard2010!E:BA,45,FALSE)</f>
        <v>5.8060671584220387</v>
      </c>
      <c r="V119">
        <f>VLOOKUP(C119,Leonard2010!E:BB,46,FALSE)</f>
        <v>6.2939008846949918</v>
      </c>
      <c r="W119">
        <v>994.78375022201988</v>
      </c>
      <c r="X119">
        <v>3620.420503000948</v>
      </c>
      <c r="Y119">
        <v>13176.174837620991</v>
      </c>
      <c r="Z119">
        <f t="shared" si="9"/>
        <v>158614074661680.56</v>
      </c>
      <c r="AA119">
        <v>7.985739534968686E-2</v>
      </c>
      <c r="AB119">
        <v>8.0384852425370149E-2</v>
      </c>
      <c r="AC119">
        <f t="shared" si="8"/>
        <v>63.173576899775462</v>
      </c>
    </row>
    <row r="120" spans="1:29" x14ac:dyDescent="0.2">
      <c r="A120">
        <f>VLOOKUP(C120,Leonard2010!E:CD,78,FALSE)</f>
        <v>119</v>
      </c>
      <c r="B120" s="50" t="s">
        <v>99</v>
      </c>
      <c r="C120" s="50" t="s">
        <v>217</v>
      </c>
      <c r="D120" s="50" t="s">
        <v>178</v>
      </c>
      <c r="E120">
        <v>1</v>
      </c>
      <c r="F120">
        <v>-13.013999999999999</v>
      </c>
      <c r="G120">
        <v>34.286000000000001</v>
      </c>
      <c r="H120">
        <v>10.199999999999999</v>
      </c>
      <c r="I120">
        <v>163</v>
      </c>
      <c r="J120">
        <v>53</v>
      </c>
      <c r="K120" t="str">
        <f>VLOOKUP(C120,Leonard2010!E:P,12,FALSE)</f>
        <v>SW</v>
      </c>
      <c r="L120">
        <f>VLOOKUP(C120,Leonard2010!E:Q,13,FALSE)</f>
        <v>0</v>
      </c>
      <c r="M120">
        <f>VLOOKUP(C120,Leonard2010!E:R,14,FALSE)</f>
        <v>0</v>
      </c>
      <c r="N120">
        <f t="shared" si="7"/>
        <v>8.230726357861915</v>
      </c>
      <c r="O120">
        <f>VLOOKUP(B120,Leonard2010!D:CC,78,FALSE)</f>
        <v>340</v>
      </c>
      <c r="P120">
        <f>VLOOKUP(B120,FaultGeometry!B:G,6,FALSE)</f>
        <v>170</v>
      </c>
      <c r="Q120">
        <f>VLOOKUP(B120,FaultGeometry!B:L,11,FALSE)</f>
        <v>17.157880246387119</v>
      </c>
      <c r="R120">
        <f>VLOOKUP(C120,Leonard2010!E:CE,79,FALSE)</f>
        <v>605</v>
      </c>
      <c r="S120">
        <f>VLOOKUP(R120,FaultGeometry!W:X,2,FALSE)</f>
        <v>23.909232437227299</v>
      </c>
      <c r="T120">
        <f>VLOOKUP(C120,Leonard2010!E:BA,44,FALSE)</f>
        <v>5.4965849982732022</v>
      </c>
      <c r="U120">
        <f>VLOOKUP(C120,Leonard2010!E:BA,45,FALSE)</f>
        <v>5.9295700259526241</v>
      </c>
      <c r="V120">
        <f>VLOOKUP(C120,Leonard2010!E:BB,46,FALSE)</f>
        <v>6.4174037522255771</v>
      </c>
      <c r="W120">
        <v>1115.280853048065</v>
      </c>
      <c r="X120">
        <v>4112.6367575299046</v>
      </c>
      <c r="Y120">
        <v>15165.490426165468</v>
      </c>
      <c r="Z120">
        <f t="shared" si="9"/>
        <v>213911772392180.78</v>
      </c>
      <c r="AA120">
        <v>8.1031083667342615E-2</v>
      </c>
      <c r="AB120">
        <v>8.2616008556561912E-2</v>
      </c>
      <c r="AC120">
        <f t="shared" si="8"/>
        <v>83.953408850191522</v>
      </c>
    </row>
    <row r="121" spans="1:29" x14ac:dyDescent="0.2">
      <c r="A121">
        <f>VLOOKUP(C121,Leonard2010!E:CD,78,FALSE)</f>
        <v>120</v>
      </c>
      <c r="B121" s="50" t="s">
        <v>270</v>
      </c>
      <c r="C121" s="50" t="s">
        <v>271</v>
      </c>
      <c r="D121" s="50" t="s">
        <v>42</v>
      </c>
      <c r="E121">
        <v>0.5</v>
      </c>
      <c r="F121">
        <v>-12.721</v>
      </c>
      <c r="G121">
        <v>34.146999999999998</v>
      </c>
      <c r="H121">
        <v>13</v>
      </c>
      <c r="I121">
        <v>4</v>
      </c>
      <c r="J121">
        <v>53</v>
      </c>
      <c r="K121" t="str">
        <f>VLOOKUP(C121,Leonard2010!E:P,12,FALSE)</f>
        <v>E</v>
      </c>
      <c r="L121">
        <f>VLOOKUP(C121,Leonard2010!E:Q,13,FALSE)</f>
        <v>0</v>
      </c>
      <c r="M121">
        <f>VLOOKUP(C121,Leonard2010!E:R,14,FALSE)</f>
        <v>0</v>
      </c>
      <c r="N121">
        <f t="shared" si="7"/>
        <v>9.6753559239380156</v>
      </c>
      <c r="O121">
        <f>VLOOKUP(B121,Leonard2010!D:CC,78,FALSE)</f>
        <v>345</v>
      </c>
      <c r="P121">
        <f>VLOOKUP(B121,FaultGeometry!B:G,6,FALSE)</f>
        <v>348</v>
      </c>
      <c r="Q121">
        <f>VLOOKUP(B121,FaultGeometry!B:L,11,FALSE)</f>
        <v>13.781597580886626</v>
      </c>
      <c r="R121">
        <f>VLOOKUP(C121,Leonard2010!E:CE,79,FALSE)</f>
        <v>0</v>
      </c>
      <c r="S121" t="str">
        <f>VLOOKUP(R121,FaultGeometry!W:X,2,FALSE)</f>
        <v>NA</v>
      </c>
      <c r="T121">
        <f>VLOOKUP(C121,Leonard2010!E:BA,44,FALSE)</f>
        <v>5.6721569658480648</v>
      </c>
      <c r="U121">
        <f>VLOOKUP(C121,Leonard2010!E:BA,45,FALSE)</f>
        <v>6.1051419935274867</v>
      </c>
      <c r="V121">
        <f>VLOOKUP(C121,Leonard2010!E:BB,46,FALSE)</f>
        <v>6.5929757198004397</v>
      </c>
      <c r="W121">
        <v>1382.2071142767631</v>
      </c>
      <c r="X121">
        <v>5267.0441274046771</v>
      </c>
      <c r="Y121">
        <v>20070.620063726055</v>
      </c>
      <c r="Z121">
        <f t="shared" si="9"/>
        <v>153149660260408.28</v>
      </c>
      <c r="AA121">
        <v>7.6744099536208407E-2</v>
      </c>
      <c r="AB121">
        <v>7.820948971796951E-2</v>
      </c>
      <c r="AC121">
        <f t="shared" si="8"/>
        <v>125.77962701119421</v>
      </c>
    </row>
    <row r="122" spans="1:29" x14ac:dyDescent="0.2">
      <c r="A122">
        <f>VLOOKUP(C122,Leonard2010!E:CD,78,FALSE)</f>
        <v>121</v>
      </c>
      <c r="B122" s="50" t="s">
        <v>270</v>
      </c>
      <c r="C122" s="50" t="s">
        <v>272</v>
      </c>
      <c r="D122" s="50" t="s">
        <v>42</v>
      </c>
      <c r="E122">
        <v>0.5</v>
      </c>
      <c r="F122">
        <v>-12.787000000000001</v>
      </c>
      <c r="G122">
        <v>34.195999999999998</v>
      </c>
      <c r="H122">
        <v>9.1</v>
      </c>
      <c r="I122">
        <v>325</v>
      </c>
      <c r="J122">
        <v>53</v>
      </c>
      <c r="K122" t="str">
        <f>VLOOKUP(C122,Leonard2010!E:P,12,FALSE)</f>
        <v>E</v>
      </c>
      <c r="L122">
        <f>VLOOKUP(C122,Leonard2010!E:Q,13,FALSE)</f>
        <v>0</v>
      </c>
      <c r="M122">
        <f>VLOOKUP(C122,Leonard2010!E:R,14,FALSE)</f>
        <v>0</v>
      </c>
      <c r="N122">
        <f t="shared" si="7"/>
        <v>7.6277943713108796</v>
      </c>
      <c r="O122">
        <f>VLOOKUP(B122,Leonard2010!D:CC,78,FALSE)</f>
        <v>345</v>
      </c>
      <c r="P122">
        <f>VLOOKUP(B122,FaultGeometry!B:G,6,FALSE)</f>
        <v>348</v>
      </c>
      <c r="Q122">
        <f>VLOOKUP(B122,FaultGeometry!B:L,11,FALSE)</f>
        <v>13.781597580886626</v>
      </c>
      <c r="R122">
        <f>VLOOKUP(C122,Leonard2010!E:CE,79,FALSE)</f>
        <v>0</v>
      </c>
      <c r="S122" t="str">
        <f>VLOOKUP(R122,FaultGeometry!W:X,2,FALSE)</f>
        <v>NA</v>
      </c>
      <c r="T122">
        <f>VLOOKUP(C122,Leonard2010!E:BA,44,FALSE)</f>
        <v>5.4139870325384933</v>
      </c>
      <c r="U122">
        <f>VLOOKUP(C122,Leonard2010!E:BA,45,FALSE)</f>
        <v>5.8469720602179152</v>
      </c>
      <c r="V122">
        <f>VLOOKUP(C122,Leonard2010!E:BB,46,FALSE)</f>
        <v>6.3348057864908682</v>
      </c>
      <c r="W122">
        <v>1055.660738313014</v>
      </c>
      <c r="X122">
        <v>3944.9702236908215</v>
      </c>
      <c r="Y122">
        <v>14742.226835751351</v>
      </c>
      <c r="Z122">
        <f t="shared" si="9"/>
        <v>83827085162741.547</v>
      </c>
      <c r="AA122">
        <v>7.7104583267010321E-2</v>
      </c>
      <c r="AB122">
        <v>8.0038965956498093E-2</v>
      </c>
      <c r="AC122">
        <f t="shared" si="8"/>
        <v>69.412928778929</v>
      </c>
    </row>
    <row r="123" spans="1:29" x14ac:dyDescent="0.2">
      <c r="A123">
        <f>VLOOKUP(C123,Leonard2010!E:CD,78,FALSE)</f>
        <v>122</v>
      </c>
      <c r="B123" s="50" t="s">
        <v>106</v>
      </c>
      <c r="C123" s="50" t="s">
        <v>107</v>
      </c>
      <c r="D123" s="50" t="s">
        <v>42</v>
      </c>
      <c r="E123">
        <v>1</v>
      </c>
      <c r="F123">
        <v>-13.061999999999999</v>
      </c>
      <c r="G123">
        <v>34.197000000000003</v>
      </c>
      <c r="H123">
        <v>10</v>
      </c>
      <c r="I123">
        <v>175</v>
      </c>
      <c r="J123">
        <v>53</v>
      </c>
      <c r="K123" t="str">
        <f>VLOOKUP(C123,Leonard2010!E:P,12,FALSE)</f>
        <v>W</v>
      </c>
      <c r="L123">
        <f>VLOOKUP(C123,Leonard2010!E:Q,13,FALSE)</f>
        <v>0</v>
      </c>
      <c r="M123">
        <f>VLOOKUP(C123,Leonard2010!E:R,14,FALSE)</f>
        <v>0</v>
      </c>
      <c r="N123">
        <f t="shared" si="7"/>
        <v>8.1227804588223673</v>
      </c>
      <c r="O123">
        <f>VLOOKUP(B123,Leonard2010!D:CC,78,FALSE)</f>
        <v>346</v>
      </c>
      <c r="P123">
        <f>VLOOKUP(B123,FaultGeometry!B:G,6,FALSE)</f>
        <v>183</v>
      </c>
      <c r="Q123">
        <f>VLOOKUP(B123,FaultGeometry!B:L,11,FALSE)</f>
        <v>17.045919681314007</v>
      </c>
      <c r="R123">
        <f>VLOOKUP(C123,Leonard2010!E:CE,79,FALSE)</f>
        <v>0</v>
      </c>
      <c r="S123" t="str">
        <f>VLOOKUP(R123,FaultGeometry!W:X,2,FALSE)</f>
        <v>NA</v>
      </c>
      <c r="T123">
        <f>VLOOKUP(C123,Leonard2010!E:BA,44,FALSE)</f>
        <v>5.4822513786700044</v>
      </c>
      <c r="U123">
        <f>VLOOKUP(C123,Leonard2010!E:BA,45,FALSE)</f>
        <v>5.9152364063494263</v>
      </c>
      <c r="V123">
        <f>VLOOKUP(C123,Leonard2010!E:BB,46,FALSE)</f>
        <v>6.4030701326223793</v>
      </c>
      <c r="W123">
        <v>1095.3284583022855</v>
      </c>
      <c r="X123">
        <v>4111.3252701489928</v>
      </c>
      <c r="Y123">
        <v>15431.896568418078</v>
      </c>
      <c r="Z123">
        <f t="shared" si="9"/>
        <v>203644540643249.09</v>
      </c>
      <c r="AA123">
        <v>8.0422729200824661E-2</v>
      </c>
      <c r="AB123">
        <v>8.2604677536205109E-2</v>
      </c>
      <c r="AC123">
        <f t="shared" si="8"/>
        <v>81.227804588223677</v>
      </c>
    </row>
    <row r="124" spans="1:29" x14ac:dyDescent="0.2">
      <c r="A124">
        <f>VLOOKUP(C124,Leonard2010!E:CD,78,FALSE)</f>
        <v>123</v>
      </c>
      <c r="B124" s="50" t="s">
        <v>106</v>
      </c>
      <c r="C124" s="56" t="s">
        <v>108</v>
      </c>
      <c r="D124" s="50" t="s">
        <v>42</v>
      </c>
      <c r="E124">
        <v>1</v>
      </c>
      <c r="F124">
        <v>-12.964</v>
      </c>
      <c r="G124">
        <v>34.222999999999999</v>
      </c>
      <c r="H124">
        <v>11.2</v>
      </c>
      <c r="I124">
        <v>195</v>
      </c>
      <c r="J124">
        <v>53</v>
      </c>
      <c r="K124" t="str">
        <f>VLOOKUP(C124,Leonard2010!E:P,12,FALSE)</f>
        <v>W</v>
      </c>
      <c r="L124">
        <f>VLOOKUP(C124,Leonard2010!E:Q,13,FALSE)</f>
        <v>0</v>
      </c>
      <c r="M124">
        <f>VLOOKUP(C124,Leonard2010!E:R,14,FALSE)</f>
        <v>0</v>
      </c>
      <c r="N124">
        <f t="shared" si="7"/>
        <v>8.7602546439463538</v>
      </c>
      <c r="O124">
        <f>VLOOKUP(B124,Leonard2010!D:CC,78,FALSE)</f>
        <v>346</v>
      </c>
      <c r="P124">
        <f>VLOOKUP(B124,FaultGeometry!B:G,6,FALSE)</f>
        <v>183</v>
      </c>
      <c r="Q124">
        <f>VLOOKUP(B124,FaultGeometry!B:L,11,FALSE)</f>
        <v>17.045919681314007</v>
      </c>
      <c r="R124">
        <f>VLOOKUP(C124,Leonard2010!E:CE,79,FALSE)</f>
        <v>0</v>
      </c>
      <c r="S124" t="str">
        <f>VLOOKUP(R124,FaultGeometry!W:X,2,FALSE)</f>
        <v>NA</v>
      </c>
      <c r="T124">
        <f>VLOOKUP(C124,Leonard2010!E:BA,44,FALSE)</f>
        <v>5.5642814164536416</v>
      </c>
      <c r="U124">
        <f>VLOOKUP(C124,Leonard2010!E:BA,45,FALSE)</f>
        <v>5.9972664441330634</v>
      </c>
      <c r="V124">
        <f>VLOOKUP(C124,Leonard2010!E:BB,46,FALSE)</f>
        <v>6.4851001704060165</v>
      </c>
      <c r="W124">
        <v>1334.1422060554578</v>
      </c>
      <c r="X124">
        <v>5228.9972693873506</v>
      </c>
      <c r="Y124">
        <v>20494.376325970003</v>
      </c>
      <c r="Z124">
        <f t="shared" si="9"/>
        <v>212559857945101.97</v>
      </c>
      <c r="AA124">
        <v>6.9895256137304143E-2</v>
      </c>
      <c r="AB124">
        <v>7.5356302921885776E-2</v>
      </c>
      <c r="AC124">
        <f t="shared" si="8"/>
        <v>98.114852012199151</v>
      </c>
    </row>
    <row r="125" spans="1:29" x14ac:dyDescent="0.2">
      <c r="A125">
        <f>VLOOKUP(C125,Leonard2010!E:CD,78,FALSE)</f>
        <v>124</v>
      </c>
      <c r="B125" s="50" t="s">
        <v>106</v>
      </c>
      <c r="C125" s="50" t="s">
        <v>109</v>
      </c>
      <c r="D125" s="50" t="s">
        <v>42</v>
      </c>
      <c r="E125">
        <v>1</v>
      </c>
      <c r="F125">
        <v>-12.881</v>
      </c>
      <c r="G125">
        <v>34.219000000000001</v>
      </c>
      <c r="H125">
        <v>9.1999999999999993</v>
      </c>
      <c r="I125">
        <v>177</v>
      </c>
      <c r="J125">
        <v>53</v>
      </c>
      <c r="K125" t="str">
        <f>VLOOKUP(C125,Leonard2010!E:P,12,FALSE)</f>
        <v>W</v>
      </c>
      <c r="L125">
        <f>VLOOKUP(C125,Leonard2010!E:Q,13,FALSE)</f>
        <v>0</v>
      </c>
      <c r="M125">
        <f>VLOOKUP(C125,Leonard2010!E:R,14,FALSE)</f>
        <v>0</v>
      </c>
      <c r="N125">
        <f t="shared" si="7"/>
        <v>7.6835737987750443</v>
      </c>
      <c r="O125">
        <f>VLOOKUP(B125,Leonard2010!D:CC,78,FALSE)</f>
        <v>346</v>
      </c>
      <c r="P125">
        <f>VLOOKUP(B125,FaultGeometry!B:G,6,FALSE)</f>
        <v>183</v>
      </c>
      <c r="Q125">
        <f>VLOOKUP(B125,FaultGeometry!B:L,11,FALSE)</f>
        <v>17.045919681314007</v>
      </c>
      <c r="R125">
        <f>VLOOKUP(C125,Leonard2010!E:CE,79,FALSE)</f>
        <v>0</v>
      </c>
      <c r="S125" t="str">
        <f>VLOOKUP(R125,FaultGeometry!W:X,2,FALSE)</f>
        <v>NA</v>
      </c>
      <c r="T125">
        <f>VLOOKUP(C125,Leonard2010!E:BA,44,FALSE)</f>
        <v>5.421897757579262</v>
      </c>
      <c r="U125">
        <f>VLOOKUP(C125,Leonard2010!E:BA,45,FALSE)</f>
        <v>5.8548827852586838</v>
      </c>
      <c r="V125">
        <f>VLOOKUP(C125,Leonard2010!E:BB,46,FALSE)</f>
        <v>6.3427165115316368</v>
      </c>
      <c r="W125">
        <v>1059.288494636929</v>
      </c>
      <c r="X125">
        <v>3944.7125572427167</v>
      </c>
      <c r="Y125">
        <v>14689.819853657355</v>
      </c>
      <c r="Z125">
        <f t="shared" si="9"/>
        <v>172309338551894.81</v>
      </c>
      <c r="AA125">
        <v>7.8304992260405146E-2</v>
      </c>
      <c r="AB125">
        <v>8.0090496050458329E-2</v>
      </c>
      <c r="AC125">
        <f t="shared" si="8"/>
        <v>70.688878948730405</v>
      </c>
    </row>
    <row r="126" spans="1:29" x14ac:dyDescent="0.2">
      <c r="A126">
        <f>VLOOKUP(C126,Leonard2010!E:CD,78,FALSE)</f>
        <v>125</v>
      </c>
      <c r="B126" s="50" t="s">
        <v>459</v>
      </c>
      <c r="C126" s="50" t="s">
        <v>461</v>
      </c>
      <c r="D126" s="50" t="s">
        <v>457</v>
      </c>
      <c r="E126">
        <v>0.5</v>
      </c>
      <c r="F126">
        <v>-12.846</v>
      </c>
      <c r="G126">
        <v>34.450000000000003</v>
      </c>
      <c r="H126">
        <v>31.8</v>
      </c>
      <c r="I126">
        <v>17</v>
      </c>
      <c r="J126">
        <v>53</v>
      </c>
      <c r="K126" t="str">
        <f>VLOOKUP(C126,Leonard2010!E:P,12,FALSE)</f>
        <v>E</v>
      </c>
      <c r="L126">
        <f>VLOOKUP(C126,Leonard2010!E:Q,13,FALSE)</f>
        <v>1.5</v>
      </c>
      <c r="M126">
        <f>VLOOKUP(C126,Leonard2010!E:R,14,FALSE)</f>
        <v>0</v>
      </c>
      <c r="N126">
        <f t="shared" si="7"/>
        <v>17.565322532809489</v>
      </c>
      <c r="O126">
        <f>VLOOKUP(B126,Leonard2010!D:CC,78,FALSE)</f>
        <v>349</v>
      </c>
      <c r="P126">
        <f>VLOOKUP(B126,FaultGeometry!B:G,6,FALSE)</f>
        <v>14</v>
      </c>
      <c r="Q126">
        <f>VLOOKUP(B126,FaultGeometry!B:L,11,FALSE)</f>
        <v>27.147646713038988</v>
      </c>
      <c r="R126">
        <f>VLOOKUP(C126,Leonard2010!E:CE,79,FALSE)</f>
        <v>606</v>
      </c>
      <c r="S126">
        <f>VLOOKUP(R126,FaultGeometry!W:X,2,FALSE)</f>
        <v>39.712007757475227</v>
      </c>
      <c r="T126">
        <f>VLOOKUP(C126,Leonard2010!E:BA,44,FALSE)</f>
        <v>6.3196299119773913</v>
      </c>
      <c r="U126">
        <f>VLOOKUP(C126,Leonard2010!E:BA,45,FALSE)</f>
        <v>6.7526149396568131</v>
      </c>
      <c r="V126">
        <f>VLOOKUP(C126,Leonard2010!E:BB,46,FALSE)</f>
        <v>7.2404486659297662</v>
      </c>
      <c r="W126">
        <v>3202.2896280259292</v>
      </c>
      <c r="X126">
        <v>12643.350286002409</v>
      </c>
      <c r="Y126">
        <v>49918.753461753658</v>
      </c>
      <c r="Z126">
        <f t="shared" si="9"/>
        <v>597076864540579</v>
      </c>
      <c r="AA126">
        <v>6.877799075090249E-2</v>
      </c>
      <c r="AB126">
        <v>7.3594657850405754E-2</v>
      </c>
      <c r="AC126">
        <f t="shared" si="8"/>
        <v>558.57725654334172</v>
      </c>
    </row>
    <row r="127" spans="1:29" x14ac:dyDescent="0.2">
      <c r="A127">
        <f>VLOOKUP(C127,Leonard2010!E:CD,78,FALSE)</f>
        <v>126</v>
      </c>
      <c r="B127" s="50" t="s">
        <v>459</v>
      </c>
      <c r="C127" s="50" t="s">
        <v>463</v>
      </c>
      <c r="D127" s="50" t="s">
        <v>457</v>
      </c>
      <c r="E127">
        <v>0.5</v>
      </c>
      <c r="F127">
        <v>-13.106999999999999</v>
      </c>
      <c r="G127">
        <v>34.406999999999996</v>
      </c>
      <c r="H127">
        <v>29.3</v>
      </c>
      <c r="I127">
        <v>10</v>
      </c>
      <c r="J127">
        <v>53</v>
      </c>
      <c r="K127" t="str">
        <f>VLOOKUP(C127,Leonard2010!E:P,12,FALSE)</f>
        <v>E</v>
      </c>
      <c r="L127">
        <f>VLOOKUP(C127,Leonard2010!E:Q,13,FALSE)</f>
        <v>1.5</v>
      </c>
      <c r="M127">
        <f>VLOOKUP(C127,Leonard2010!E:R,14,FALSE)</f>
        <v>0</v>
      </c>
      <c r="N127">
        <f t="shared" si="7"/>
        <v>16.632203711010145</v>
      </c>
      <c r="O127">
        <f>VLOOKUP(B127,Leonard2010!D:CC,78,FALSE)</f>
        <v>349</v>
      </c>
      <c r="P127">
        <f>VLOOKUP(B127,FaultGeometry!B:G,6,FALSE)</f>
        <v>14</v>
      </c>
      <c r="Q127">
        <f>VLOOKUP(B127,FaultGeometry!B:L,11,FALSE)</f>
        <v>27.147646713038988</v>
      </c>
      <c r="R127">
        <f>VLOOKUP(C127,Leonard2010!E:CE,79,FALSE)</f>
        <v>606</v>
      </c>
      <c r="S127">
        <f>VLOOKUP(R127,FaultGeometry!W:X,2,FALSE)</f>
        <v>39.712007757475227</v>
      </c>
      <c r="T127">
        <f>VLOOKUP(C127,Leonard2010!E:BA,44,FALSE)</f>
        <v>6.2603640792601851</v>
      </c>
      <c r="U127">
        <f>VLOOKUP(C127,Leonard2010!E:BA,45,FALSE)</f>
        <v>6.6933491069396069</v>
      </c>
      <c r="V127">
        <f>VLOOKUP(C127,Leonard2010!E:BB,46,FALSE)</f>
        <v>7.18118283321256</v>
      </c>
      <c r="W127">
        <v>2841.6379118255104</v>
      </c>
      <c r="X127">
        <v>11029.370100430369</v>
      </c>
      <c r="Y127">
        <v>42808.763321333769</v>
      </c>
      <c r="Z127">
        <f t="shared" si="9"/>
        <v>557754335292108.75</v>
      </c>
      <c r="AA127">
        <v>7.3040343735017638E-2</v>
      </c>
      <c r="AB127">
        <v>7.6893459178261181E-2</v>
      </c>
      <c r="AC127">
        <f t="shared" si="8"/>
        <v>487.32356873259727</v>
      </c>
    </row>
    <row r="128" spans="1:29" x14ac:dyDescent="0.2">
      <c r="A128">
        <f>VLOOKUP(C128,Leonard2010!E:CD,78,FALSE)</f>
        <v>127</v>
      </c>
      <c r="B128" s="50" t="s">
        <v>460</v>
      </c>
      <c r="C128" s="50" t="s">
        <v>464</v>
      </c>
      <c r="D128" s="50" t="s">
        <v>458</v>
      </c>
      <c r="E128">
        <v>0.5</v>
      </c>
      <c r="F128">
        <v>-12.846</v>
      </c>
      <c r="G128">
        <v>34.450000000000003</v>
      </c>
      <c r="H128">
        <v>31.8</v>
      </c>
      <c r="I128">
        <v>17</v>
      </c>
      <c r="J128">
        <v>53</v>
      </c>
      <c r="K128" t="str">
        <f>VLOOKUP(C128,Leonard2010!E:P,12,FALSE)</f>
        <v>E</v>
      </c>
      <c r="L128">
        <f>VLOOKUP(C128,Leonard2010!E:Q,13,FALSE)</f>
        <v>1.5</v>
      </c>
      <c r="M128">
        <f>VLOOKUP(C128,Leonard2010!E:R,14,FALSE)</f>
        <v>0</v>
      </c>
      <c r="N128">
        <f t="shared" ref="N128:N129" si="12">MIN((((H128*1000)^(2/3)*17.5)/1000),((35-M128)/SIN(RADIANS(J128))))</f>
        <v>17.565322532809489</v>
      </c>
      <c r="O128">
        <f>VLOOKUP(B128,Leonard2010!D:CC,78,FALSE)</f>
        <v>350</v>
      </c>
      <c r="P128">
        <f>VLOOKUP(B128,FaultGeometry!B:G,6,FALSE)</f>
        <v>14</v>
      </c>
      <c r="Q128">
        <f>VLOOKUP(B128,FaultGeometry!B:L,11,FALSE)</f>
        <v>27.147646713038988</v>
      </c>
      <c r="R128">
        <f>VLOOKUP(C128,Leonard2010!E:CE,79,FALSE)</f>
        <v>607</v>
      </c>
      <c r="S128">
        <f>VLOOKUP(R128,FaultGeometry!W:X,2,FALSE)</f>
        <v>39.712007757475227</v>
      </c>
      <c r="T128">
        <f>VLOOKUP(C128,Leonard2010!E:BA,44,FALSE)</f>
        <v>6.3196299119773913</v>
      </c>
      <c r="U128">
        <f>VLOOKUP(C128,Leonard2010!E:BA,45,FALSE)</f>
        <v>6.7526149396568131</v>
      </c>
      <c r="V128">
        <f>VLOOKUP(C128,Leonard2010!E:BB,46,FALSE)</f>
        <v>7.2404486659297662</v>
      </c>
      <c r="W128">
        <v>3280.8581624003277</v>
      </c>
      <c r="X128">
        <v>13044.160887996841</v>
      </c>
      <c r="Y128">
        <v>51861.471861819831</v>
      </c>
      <c r="Z128">
        <f t="shared" si="9"/>
        <v>578730361490798.88</v>
      </c>
      <c r="AA128">
        <v>6.7200839183327171E-2</v>
      </c>
      <c r="AB128">
        <v>7.1997133210759415E-2</v>
      </c>
      <c r="AC128">
        <f t="shared" si="8"/>
        <v>558.57725654334172</v>
      </c>
    </row>
    <row r="129" spans="1:29" x14ac:dyDescent="0.2">
      <c r="A129">
        <f>VLOOKUP(C129,Leonard2010!E:CD,78,FALSE)</f>
        <v>128</v>
      </c>
      <c r="B129" s="50" t="s">
        <v>460</v>
      </c>
      <c r="C129" s="50" t="s">
        <v>462</v>
      </c>
      <c r="D129" s="50" t="s">
        <v>458</v>
      </c>
      <c r="E129">
        <v>0.5</v>
      </c>
      <c r="F129">
        <v>-13.106999999999999</v>
      </c>
      <c r="G129">
        <v>34.406999999999996</v>
      </c>
      <c r="H129">
        <v>29.3</v>
      </c>
      <c r="I129">
        <v>10</v>
      </c>
      <c r="J129">
        <v>53</v>
      </c>
      <c r="K129" t="str">
        <f>VLOOKUP(C129,Leonard2010!E:P,12,FALSE)</f>
        <v>E</v>
      </c>
      <c r="L129">
        <f>VLOOKUP(C129,Leonard2010!E:Q,13,FALSE)</f>
        <v>1.5</v>
      </c>
      <c r="M129">
        <f>VLOOKUP(C129,Leonard2010!E:R,14,FALSE)</f>
        <v>0</v>
      </c>
      <c r="N129">
        <f t="shared" si="12"/>
        <v>16.632203711010145</v>
      </c>
      <c r="O129">
        <f>VLOOKUP(B129,Leonard2010!D:CC,78,FALSE)</f>
        <v>350</v>
      </c>
      <c r="P129">
        <f>VLOOKUP(B129,FaultGeometry!B:G,6,FALSE)</f>
        <v>14</v>
      </c>
      <c r="Q129">
        <f>VLOOKUP(B129,FaultGeometry!B:L,11,FALSE)</f>
        <v>27.147646713038988</v>
      </c>
      <c r="R129">
        <f>VLOOKUP(C129,Leonard2010!E:CE,79,FALSE)</f>
        <v>607</v>
      </c>
      <c r="S129">
        <f>VLOOKUP(R129,FaultGeometry!W:X,2,FALSE)</f>
        <v>39.712007757475227</v>
      </c>
      <c r="T129">
        <f>VLOOKUP(C129,Leonard2010!E:BA,44,FALSE)</f>
        <v>6.2603640792601851</v>
      </c>
      <c r="U129">
        <f>VLOOKUP(C129,Leonard2010!E:BA,45,FALSE)</f>
        <v>6.6933491069396069</v>
      </c>
      <c r="V129">
        <f>VLOOKUP(C129,Leonard2010!E:BB,46,FALSE)</f>
        <v>7.18118283321256</v>
      </c>
      <c r="W129">
        <v>2831.8559313341743</v>
      </c>
      <c r="X129">
        <v>10910.528196157364</v>
      </c>
      <c r="Y129">
        <v>42035.904511237532</v>
      </c>
      <c r="Z129">
        <f t="shared" si="9"/>
        <v>563829622036336.62</v>
      </c>
      <c r="AA129">
        <v>7.457966135886672E-2</v>
      </c>
      <c r="AB129">
        <v>7.8681339343437434E-2</v>
      </c>
      <c r="AC129">
        <f t="shared" si="8"/>
        <v>487.32356873259727</v>
      </c>
    </row>
    <row r="130" spans="1:29" x14ac:dyDescent="0.2">
      <c r="A130">
        <f>VLOOKUP(C130,Leonard2010!E:CD,78,FALSE)</f>
        <v>129</v>
      </c>
      <c r="B130" s="50" t="s">
        <v>451</v>
      </c>
      <c r="C130" s="50" t="s">
        <v>441</v>
      </c>
      <c r="D130" s="50" t="s">
        <v>448</v>
      </c>
      <c r="E130">
        <f>1/3</f>
        <v>0.33333333333333331</v>
      </c>
      <c r="F130">
        <v>-13.083</v>
      </c>
      <c r="G130">
        <v>34.746000000000002</v>
      </c>
      <c r="H130">
        <v>49.9</v>
      </c>
      <c r="I130">
        <v>174</v>
      </c>
      <c r="J130">
        <v>53</v>
      </c>
      <c r="K130" t="str">
        <f>VLOOKUP(C130,Leonard2010!E:P,12,FALSE)</f>
        <v>W</v>
      </c>
      <c r="L130">
        <f>VLOOKUP(C130,Leonard2010!E:Q,13,FALSE)</f>
        <v>1.5</v>
      </c>
      <c r="M130">
        <f>VLOOKUP(C130,Leonard2010!E:R,14,FALSE)</f>
        <v>0</v>
      </c>
      <c r="N130">
        <f t="shared" ref="N130:N196" si="13">MIN((((H130*1000)^(2/3)*17.5)/1000),((35-M130)/SIN(RADIANS(J130))))</f>
        <v>23.71947537421584</v>
      </c>
      <c r="O130">
        <f>VLOOKUP(B130,Leonard2010!D:CC,78,FALSE)</f>
        <v>352</v>
      </c>
      <c r="P130">
        <f>VLOOKUP(B130,FaultGeometry!B:G,6,FALSE)</f>
        <v>166</v>
      </c>
      <c r="Q130">
        <f>VLOOKUP(B130,FaultGeometry!B:L,11,FALSE)</f>
        <v>43.824748035467898</v>
      </c>
      <c r="R130">
        <f>VLOOKUP(C130,Leonard2010!E:CE,79,FALSE)</f>
        <v>608</v>
      </c>
      <c r="S130">
        <f>VLOOKUP(R130,FaultGeometry!W:X,2,FALSE)</f>
        <v>43.824748035467898</v>
      </c>
      <c r="T130">
        <f>VLOOKUP(C130,Leonard2010!E:BA,44,FALSE)</f>
        <v>6.6457522880423214</v>
      </c>
      <c r="U130">
        <f>VLOOKUP(C130,Leonard2010!E:BA,45,FALSE)</f>
        <v>7.0787373157217433</v>
      </c>
      <c r="V130">
        <f>VLOOKUP(C130,Leonard2010!E:BB,46,FALSE)</f>
        <v>7.5665710419946963</v>
      </c>
      <c r="W130">
        <v>884.8209030668711</v>
      </c>
      <c r="X130">
        <v>2433.4639704532865</v>
      </c>
      <c r="Y130">
        <v>6692.5938062368859</v>
      </c>
      <c r="Z130">
        <f t="shared" si="9"/>
        <v>6379105699916370</v>
      </c>
      <c r="AA130">
        <v>0.51805719963888319</v>
      </c>
      <c r="AB130">
        <v>0.23500001192011216</v>
      </c>
      <c r="AC130">
        <f t="shared" si="8"/>
        <v>1183.6018211733704</v>
      </c>
    </row>
    <row r="131" spans="1:29" x14ac:dyDescent="0.2">
      <c r="A131">
        <f>VLOOKUP(C131,Leonard2010!E:CD,78,FALSE)</f>
        <v>130</v>
      </c>
      <c r="B131" s="50" t="s">
        <v>451</v>
      </c>
      <c r="C131" s="50" t="s">
        <v>442</v>
      </c>
      <c r="D131" s="50" t="s">
        <v>448</v>
      </c>
      <c r="E131">
        <f t="shared" ref="E131:E143" si="14">1/3</f>
        <v>0.33333333333333331</v>
      </c>
      <c r="F131">
        <v>-12.532</v>
      </c>
      <c r="G131">
        <v>34.646000000000001</v>
      </c>
      <c r="H131">
        <v>61.9</v>
      </c>
      <c r="I131">
        <v>170</v>
      </c>
      <c r="J131">
        <v>53</v>
      </c>
      <c r="K131" t="str">
        <f>VLOOKUP(C131,Leonard2010!E:P,12,FALSE)</f>
        <v>W</v>
      </c>
      <c r="L131">
        <f>VLOOKUP(C131,Leonard2010!E:Q,13,FALSE)</f>
        <v>1.5</v>
      </c>
      <c r="M131">
        <f>VLOOKUP(C131,Leonard2010!E:R,14,FALSE)</f>
        <v>0</v>
      </c>
      <c r="N131">
        <f t="shared" si="13"/>
        <v>27.384100586214633</v>
      </c>
      <c r="O131">
        <f>VLOOKUP(B131,Leonard2010!D:CC,78,FALSE)</f>
        <v>352</v>
      </c>
      <c r="P131">
        <f>VLOOKUP(B131,FaultGeometry!B:G,6,FALSE)</f>
        <v>166</v>
      </c>
      <c r="Q131">
        <f>VLOOKUP(B131,FaultGeometry!B:L,11,FALSE)</f>
        <v>43.824748035467898</v>
      </c>
      <c r="R131">
        <f>VLOOKUP(C131,Leonard2010!E:CE,79,FALSE)</f>
        <v>608</v>
      </c>
      <c r="S131">
        <f>VLOOKUP(R131,FaultGeometry!W:X,2,FALSE)</f>
        <v>43.824748035467898</v>
      </c>
      <c r="T131">
        <f>VLOOKUP(C131,Leonard2010!E:BA,44,FALSE)</f>
        <v>6.801735793703533</v>
      </c>
      <c r="U131">
        <f>VLOOKUP(C131,Leonard2010!E:BA,45,FALSE)</f>
        <v>7.2347208213829548</v>
      </c>
      <c r="V131">
        <f>VLOOKUP(C131,Leonard2010!E:BB,46,FALSE)</f>
        <v>7.7225545476559079</v>
      </c>
      <c r="W131">
        <v>1100.5494283126773</v>
      </c>
      <c r="X131">
        <v>2938.0608005680201</v>
      </c>
      <c r="Y131">
        <v>7843.538005438777</v>
      </c>
      <c r="Z131">
        <f t="shared" si="9"/>
        <v>9055224010377924</v>
      </c>
      <c r="AA131">
        <v>0.51720180545193439</v>
      </c>
      <c r="AB131">
        <v>0.22622765613173515</v>
      </c>
      <c r="AC131">
        <f t="shared" ref="AC131:AC194" si="15">N131*H131</f>
        <v>1695.0758262866857</v>
      </c>
    </row>
    <row r="132" spans="1:29" x14ac:dyDescent="0.2">
      <c r="A132">
        <f>VLOOKUP(C132,Leonard2010!E:CD,78,FALSE)</f>
        <v>131</v>
      </c>
      <c r="B132" s="50" t="s">
        <v>451</v>
      </c>
      <c r="C132" s="50" t="s">
        <v>443</v>
      </c>
      <c r="D132" s="50" t="s">
        <v>448</v>
      </c>
      <c r="E132">
        <f t="shared" si="14"/>
        <v>0.33333333333333331</v>
      </c>
      <c r="F132">
        <v>-12.157</v>
      </c>
      <c r="G132">
        <v>34.43</v>
      </c>
      <c r="H132">
        <v>47.7</v>
      </c>
      <c r="I132">
        <v>151</v>
      </c>
      <c r="J132">
        <v>53</v>
      </c>
      <c r="K132" t="str">
        <f>VLOOKUP(C132,Leonard2010!E:P,12,FALSE)</f>
        <v>W</v>
      </c>
      <c r="L132">
        <f>VLOOKUP(C132,Leonard2010!E:Q,13,FALSE)</f>
        <v>1.5</v>
      </c>
      <c r="M132">
        <f>VLOOKUP(C132,Leonard2010!E:R,14,FALSE)</f>
        <v>0</v>
      </c>
      <c r="N132">
        <f t="shared" si="13"/>
        <v>23.017083932182025</v>
      </c>
      <c r="O132">
        <f>VLOOKUP(B132,Leonard2010!D:CC,78,FALSE)</f>
        <v>352</v>
      </c>
      <c r="P132">
        <f>VLOOKUP(B132,FaultGeometry!B:G,6,FALSE)</f>
        <v>166</v>
      </c>
      <c r="Q132">
        <f>VLOOKUP(B132,FaultGeometry!B:L,11,FALSE)</f>
        <v>43.824748035467898</v>
      </c>
      <c r="R132">
        <f>VLOOKUP(C132,Leonard2010!E:CE,79,FALSE)</f>
        <v>608</v>
      </c>
      <c r="S132">
        <f>VLOOKUP(R132,FaultGeometry!W:X,2,FALSE)</f>
        <v>43.824748035467898</v>
      </c>
      <c r="T132">
        <f>VLOOKUP(C132,Leonard2010!E:BA,44,FALSE)</f>
        <v>6.6131153437368608</v>
      </c>
      <c r="U132">
        <f>VLOOKUP(C132,Leonard2010!E:BA,45,FALSE)</f>
        <v>7.0461003714162826</v>
      </c>
      <c r="V132">
        <f>VLOOKUP(C132,Leonard2010!E:BB,46,FALSE)</f>
        <v>7.5339340976892357</v>
      </c>
      <c r="W132">
        <v>886.77870109040043</v>
      </c>
      <c r="X132">
        <v>2410.160952969522</v>
      </c>
      <c r="Y132">
        <v>6550.5360154413411</v>
      </c>
      <c r="Z132">
        <f t="shared" si="9"/>
        <v>5754177522920743</v>
      </c>
      <c r="AA132">
        <v>0.51515759194893107</v>
      </c>
      <c r="AB132">
        <v>0.23793996510638027</v>
      </c>
      <c r="AC132">
        <f t="shared" si="15"/>
        <v>1097.9149035650826</v>
      </c>
    </row>
    <row r="133" spans="1:29" x14ac:dyDescent="0.2">
      <c r="A133">
        <f>VLOOKUP(C133,Leonard2010!E:CD,78,FALSE)</f>
        <v>132</v>
      </c>
      <c r="B133" s="50" t="s">
        <v>452</v>
      </c>
      <c r="C133" s="50" t="s">
        <v>444</v>
      </c>
      <c r="D133" s="50" t="s">
        <v>447</v>
      </c>
      <c r="E133">
        <f t="shared" si="14"/>
        <v>0.33333333333333331</v>
      </c>
      <c r="F133">
        <v>-13.083</v>
      </c>
      <c r="G133">
        <v>34.746000000000002</v>
      </c>
      <c r="H133">
        <v>49.9</v>
      </c>
      <c r="I133">
        <v>174</v>
      </c>
      <c r="J133">
        <v>53</v>
      </c>
      <c r="K133" t="str">
        <f>VLOOKUP(C133,Leonard2010!E:P,12,FALSE)</f>
        <v>W</v>
      </c>
      <c r="L133">
        <f>VLOOKUP(C133,Leonard2010!E:Q,13,FALSE)</f>
        <v>1.5</v>
      </c>
      <c r="M133">
        <f>VLOOKUP(C133,Leonard2010!E:R,14,FALSE)</f>
        <v>0</v>
      </c>
      <c r="N133">
        <f t="shared" ref="N133:N135" si="16">MIN((((H133*1000)^(2/3)*17.5)/1000),((35-M133)/SIN(RADIANS(J133))))</f>
        <v>23.71947537421584</v>
      </c>
      <c r="O133">
        <f>VLOOKUP(B133,Leonard2010!D:CC,78,FALSE)</f>
        <v>353</v>
      </c>
      <c r="P133">
        <f>VLOOKUP(B133,FaultGeometry!B:G,6,FALSE)</f>
        <v>166</v>
      </c>
      <c r="Q133">
        <f>VLOOKUP(B133,FaultGeometry!B:L,11,FALSE)</f>
        <v>43.824748035467898</v>
      </c>
      <c r="R133">
        <f>VLOOKUP(C133,Leonard2010!E:CE,79,FALSE)</f>
        <v>609</v>
      </c>
      <c r="S133">
        <f>VLOOKUP(R133,FaultGeometry!W:X,2,FALSE)</f>
        <v>43.824748035467898</v>
      </c>
      <c r="T133">
        <f>VLOOKUP(C133,Leonard2010!E:BA,44,FALSE)</f>
        <v>6.6457522880423214</v>
      </c>
      <c r="U133">
        <f>VLOOKUP(C133,Leonard2010!E:BA,45,FALSE)</f>
        <v>7.0787373157217433</v>
      </c>
      <c r="V133">
        <f>VLOOKUP(C133,Leonard2010!E:BB,46,FALSE)</f>
        <v>7.5665710419946963</v>
      </c>
      <c r="W133">
        <v>908.9176515775705</v>
      </c>
      <c r="X133">
        <v>2432.0855041010486</v>
      </c>
      <c r="Y133">
        <v>6507.7841639360367</v>
      </c>
      <c r="Z133">
        <f t="shared" si="9"/>
        <v>6382721272868010</v>
      </c>
      <c r="AA133">
        <v>0.52100495811234737</v>
      </c>
      <c r="AB133">
        <v>0.23529819558856552</v>
      </c>
      <c r="AC133">
        <f t="shared" si="15"/>
        <v>1183.6018211733704</v>
      </c>
    </row>
    <row r="134" spans="1:29" x14ac:dyDescent="0.2">
      <c r="A134">
        <f>VLOOKUP(C134,Leonard2010!E:CD,78,FALSE)</f>
        <v>133</v>
      </c>
      <c r="B134" s="50" t="s">
        <v>452</v>
      </c>
      <c r="C134" s="50" t="s">
        <v>445</v>
      </c>
      <c r="D134" s="50" t="s">
        <v>447</v>
      </c>
      <c r="E134">
        <f t="shared" si="14"/>
        <v>0.33333333333333331</v>
      </c>
      <c r="F134">
        <v>-12.532</v>
      </c>
      <c r="G134">
        <v>34.646000000000001</v>
      </c>
      <c r="H134">
        <v>61.9</v>
      </c>
      <c r="I134">
        <v>170</v>
      </c>
      <c r="J134">
        <v>53</v>
      </c>
      <c r="K134" t="str">
        <f>VLOOKUP(C134,Leonard2010!E:P,12,FALSE)</f>
        <v>W</v>
      </c>
      <c r="L134">
        <f>VLOOKUP(C134,Leonard2010!E:Q,13,FALSE)</f>
        <v>1.5</v>
      </c>
      <c r="M134">
        <f>VLOOKUP(C134,Leonard2010!E:R,14,FALSE)</f>
        <v>0</v>
      </c>
      <c r="N134">
        <f t="shared" si="16"/>
        <v>27.384100586214633</v>
      </c>
      <c r="O134">
        <f>VLOOKUP(B134,Leonard2010!D:CC,78,FALSE)</f>
        <v>353</v>
      </c>
      <c r="P134">
        <f>VLOOKUP(B134,FaultGeometry!B:G,6,FALSE)</f>
        <v>166</v>
      </c>
      <c r="Q134">
        <f>VLOOKUP(B134,FaultGeometry!B:L,11,FALSE)</f>
        <v>43.824748035467898</v>
      </c>
      <c r="R134">
        <f>VLOOKUP(C134,Leonard2010!E:CE,79,FALSE)</f>
        <v>609</v>
      </c>
      <c r="S134">
        <f>VLOOKUP(R134,FaultGeometry!W:X,2,FALSE)</f>
        <v>43.824748035467898</v>
      </c>
      <c r="T134">
        <f>VLOOKUP(C134,Leonard2010!E:BA,44,FALSE)</f>
        <v>6.801735793703533</v>
      </c>
      <c r="U134">
        <f>VLOOKUP(C134,Leonard2010!E:BA,45,FALSE)</f>
        <v>7.2347208213829548</v>
      </c>
      <c r="V134">
        <f>VLOOKUP(C134,Leonard2010!E:BB,46,FALSE)</f>
        <v>7.7225545476559079</v>
      </c>
      <c r="W134">
        <v>1087.7075957891232</v>
      </c>
      <c r="X134">
        <v>2927.7890828583554</v>
      </c>
      <c r="Y134">
        <v>7880.7474976633675</v>
      </c>
      <c r="Z134">
        <f t="shared" ref="Z134:Z201" si="17">IF(U134="NA",0,E134*10^(U134*1.5+9.05)/X134)</f>
        <v>9086992933001808</v>
      </c>
      <c r="AA134">
        <v>0.52272917599398605</v>
      </c>
      <c r="AB134">
        <v>0.23280789197294049</v>
      </c>
      <c r="AC134">
        <f t="shared" si="15"/>
        <v>1695.0758262866857</v>
      </c>
    </row>
    <row r="135" spans="1:29" x14ac:dyDescent="0.2">
      <c r="A135">
        <f>VLOOKUP(C135,Leonard2010!E:CD,78,FALSE)</f>
        <v>134</v>
      </c>
      <c r="B135" s="50" t="s">
        <v>452</v>
      </c>
      <c r="C135" s="50" t="s">
        <v>446</v>
      </c>
      <c r="D135" s="50" t="s">
        <v>447</v>
      </c>
      <c r="E135">
        <f t="shared" si="14"/>
        <v>0.33333333333333331</v>
      </c>
      <c r="F135">
        <v>-12.157</v>
      </c>
      <c r="G135">
        <v>34.43</v>
      </c>
      <c r="H135">
        <v>47.7</v>
      </c>
      <c r="I135">
        <v>151</v>
      </c>
      <c r="J135">
        <v>53</v>
      </c>
      <c r="K135" t="str">
        <f>VLOOKUP(C135,Leonard2010!E:P,12,FALSE)</f>
        <v>W</v>
      </c>
      <c r="L135">
        <f>VLOOKUP(C135,Leonard2010!E:Q,13,FALSE)</f>
        <v>1.5</v>
      </c>
      <c r="M135">
        <f>VLOOKUP(C135,Leonard2010!E:R,14,FALSE)</f>
        <v>0</v>
      </c>
      <c r="N135">
        <f t="shared" si="16"/>
        <v>23.017083932182025</v>
      </c>
      <c r="O135">
        <f>VLOOKUP(B135,Leonard2010!D:CC,78,FALSE)</f>
        <v>353</v>
      </c>
      <c r="P135">
        <f>VLOOKUP(B135,FaultGeometry!B:G,6,FALSE)</f>
        <v>166</v>
      </c>
      <c r="Q135">
        <f>VLOOKUP(B135,FaultGeometry!B:L,11,FALSE)</f>
        <v>43.824748035467898</v>
      </c>
      <c r="R135">
        <f>VLOOKUP(C135,Leonard2010!E:CE,79,FALSE)</f>
        <v>609</v>
      </c>
      <c r="S135">
        <f>VLOOKUP(R135,FaultGeometry!W:X,2,FALSE)</f>
        <v>43.824748035467898</v>
      </c>
      <c r="T135">
        <f>VLOOKUP(C135,Leonard2010!E:BA,44,FALSE)</f>
        <v>6.6131153437368608</v>
      </c>
      <c r="U135">
        <f>VLOOKUP(C135,Leonard2010!E:BA,45,FALSE)</f>
        <v>7.0461003714162826</v>
      </c>
      <c r="V135">
        <f>VLOOKUP(C135,Leonard2010!E:BB,46,FALSE)</f>
        <v>7.5339340976892357</v>
      </c>
      <c r="W135">
        <v>866.04438516737071</v>
      </c>
      <c r="X135">
        <v>2367.8670016614055</v>
      </c>
      <c r="Y135">
        <v>6474.0263127199969</v>
      </c>
      <c r="Z135">
        <f t="shared" si="17"/>
        <v>5856956481283653</v>
      </c>
      <c r="AA135">
        <v>0.51275623856357355</v>
      </c>
      <c r="AB135">
        <v>0.23173068699101892</v>
      </c>
      <c r="AC135">
        <f t="shared" si="15"/>
        <v>1097.9149035650826</v>
      </c>
    </row>
    <row r="136" spans="1:29" x14ac:dyDescent="0.2">
      <c r="A136">
        <f>VLOOKUP(C136,Leonard2010!E:CD,78,FALSE)</f>
        <v>135</v>
      </c>
      <c r="B136" s="50" t="s">
        <v>529</v>
      </c>
      <c r="C136" s="50" t="s">
        <v>530</v>
      </c>
      <c r="D136" s="50" t="s">
        <v>533</v>
      </c>
      <c r="E136">
        <f t="shared" si="14"/>
        <v>0.33333333333333331</v>
      </c>
      <c r="F136">
        <v>-13.083</v>
      </c>
      <c r="G136">
        <v>34.746000000000002</v>
      </c>
      <c r="H136">
        <v>49.9</v>
      </c>
      <c r="I136">
        <v>174</v>
      </c>
      <c r="J136">
        <v>53</v>
      </c>
      <c r="K136" t="str">
        <f>VLOOKUP(C136,Leonard2010!E:P,12,FALSE)</f>
        <v>W</v>
      </c>
      <c r="L136">
        <f>VLOOKUP(C136,Leonard2010!E:Q,13,FALSE)</f>
        <v>1.5</v>
      </c>
      <c r="M136">
        <f>VLOOKUP(C136,Leonard2010!E:R,14,FALSE)</f>
        <v>0</v>
      </c>
      <c r="N136">
        <f t="shared" ref="N136:N138" si="18">MIN((((H136*1000)^(2/3)*17.5)/1000),((35-M136)/SIN(RADIANS(J136))))</f>
        <v>23.71947537421584</v>
      </c>
      <c r="O136">
        <f>VLOOKUP(B136,Leonard2010!D:CC,78,FALSE)</f>
        <v>354</v>
      </c>
      <c r="P136">
        <f>VLOOKUP(B136,FaultGeometry!B:G,6,FALSE)</f>
        <v>166</v>
      </c>
      <c r="Q136">
        <f>VLOOKUP(B136,FaultGeometry!B:L,11,FALSE)</f>
        <v>43.824748035467898</v>
      </c>
      <c r="R136">
        <f>VLOOKUP(C136,Leonard2010!E:CE,79,FALSE)</f>
        <v>610</v>
      </c>
      <c r="S136">
        <f>VLOOKUP(R136,FaultGeometry!W:X,2,FALSE)</f>
        <v>43.824748035467898</v>
      </c>
      <c r="T136">
        <f>VLOOKUP(C136,Leonard2010!E:BA,44,FALSE)</f>
        <v>6.6457522880423214</v>
      </c>
      <c r="U136">
        <f>VLOOKUP(C136,Leonard2010!E:BA,45,FALSE)</f>
        <v>7.0787373157217433</v>
      </c>
      <c r="V136">
        <f>VLOOKUP(C136,Leonard2010!E:BB,46,FALSE)</f>
        <v>7.5665710419946963</v>
      </c>
      <c r="W136">
        <v>903.02716360365582</v>
      </c>
      <c r="X136">
        <v>2425.0903338664725</v>
      </c>
      <c r="Y136">
        <v>6512.609326106417</v>
      </c>
      <c r="Z136">
        <f t="shared" si="17"/>
        <v>6401132224922063</v>
      </c>
      <c r="AA136">
        <v>0.51824141389261724</v>
      </c>
      <c r="AB136">
        <v>0.23243841901120169</v>
      </c>
      <c r="AC136">
        <f t="shared" si="15"/>
        <v>1183.6018211733704</v>
      </c>
    </row>
    <row r="137" spans="1:29" x14ac:dyDescent="0.2">
      <c r="A137">
        <f>VLOOKUP(C137,Leonard2010!E:CD,78,FALSE)</f>
        <v>136</v>
      </c>
      <c r="B137" s="50" t="s">
        <v>529</v>
      </c>
      <c r="C137" s="50" t="s">
        <v>531</v>
      </c>
      <c r="D137" s="50" t="s">
        <v>533</v>
      </c>
      <c r="E137">
        <f t="shared" si="14"/>
        <v>0.33333333333333331</v>
      </c>
      <c r="F137">
        <v>-12.532</v>
      </c>
      <c r="G137">
        <v>34.646000000000001</v>
      </c>
      <c r="H137">
        <v>61.9</v>
      </c>
      <c r="I137">
        <v>170</v>
      </c>
      <c r="J137">
        <v>53</v>
      </c>
      <c r="K137" t="str">
        <f>VLOOKUP(C137,Leonard2010!E:P,12,FALSE)</f>
        <v>W</v>
      </c>
      <c r="L137">
        <f>VLOOKUP(C137,Leonard2010!E:Q,13,FALSE)</f>
        <v>1.5</v>
      </c>
      <c r="M137">
        <f>VLOOKUP(C137,Leonard2010!E:R,14,FALSE)</f>
        <v>0</v>
      </c>
      <c r="N137">
        <f t="shared" si="18"/>
        <v>27.384100586214633</v>
      </c>
      <c r="O137">
        <f>VLOOKUP(B137,Leonard2010!D:CC,78,FALSE)</f>
        <v>354</v>
      </c>
      <c r="P137">
        <f>VLOOKUP(B137,FaultGeometry!B:G,6,FALSE)</f>
        <v>166</v>
      </c>
      <c r="Q137">
        <f>VLOOKUP(B137,FaultGeometry!B:L,11,FALSE)</f>
        <v>43.824748035467898</v>
      </c>
      <c r="R137">
        <f>VLOOKUP(C137,Leonard2010!E:CE,79,FALSE)</f>
        <v>610</v>
      </c>
      <c r="S137">
        <f>VLOOKUP(R137,FaultGeometry!W:X,2,FALSE)</f>
        <v>43.824748035467898</v>
      </c>
      <c r="T137">
        <f>VLOOKUP(C137,Leonard2010!E:BA,44,FALSE)</f>
        <v>6.801735793703533</v>
      </c>
      <c r="U137">
        <f>VLOOKUP(C137,Leonard2010!E:BA,45,FALSE)</f>
        <v>7.2347208213829548</v>
      </c>
      <c r="V137">
        <f>VLOOKUP(C137,Leonard2010!E:BB,46,FALSE)</f>
        <v>7.7225545476559079</v>
      </c>
      <c r="W137">
        <v>1074.9345394472011</v>
      </c>
      <c r="X137">
        <v>2851.1618970074478</v>
      </c>
      <c r="Y137">
        <v>7562.4364690408147</v>
      </c>
      <c r="Z137">
        <f t="shared" ref="Z137:Z138" si="19">IF(U137="NA",0,E137*10^(U137*1.5+9.05)/X137)</f>
        <v>9331212911191702</v>
      </c>
      <c r="AA137">
        <v>0.52450552111363635</v>
      </c>
      <c r="AB137">
        <v>0.23254403640849453</v>
      </c>
      <c r="AC137">
        <f t="shared" si="15"/>
        <v>1695.0758262866857</v>
      </c>
    </row>
    <row r="138" spans="1:29" x14ac:dyDescent="0.2">
      <c r="A138">
        <f>VLOOKUP(C138,Leonard2010!E:CD,78,FALSE)</f>
        <v>137</v>
      </c>
      <c r="B138" s="50" t="s">
        <v>529</v>
      </c>
      <c r="C138" s="50" t="s">
        <v>532</v>
      </c>
      <c r="D138" s="50" t="s">
        <v>533</v>
      </c>
      <c r="E138">
        <f t="shared" si="14"/>
        <v>0.33333333333333331</v>
      </c>
      <c r="F138">
        <v>-12.157</v>
      </c>
      <c r="G138">
        <v>34.43</v>
      </c>
      <c r="H138">
        <v>47.7</v>
      </c>
      <c r="I138">
        <v>151</v>
      </c>
      <c r="J138">
        <v>53</v>
      </c>
      <c r="K138" t="str">
        <f>VLOOKUP(C138,Leonard2010!E:P,12,FALSE)</f>
        <v>W</v>
      </c>
      <c r="L138">
        <f>VLOOKUP(C138,Leonard2010!E:Q,13,FALSE)</f>
        <v>1.5</v>
      </c>
      <c r="M138">
        <f>VLOOKUP(C138,Leonard2010!E:R,14,FALSE)</f>
        <v>0</v>
      </c>
      <c r="N138">
        <f t="shared" si="18"/>
        <v>23.017083932182025</v>
      </c>
      <c r="O138">
        <f>VLOOKUP(B138,Leonard2010!D:CC,78,FALSE)</f>
        <v>354</v>
      </c>
      <c r="P138">
        <f>VLOOKUP(B138,FaultGeometry!B:G,6,FALSE)</f>
        <v>166</v>
      </c>
      <c r="Q138">
        <f>VLOOKUP(B138,FaultGeometry!B:L,11,FALSE)</f>
        <v>43.824748035467898</v>
      </c>
      <c r="R138">
        <f>VLOOKUP(C138,Leonard2010!E:CE,79,FALSE)</f>
        <v>610</v>
      </c>
      <c r="S138">
        <f>VLOOKUP(R138,FaultGeometry!W:X,2,FALSE)</f>
        <v>43.824748035467898</v>
      </c>
      <c r="T138">
        <f>VLOOKUP(C138,Leonard2010!E:BA,44,FALSE)</f>
        <v>6.6131153437368608</v>
      </c>
      <c r="U138">
        <f>VLOOKUP(C138,Leonard2010!E:BA,45,FALSE)</f>
        <v>7.0461003714162826</v>
      </c>
      <c r="V138">
        <f>VLOOKUP(C138,Leonard2010!E:BB,46,FALSE)</f>
        <v>7.5339340976892357</v>
      </c>
      <c r="W138">
        <v>874.5949548563583</v>
      </c>
      <c r="X138">
        <v>2375.957319695045</v>
      </c>
      <c r="Y138">
        <v>6454.6143945452022</v>
      </c>
      <c r="Z138">
        <f t="shared" si="19"/>
        <v>5837013092465182</v>
      </c>
      <c r="AA138">
        <v>0.51329784157306424</v>
      </c>
      <c r="AB138">
        <v>0.23340892559126811</v>
      </c>
      <c r="AC138">
        <f t="shared" si="15"/>
        <v>1097.9149035650826</v>
      </c>
    </row>
    <row r="139" spans="1:29" x14ac:dyDescent="0.2">
      <c r="A139">
        <f>VLOOKUP(C139,Leonard2010!E:CD,78,FALSE)</f>
        <v>138</v>
      </c>
      <c r="B139" s="50" t="s">
        <v>450</v>
      </c>
      <c r="C139" s="50" t="s">
        <v>465</v>
      </c>
      <c r="D139" s="50" t="s">
        <v>447</v>
      </c>
      <c r="E139">
        <f t="shared" si="14"/>
        <v>0.33333333333333331</v>
      </c>
      <c r="F139">
        <v>-13.957000000000001</v>
      </c>
      <c r="G139">
        <v>34.71</v>
      </c>
      <c r="H139">
        <v>22.1</v>
      </c>
      <c r="I139">
        <v>180</v>
      </c>
      <c r="J139">
        <v>53</v>
      </c>
      <c r="K139" t="str">
        <f>VLOOKUP(C139,Leonard2010!E:P,12,FALSE)</f>
        <v>W</v>
      </c>
      <c r="L139">
        <f>VLOOKUP(C139,Leonard2010!E:Q,13,FALSE)</f>
        <v>0.5</v>
      </c>
      <c r="M139">
        <f>VLOOKUP(C139,Leonard2010!E:R,14,FALSE)</f>
        <v>0</v>
      </c>
      <c r="N139">
        <f t="shared" ref="N139:N141" si="20">MIN((((H139*1000)^(2/3)*17.5)/1000),((35-M139)/SIN(RADIANS(J139))))</f>
        <v>13.781597580886626</v>
      </c>
      <c r="O139">
        <f>VLOOKUP(B139,Leonard2010!D:CC,78,FALSE)</f>
        <v>356</v>
      </c>
      <c r="P139">
        <f>VLOOKUP(B139,FaultGeometry!B:G,6,FALSE)</f>
        <v>190</v>
      </c>
      <c r="Q139">
        <f>VLOOKUP(B139,FaultGeometry!B:L,11,FALSE)</f>
        <v>34.72744978667864</v>
      </c>
      <c r="R139">
        <f>VLOOKUP(C139,Leonard2010!E:CE,79,FALSE)</f>
        <v>609</v>
      </c>
      <c r="S139">
        <f>VLOOKUP(R139,FaultGeometry!W:X,2,FALSE)</f>
        <v>43.824748035467898</v>
      </c>
      <c r="T139">
        <f>VLOOKUP(C139,Leonard2010!E:BA,44,FALSE)</f>
        <v>6.0562385014785223</v>
      </c>
      <c r="U139">
        <f>VLOOKUP(C139,Leonard2010!E:BA,45,FALSE)</f>
        <v>6.4892235291579441</v>
      </c>
      <c r="V139">
        <f>VLOOKUP(C139,Leonard2010!E:BB,46,FALSE)</f>
        <v>6.9770572554308972</v>
      </c>
      <c r="W139">
        <v>473.62473224879949</v>
      </c>
      <c r="X139">
        <v>1286.0515706825199</v>
      </c>
      <c r="Y139">
        <v>3492.0656161725792</v>
      </c>
      <c r="Z139">
        <f t="shared" si="17"/>
        <v>1575635128878509</v>
      </c>
      <c r="AA139">
        <v>0.50487188357475621</v>
      </c>
      <c r="AB139">
        <v>0.23076277263168821</v>
      </c>
      <c r="AC139">
        <f t="shared" si="15"/>
        <v>304.57330653759442</v>
      </c>
    </row>
    <row r="140" spans="1:29" x14ac:dyDescent="0.2">
      <c r="A140">
        <f>VLOOKUP(C140,Leonard2010!E:CD,78,FALSE)</f>
        <v>139</v>
      </c>
      <c r="B140" s="50" t="s">
        <v>450</v>
      </c>
      <c r="C140" s="50" t="s">
        <v>466</v>
      </c>
      <c r="D140" s="50" t="s">
        <v>447</v>
      </c>
      <c r="E140">
        <f t="shared" si="14"/>
        <v>0.33333333333333331</v>
      </c>
      <c r="F140">
        <v>-13.785</v>
      </c>
      <c r="G140">
        <v>34.832000000000001</v>
      </c>
      <c r="H140">
        <v>23.1</v>
      </c>
      <c r="I140">
        <v>215</v>
      </c>
      <c r="J140">
        <v>53</v>
      </c>
      <c r="K140" t="str">
        <f>VLOOKUP(C140,Leonard2010!E:P,12,FALSE)</f>
        <v>W</v>
      </c>
      <c r="L140">
        <f>VLOOKUP(C140,Leonard2010!E:Q,13,FALSE)</f>
        <v>0.5</v>
      </c>
      <c r="M140">
        <f>VLOOKUP(C140,Leonard2010!E:R,14,FALSE)</f>
        <v>0</v>
      </c>
      <c r="N140">
        <f t="shared" si="20"/>
        <v>14.194258231677919</v>
      </c>
      <c r="O140">
        <f>VLOOKUP(B140,Leonard2010!D:CC,78,FALSE)</f>
        <v>356</v>
      </c>
      <c r="P140">
        <f>VLOOKUP(B140,FaultGeometry!B:G,6,FALSE)</f>
        <v>190</v>
      </c>
      <c r="Q140">
        <f>VLOOKUP(B140,FaultGeometry!B:L,11,FALSE)</f>
        <v>34.72744978667864</v>
      </c>
      <c r="R140">
        <f>VLOOKUP(C140,Leonard2010!E:CE,79,FALSE)</f>
        <v>609</v>
      </c>
      <c r="S140">
        <f>VLOOKUP(R140,FaultGeometry!W:X,2,FALSE)</f>
        <v>43.824748035467898</v>
      </c>
      <c r="T140">
        <f>VLOOKUP(C140,Leonard2010!E:BA,44,FALSE)</f>
        <v>6.0882713451569117</v>
      </c>
      <c r="U140">
        <f>VLOOKUP(C140,Leonard2010!E:BA,45,FALSE)</f>
        <v>6.5212563728363335</v>
      </c>
      <c r="V140">
        <f>VLOOKUP(C140,Leonard2010!E:BB,46,FALSE)</f>
        <v>7.0090900991092866</v>
      </c>
      <c r="W140">
        <v>571.11516722866043</v>
      </c>
      <c r="X140">
        <v>1960.5586075853853</v>
      </c>
      <c r="Y140">
        <v>6730.3238897141564</v>
      </c>
      <c r="Z140">
        <f t="shared" si="17"/>
        <v>1154472188711900</v>
      </c>
      <c r="AA140">
        <v>0.34093054104827925</v>
      </c>
      <c r="AB140">
        <v>0.2148047907227976</v>
      </c>
      <c r="AC140">
        <f t="shared" si="15"/>
        <v>327.88736515175998</v>
      </c>
    </row>
    <row r="141" spans="1:29" x14ac:dyDescent="0.2">
      <c r="A141">
        <f>VLOOKUP(C141,Leonard2010!E:CD,78,FALSE)</f>
        <v>140</v>
      </c>
      <c r="B141" s="50" t="s">
        <v>450</v>
      </c>
      <c r="C141" s="50" t="s">
        <v>467</v>
      </c>
      <c r="D141" s="50" t="s">
        <v>447</v>
      </c>
      <c r="E141">
        <f t="shared" si="14"/>
        <v>0.33333333333333331</v>
      </c>
      <c r="F141">
        <v>-13.395</v>
      </c>
      <c r="G141">
        <v>34.843000000000004</v>
      </c>
      <c r="H141">
        <v>43.2</v>
      </c>
      <c r="I141">
        <v>182</v>
      </c>
      <c r="J141">
        <v>53</v>
      </c>
      <c r="K141" t="str">
        <f>VLOOKUP(C141,Leonard2010!E:P,12,FALSE)</f>
        <v>W</v>
      </c>
      <c r="L141">
        <f>VLOOKUP(C141,Leonard2010!E:Q,13,FALSE)</f>
        <v>0.5</v>
      </c>
      <c r="M141">
        <f>VLOOKUP(C141,Leonard2010!E:R,14,FALSE)</f>
        <v>0</v>
      </c>
      <c r="N141">
        <f t="shared" si="20"/>
        <v>21.545696928126397</v>
      </c>
      <c r="O141">
        <f>VLOOKUP(B141,Leonard2010!D:CC,78,FALSE)</f>
        <v>356</v>
      </c>
      <c r="P141">
        <f>VLOOKUP(B141,FaultGeometry!B:G,6,FALSE)</f>
        <v>190</v>
      </c>
      <c r="Q141">
        <f>VLOOKUP(B141,FaultGeometry!B:L,11,FALSE)</f>
        <v>34.72744978667864</v>
      </c>
      <c r="R141">
        <f>VLOOKUP(C141,Leonard2010!E:CE,79,FALSE)</f>
        <v>609</v>
      </c>
      <c r="S141">
        <f>VLOOKUP(R141,FaultGeometry!W:X,2,FALSE)</f>
        <v>43.824748035467898</v>
      </c>
      <c r="T141">
        <f>VLOOKUP(C141,Leonard2010!E:BA,44,FALSE)</f>
        <v>6.5413909566948574</v>
      </c>
      <c r="U141">
        <f>VLOOKUP(C141,Leonard2010!E:BA,45,FALSE)</f>
        <v>6.9743759843742792</v>
      </c>
      <c r="V141">
        <f>VLOOKUP(C141,Leonard2010!E:BB,46,FALSE)</f>
        <v>7.4622097106472323</v>
      </c>
      <c r="W141">
        <v>810.6958638024928</v>
      </c>
      <c r="X141">
        <v>2230.2595782347566</v>
      </c>
      <c r="Y141">
        <v>6135.541093027814</v>
      </c>
      <c r="Z141">
        <f t="shared" si="17"/>
        <v>4853860702251439</v>
      </c>
      <c r="AA141">
        <v>0.50072011430070873</v>
      </c>
      <c r="AB141">
        <v>0.23375148635059553</v>
      </c>
      <c r="AC141">
        <f t="shared" si="15"/>
        <v>930.77410729506039</v>
      </c>
    </row>
    <row r="142" spans="1:29" x14ac:dyDescent="0.2">
      <c r="A142">
        <f>VLOOKUP(C142,Leonard2010!E:CD,78,FALSE)</f>
        <v>141</v>
      </c>
      <c r="B142" s="50" t="s">
        <v>534</v>
      </c>
      <c r="C142" s="50" t="s">
        <v>536</v>
      </c>
      <c r="D142" s="50" t="s">
        <v>533</v>
      </c>
      <c r="E142">
        <f t="shared" si="14"/>
        <v>0.33333333333333331</v>
      </c>
      <c r="F142">
        <v>-13.833</v>
      </c>
      <c r="G142">
        <v>34.823999999999998</v>
      </c>
      <c r="H142">
        <v>18.600000000000001</v>
      </c>
      <c r="I142">
        <v>145</v>
      </c>
      <c r="J142">
        <v>53</v>
      </c>
      <c r="K142" t="str">
        <f>VLOOKUP(C142,Leonard2010!E:P,12,FALSE)</f>
        <v>W</v>
      </c>
      <c r="L142">
        <f>VLOOKUP(C142,Leonard2010!E:Q,13,FALSE)</f>
        <v>0.5</v>
      </c>
      <c r="M142">
        <f>VLOOKUP(C142,Leonard2010!E:R,14,FALSE)</f>
        <v>0</v>
      </c>
      <c r="N142">
        <f t="shared" ref="N142:N158" si="21">MIN((((H142*1000)^(2/3)*17.5)/1000),((35-M142)/SIN(RADIANS(J142))))</f>
        <v>12.285137213262777</v>
      </c>
      <c r="O142">
        <f>VLOOKUP(B142,Leonard2010!D:CC,78,FALSE)</f>
        <v>357</v>
      </c>
      <c r="P142">
        <f>VLOOKUP(B142,FaultGeometry!B:G,6,FALSE)</f>
        <v>173</v>
      </c>
      <c r="Q142">
        <f>VLOOKUP(B142,FaultGeometry!B:L,11,FALSE)</f>
        <v>28.897020240007397</v>
      </c>
      <c r="R142">
        <f>VLOOKUP(C142,Leonard2010!E:CE,79,FALSE)</f>
        <v>610</v>
      </c>
      <c r="S142">
        <f>VLOOKUP(R142,FaultGeometry!W:X,2,FALSE)</f>
        <v>43.824748035467898</v>
      </c>
      <c r="T142">
        <f>VLOOKUP(C142,Leonard2010!E:BA,44,FALSE)</f>
        <v>5.9314396190331964</v>
      </c>
      <c r="U142">
        <f>VLOOKUP(C142,Leonard2010!E:BA,45,FALSE)</f>
        <v>6.3644246467126182</v>
      </c>
      <c r="V142">
        <f>VLOOKUP(C142,Leonard2010!E:BB,46,FALSE)</f>
        <v>6.8522583729855713</v>
      </c>
      <c r="W142">
        <v>409.35004131076522</v>
      </c>
      <c r="X142">
        <v>1130.7901978092916</v>
      </c>
      <c r="Y142">
        <v>3123.6993829709691</v>
      </c>
      <c r="Z142">
        <f t="shared" ref="Z142:Z143" si="22">IF(U142="NA",0,E142*10^(U142*1.5+9.05)/X142)</f>
        <v>1164484414166031.2</v>
      </c>
      <c r="AA142">
        <v>0.49426819574300623</v>
      </c>
      <c r="AB142">
        <v>0.23114988125213401</v>
      </c>
      <c r="AC142">
        <f t="shared" si="15"/>
        <v>228.50355216668768</v>
      </c>
    </row>
    <row r="143" spans="1:29" x14ac:dyDescent="0.2">
      <c r="A143">
        <f>VLOOKUP(C143,Leonard2010!E:CD,78,FALSE)</f>
        <v>142</v>
      </c>
      <c r="B143" s="50" t="s">
        <v>534</v>
      </c>
      <c r="C143" s="50" t="s">
        <v>535</v>
      </c>
      <c r="D143" s="50" t="s">
        <v>533</v>
      </c>
      <c r="E143">
        <f t="shared" si="14"/>
        <v>0.33333333333333331</v>
      </c>
      <c r="F143">
        <v>-13.395</v>
      </c>
      <c r="G143">
        <v>34.843000000000004</v>
      </c>
      <c r="H143">
        <v>48.5</v>
      </c>
      <c r="I143">
        <v>183</v>
      </c>
      <c r="J143">
        <v>53</v>
      </c>
      <c r="K143" t="str">
        <f>VLOOKUP(C143,Leonard2010!E:P,12,FALSE)</f>
        <v>W</v>
      </c>
      <c r="L143">
        <f>VLOOKUP(C143,Leonard2010!E:Q,13,FALSE)</f>
        <v>0.5</v>
      </c>
      <c r="M143">
        <f>VLOOKUP(C143,Leonard2010!E:R,14,FALSE)</f>
        <v>0</v>
      </c>
      <c r="N143">
        <f t="shared" si="21"/>
        <v>23.273723713158017</v>
      </c>
      <c r="O143">
        <f>VLOOKUP(B143,Leonard2010!D:CC,78,FALSE)</f>
        <v>357</v>
      </c>
      <c r="P143">
        <f>VLOOKUP(B143,FaultGeometry!B:G,6,FALSE)</f>
        <v>173</v>
      </c>
      <c r="Q143">
        <f>VLOOKUP(B143,FaultGeometry!B:L,11,FALSE)</f>
        <v>28.897020240007397</v>
      </c>
      <c r="R143">
        <f>VLOOKUP(C143,Leonard2010!E:CE,79,FALSE)</f>
        <v>610</v>
      </c>
      <c r="S143">
        <f>VLOOKUP(R143,FaultGeometry!W:X,2,FALSE)</f>
        <v>43.824748035467898</v>
      </c>
      <c r="T143">
        <f>VLOOKUP(C143,Leonard2010!E:BA,44,FALSE)</f>
        <v>6.6251542763404432</v>
      </c>
      <c r="U143">
        <f>VLOOKUP(C143,Leonard2010!E:BA,45,FALSE)</f>
        <v>7.058139304019865</v>
      </c>
      <c r="V143">
        <f>VLOOKUP(C143,Leonard2010!E:BB,46,FALSE)</f>
        <v>7.5459730302928181</v>
      </c>
      <c r="W143">
        <v>916.42506306108135</v>
      </c>
      <c r="X143">
        <v>2497.9469136014368</v>
      </c>
      <c r="Y143">
        <v>6808.782337672762</v>
      </c>
      <c r="Z143">
        <f t="shared" si="22"/>
        <v>5787679810424350</v>
      </c>
      <c r="AA143">
        <v>0.49944257946642573</v>
      </c>
      <c r="AB143">
        <v>0.23393232286523757</v>
      </c>
      <c r="AC143">
        <f t="shared" si="15"/>
        <v>1128.7756000881639</v>
      </c>
    </row>
    <row r="144" spans="1:29" x14ac:dyDescent="0.2">
      <c r="A144">
        <f>VLOOKUP(C144,Leonard2010!E:CD,78,FALSE)</f>
        <v>143</v>
      </c>
      <c r="B144" s="50" t="s">
        <v>409</v>
      </c>
      <c r="C144" s="50" t="s">
        <v>411</v>
      </c>
      <c r="D144" s="50" t="s">
        <v>415</v>
      </c>
      <c r="E144" s="50">
        <v>0.5</v>
      </c>
      <c r="F144">
        <v>-12.227</v>
      </c>
      <c r="G144">
        <v>34.301000000000002</v>
      </c>
      <c r="H144">
        <v>32.4</v>
      </c>
      <c r="I144">
        <v>343</v>
      </c>
      <c r="J144">
        <v>53</v>
      </c>
      <c r="K144" t="str">
        <f>VLOOKUP(C144,Leonard2010!E:P,12,FALSE)</f>
        <v>E</v>
      </c>
      <c r="L144">
        <f>VLOOKUP(C144,Leonard2010!E:Q,13,FALSE)</f>
        <v>1</v>
      </c>
      <c r="M144">
        <f>VLOOKUP(C144,Leonard2010!E:R,14,FALSE)</f>
        <v>0.5</v>
      </c>
      <c r="N144">
        <f t="shared" si="21"/>
        <v>17.785580945851439</v>
      </c>
      <c r="O144">
        <f>VLOOKUP(B144,Leonard2010!D:CC,78,FALSE)</f>
        <v>359</v>
      </c>
      <c r="P144">
        <f>VLOOKUP(B144,FaultGeometry!B:G,6,FALSE)</f>
        <v>3</v>
      </c>
      <c r="Q144">
        <f>VLOOKUP(B144,FaultGeometry!B:L,11,FALSE)</f>
        <v>25.001566568499133</v>
      </c>
      <c r="R144">
        <f>VLOOKUP(C144,Leonard2010!E:CE,79,FALSE)</f>
        <v>611</v>
      </c>
      <c r="S144">
        <f>VLOOKUP(R144,FaultGeometry!W:X,2,FALSE)</f>
        <v>39.687513071688507</v>
      </c>
      <c r="T144">
        <f>VLOOKUP(C144,Leonard2010!E:BA,44,FALSE)</f>
        <v>6.3331597290143575</v>
      </c>
      <c r="U144">
        <f>VLOOKUP(C144,Leonard2010!E:BA,45,FALSE)</f>
        <v>6.7661447566937793</v>
      </c>
      <c r="V144">
        <f>VLOOKUP(C144,Leonard2010!E:BB,46,FALSE)</f>
        <v>7.2539784829667324</v>
      </c>
      <c r="W144">
        <v>2990.0830349227149</v>
      </c>
      <c r="X144">
        <v>11172.675280625495</v>
      </c>
      <c r="Y144">
        <v>41747.560675861445</v>
      </c>
      <c r="Z144">
        <f>IF(U144="NA",0,E144*10^(U144*1.5+9.05)/X144)</f>
        <v>707994628323019.88</v>
      </c>
      <c r="AA144">
        <v>7.9780738305124957E-2</v>
      </c>
      <c r="AB144">
        <v>8.1859385891570588E-2</v>
      </c>
      <c r="AC144">
        <f t="shared" si="15"/>
        <v>576.25282264558666</v>
      </c>
    </row>
    <row r="145" spans="1:29" x14ac:dyDescent="0.2">
      <c r="A145">
        <f>VLOOKUP(C145,Leonard2010!E:CD,78,FALSE)</f>
        <v>144</v>
      </c>
      <c r="B145" s="50" t="s">
        <v>409</v>
      </c>
      <c r="C145" s="50" t="s">
        <v>412</v>
      </c>
      <c r="D145" s="50" t="s">
        <v>415</v>
      </c>
      <c r="E145" s="50">
        <v>0.5</v>
      </c>
      <c r="F145">
        <v>-11.948</v>
      </c>
      <c r="G145">
        <v>34.21</v>
      </c>
      <c r="H145">
        <v>21.6</v>
      </c>
      <c r="I145">
        <v>35</v>
      </c>
      <c r="J145">
        <v>53</v>
      </c>
      <c r="K145" t="str">
        <f>VLOOKUP(C145,Leonard2010!E:P,12,FALSE)</f>
        <v>E</v>
      </c>
      <c r="L145">
        <f>VLOOKUP(C145,Leonard2010!E:Q,13,FALSE)</f>
        <v>1</v>
      </c>
      <c r="M145">
        <f>VLOOKUP(C145,Leonard2010!E:R,14,FALSE)</f>
        <v>0.5</v>
      </c>
      <c r="N145">
        <f t="shared" si="21"/>
        <v>13.572938547200868</v>
      </c>
      <c r="O145">
        <f>VLOOKUP(B145,Leonard2010!D:CC,78,FALSE)</f>
        <v>359</v>
      </c>
      <c r="P145">
        <f>VLOOKUP(B145,FaultGeometry!B:G,6,FALSE)</f>
        <v>3</v>
      </c>
      <c r="Q145">
        <f>VLOOKUP(B145,FaultGeometry!B:L,11,FALSE)</f>
        <v>25.001566568499133</v>
      </c>
      <c r="R145">
        <f>VLOOKUP(C145,Leonard2010!E:CE,79,FALSE)</f>
        <v>611</v>
      </c>
      <c r="S145">
        <f>VLOOKUP(R145,FaultGeometry!W:X,2,FALSE)</f>
        <v>39.687513071688507</v>
      </c>
      <c r="T145">
        <f>VLOOKUP(C145,Leonard2010!E:BA,44,FALSE)</f>
        <v>6.039674297254888</v>
      </c>
      <c r="U145">
        <f>VLOOKUP(C145,Leonard2010!E:BA,45,FALSE)</f>
        <v>6.4726593249343098</v>
      </c>
      <c r="V145">
        <f>VLOOKUP(C145,Leonard2010!E:BB,46,FALSE)</f>
        <v>6.9604930512072629</v>
      </c>
      <c r="W145">
        <v>2727.9714399502363</v>
      </c>
      <c r="X145">
        <v>12309.05077087268</v>
      </c>
      <c r="Y145">
        <v>55540.43882610635</v>
      </c>
      <c r="Z145">
        <f t="shared" si="17"/>
        <v>233203158777963.19</v>
      </c>
      <c r="AA145">
        <v>5.1462885144343114E-2</v>
      </c>
      <c r="AB145">
        <v>6.0113315719199124E-2</v>
      </c>
      <c r="AC145">
        <f t="shared" si="15"/>
        <v>293.17547261953877</v>
      </c>
    </row>
    <row r="146" spans="1:29" x14ac:dyDescent="0.2">
      <c r="A146">
        <f>VLOOKUP(C146,Leonard2010!E:CD,78,FALSE)</f>
        <v>145</v>
      </c>
      <c r="B146" s="50" t="s">
        <v>410</v>
      </c>
      <c r="C146" s="50" t="s">
        <v>413</v>
      </c>
      <c r="D146" s="50" t="s">
        <v>42</v>
      </c>
      <c r="E146" s="50">
        <v>0.5</v>
      </c>
      <c r="F146">
        <v>-12.087</v>
      </c>
      <c r="G146">
        <v>34.164000000000001</v>
      </c>
      <c r="H146">
        <v>16.2</v>
      </c>
      <c r="I146">
        <v>18</v>
      </c>
      <c r="J146">
        <v>53</v>
      </c>
      <c r="K146" t="str">
        <f>VLOOKUP(C146,Leonard2010!E:P,12,FALSE)</f>
        <v>E</v>
      </c>
      <c r="L146">
        <f>VLOOKUP(C146,Leonard2010!E:Q,13,FALSE)</f>
        <v>1</v>
      </c>
      <c r="M146">
        <f>VLOOKUP(C146,Leonard2010!E:R,14,FALSE)</f>
        <v>0.5</v>
      </c>
      <c r="N146">
        <f t="shared" si="21"/>
        <v>11.204213909143695</v>
      </c>
      <c r="O146">
        <f>VLOOKUP(B146,Leonard2010!D:CC,78,FALSE)</f>
        <v>360</v>
      </c>
      <c r="P146">
        <f>VLOOKUP(B146,FaultGeometry!B:G,6,FALSE)</f>
        <v>28</v>
      </c>
      <c r="Q146">
        <f>VLOOKUP(B146,FaultGeometry!B:L,11,FALSE)</f>
        <v>19.710572948879317</v>
      </c>
      <c r="R146">
        <f>VLOOKUP(C146,Leonard2010!E:CE,79,FALSE)</f>
        <v>0</v>
      </c>
      <c r="S146" t="str">
        <f>VLOOKUP(R146,FaultGeometry!W:X,2,FALSE)</f>
        <v>NA</v>
      </c>
      <c r="T146">
        <f>VLOOKUP(C146,Leonard2010!E:BA,44,FALSE)</f>
        <v>5.8314430695743882</v>
      </c>
      <c r="U146">
        <f>VLOOKUP(C146,Leonard2010!E:BA,45,FALSE)</f>
        <v>6.26442809725381</v>
      </c>
      <c r="V146">
        <f>VLOOKUP(C146,Leonard2010!E:BB,46,FALSE)</f>
        <v>6.7522618235267631</v>
      </c>
      <c r="W146">
        <v>1832.6240672771348</v>
      </c>
      <c r="X146">
        <v>7284.4249757902189</v>
      </c>
      <c r="Y146">
        <v>28954.572940186135</v>
      </c>
      <c r="Z146">
        <f t="shared" si="17"/>
        <v>191962711365494.66</v>
      </c>
      <c r="AA146">
        <v>6.8142489821582719E-2</v>
      </c>
      <c r="AB146">
        <v>7.2878385761108111E-2</v>
      </c>
      <c r="AC146">
        <f t="shared" si="15"/>
        <v>181.50826532812783</v>
      </c>
    </row>
    <row r="147" spans="1:29" x14ac:dyDescent="0.2">
      <c r="A147">
        <f>VLOOKUP(C147,Leonard2010!E:CD,78,FALSE)</f>
        <v>146</v>
      </c>
      <c r="B147" s="50" t="s">
        <v>410</v>
      </c>
      <c r="C147" s="50" t="s">
        <v>414</v>
      </c>
      <c r="D147" s="50" t="s">
        <v>42</v>
      </c>
      <c r="E147" s="50">
        <v>0.5</v>
      </c>
      <c r="F147">
        <v>-11.948</v>
      </c>
      <c r="G147">
        <v>34.21</v>
      </c>
      <c r="H147">
        <v>21.6</v>
      </c>
      <c r="I147">
        <v>35</v>
      </c>
      <c r="J147">
        <v>53</v>
      </c>
      <c r="K147" t="str">
        <f>VLOOKUP(C147,Leonard2010!E:P,12,FALSE)</f>
        <v>E</v>
      </c>
      <c r="L147">
        <f>VLOOKUP(C147,Leonard2010!E:Q,13,FALSE)</f>
        <v>1</v>
      </c>
      <c r="M147">
        <f>VLOOKUP(C147,Leonard2010!E:R,14,FALSE)</f>
        <v>0.5</v>
      </c>
      <c r="N147">
        <f t="shared" si="21"/>
        <v>13.572938547200868</v>
      </c>
      <c r="O147">
        <f>VLOOKUP(B147,Leonard2010!D:CC,78,FALSE)</f>
        <v>360</v>
      </c>
      <c r="P147">
        <f>VLOOKUP(B147,FaultGeometry!B:G,6,FALSE)</f>
        <v>28</v>
      </c>
      <c r="Q147">
        <f>VLOOKUP(B147,FaultGeometry!B:L,11,FALSE)</f>
        <v>19.710572948879317</v>
      </c>
      <c r="R147">
        <f>VLOOKUP(C147,Leonard2010!E:CE,79,FALSE)</f>
        <v>0</v>
      </c>
      <c r="S147" t="str">
        <f>VLOOKUP(R147,FaultGeometry!W:X,2,FALSE)</f>
        <v>NA</v>
      </c>
      <c r="T147">
        <f>VLOOKUP(C147,Leonard2010!E:BA,44,FALSE)</f>
        <v>6.039674297254888</v>
      </c>
      <c r="U147">
        <f>VLOOKUP(C147,Leonard2010!E:BA,45,FALSE)</f>
        <v>6.4726593249343098</v>
      </c>
      <c r="V147">
        <f>VLOOKUP(C147,Leonard2010!E:BB,46,FALSE)</f>
        <v>6.9604930512072629</v>
      </c>
      <c r="W147">
        <v>2608.0336165994258</v>
      </c>
      <c r="X147">
        <v>11882.088156795013</v>
      </c>
      <c r="Y147">
        <v>54134.278817286038</v>
      </c>
      <c r="Z147">
        <f t="shared" si="17"/>
        <v>241582917366613.94</v>
      </c>
      <c r="AA147">
        <v>5.2258074995385144E-2</v>
      </c>
      <c r="AB147">
        <v>6.1549104278603654E-2</v>
      </c>
      <c r="AC147">
        <f t="shared" si="15"/>
        <v>293.17547261953877</v>
      </c>
    </row>
    <row r="148" spans="1:29" x14ac:dyDescent="0.2">
      <c r="A148">
        <f>VLOOKUP(C148,Leonard2010!E:CD,78,FALSE)</f>
        <v>147</v>
      </c>
      <c r="B148" s="50" t="s">
        <v>138</v>
      </c>
      <c r="C148" s="50" t="s">
        <v>202</v>
      </c>
      <c r="D148" s="50" t="s">
        <v>42</v>
      </c>
      <c r="E148">
        <v>1</v>
      </c>
      <c r="F148">
        <v>-12.13</v>
      </c>
      <c r="G148">
        <v>34.438000000000002</v>
      </c>
      <c r="H148">
        <v>14.8</v>
      </c>
      <c r="I148">
        <v>326</v>
      </c>
      <c r="J148">
        <v>53</v>
      </c>
      <c r="K148" t="str">
        <f>VLOOKUP(C148,Leonard2010!E:P,12,FALSE)</f>
        <v>E</v>
      </c>
      <c r="L148">
        <f>VLOOKUP(C148,Leonard2010!E:Q,13,FALSE)</f>
        <v>1.5</v>
      </c>
      <c r="M148">
        <f>VLOOKUP(C148,Leonard2010!E:R,14,FALSE)</f>
        <v>0</v>
      </c>
      <c r="N148">
        <f t="shared" si="21"/>
        <v>10.549029956556112</v>
      </c>
      <c r="O148">
        <f>VLOOKUP(B148,Leonard2010!D:CC,78,FALSE)</f>
        <v>363</v>
      </c>
      <c r="P148">
        <f>VLOOKUP(B148,FaultGeometry!B:G,6,FALSE)</f>
        <v>343</v>
      </c>
      <c r="Q148">
        <f>VLOOKUP(B148,FaultGeometry!B:L,11,FALSE)</f>
        <v>17.895199750823576</v>
      </c>
      <c r="R148">
        <f>VLOOKUP(C148,Leonard2010!E:CE,79,FALSE)</f>
        <v>0</v>
      </c>
      <c r="S148" t="str">
        <f>VLOOKUP(R148,FaultGeometry!W:X,2,FALSE)</f>
        <v>NA</v>
      </c>
      <c r="T148">
        <f>VLOOKUP(C148,Leonard2010!E:BA,44,FALSE)</f>
        <v>5.7660209043282675</v>
      </c>
      <c r="U148">
        <f>VLOOKUP(C148,Leonard2010!E:BA,45,FALSE)</f>
        <v>6.1990059320076893</v>
      </c>
      <c r="V148">
        <f>VLOOKUP(C148,Leonard2010!E:BB,46,FALSE)</f>
        <v>6.6868396582806424</v>
      </c>
      <c r="W148">
        <v>4986.7186647025219</v>
      </c>
      <c r="X148">
        <v>16210.713187984677</v>
      </c>
      <c r="Y148">
        <v>52697.422841033011</v>
      </c>
      <c r="Z148">
        <f t="shared" si="17"/>
        <v>137627992785262.45</v>
      </c>
      <c r="AA148">
        <v>2.8488356306375452E-2</v>
      </c>
      <c r="AB148">
        <v>2.0102251793903566E-2</v>
      </c>
      <c r="AC148">
        <f t="shared" si="15"/>
        <v>156.12564335703047</v>
      </c>
    </row>
    <row r="149" spans="1:29" x14ac:dyDescent="0.2">
      <c r="A149">
        <f>VLOOKUP(C149,Leonard2010!E:CD,78,FALSE)</f>
        <v>148</v>
      </c>
      <c r="B149" s="50" t="s">
        <v>138</v>
      </c>
      <c r="C149" s="50" t="s">
        <v>203</v>
      </c>
      <c r="D149" s="50" t="s">
        <v>42</v>
      </c>
      <c r="E149">
        <v>1</v>
      </c>
      <c r="F149">
        <v>-12.018000000000001</v>
      </c>
      <c r="G149">
        <v>34.362000000000002</v>
      </c>
      <c r="H149">
        <v>17.899999999999999</v>
      </c>
      <c r="I149">
        <v>357</v>
      </c>
      <c r="J149">
        <v>53</v>
      </c>
      <c r="K149" t="str">
        <f>VLOOKUP(C149,Leonard2010!E:P,12,FALSE)</f>
        <v>E</v>
      </c>
      <c r="L149">
        <f>VLOOKUP(C149,Leonard2010!E:Q,13,FALSE)</f>
        <v>1.5</v>
      </c>
      <c r="M149">
        <f>VLOOKUP(C149,Leonard2010!E:R,14,FALSE)</f>
        <v>0</v>
      </c>
      <c r="N149">
        <f t="shared" si="21"/>
        <v>11.974941560580859</v>
      </c>
      <c r="O149">
        <f>VLOOKUP(B149,Leonard2010!D:CC,78,FALSE)</f>
        <v>363</v>
      </c>
      <c r="P149">
        <f>VLOOKUP(B149,FaultGeometry!B:G,6,FALSE)</f>
        <v>343</v>
      </c>
      <c r="Q149">
        <f>VLOOKUP(B149,FaultGeometry!B:L,11,FALSE)</f>
        <v>17.895199750823576</v>
      </c>
      <c r="R149">
        <f>VLOOKUP(C149,Leonard2010!E:CE,79,FALSE)</f>
        <v>0</v>
      </c>
      <c r="S149" t="str">
        <f>VLOOKUP(R149,FaultGeometry!W:X,2,FALSE)</f>
        <v>NA</v>
      </c>
      <c r="T149">
        <f>VLOOKUP(C149,Leonard2010!E:BA,44,FALSE)</f>
        <v>5.9036730969698255</v>
      </c>
      <c r="U149">
        <f>VLOOKUP(C149,Leonard2010!E:BA,45,FALSE)</f>
        <v>6.3366581246492473</v>
      </c>
      <c r="V149">
        <f>VLOOKUP(C149,Leonard2010!E:BB,46,FALSE)</f>
        <v>6.8244918509222003</v>
      </c>
      <c r="W149">
        <v>5774.8937563106656</v>
      </c>
      <c r="X149">
        <v>18466.163446311864</v>
      </c>
      <c r="Y149">
        <v>59048.565534780406</v>
      </c>
      <c r="Z149">
        <f t="shared" si="17"/>
        <v>194361620669659.44</v>
      </c>
      <c r="AA149">
        <v>2.9294231127210808E-2</v>
      </c>
      <c r="AB149">
        <v>2.0375148144920717E-2</v>
      </c>
      <c r="AC149">
        <f t="shared" si="15"/>
        <v>214.35145393439737</v>
      </c>
    </row>
    <row r="150" spans="1:29" x14ac:dyDescent="0.2">
      <c r="A150">
        <f>VLOOKUP(C150,Leonard2010!E:CD,78,FALSE)</f>
        <v>149</v>
      </c>
      <c r="B150" s="50" t="s">
        <v>212</v>
      </c>
      <c r="C150" s="50" t="s">
        <v>213</v>
      </c>
      <c r="D150" s="50" t="s">
        <v>42</v>
      </c>
      <c r="E150">
        <v>1</v>
      </c>
      <c r="F150">
        <v>-12.116</v>
      </c>
      <c r="G150">
        <v>34.622</v>
      </c>
      <c r="H150">
        <v>33.4</v>
      </c>
      <c r="I150">
        <v>181</v>
      </c>
      <c r="J150">
        <v>53</v>
      </c>
      <c r="K150" t="str">
        <f>VLOOKUP(C150,Leonard2010!E:P,12,FALSE)</f>
        <v>W</v>
      </c>
      <c r="L150">
        <f>VLOOKUP(C150,Leonard2010!E:Q,13,FALSE)</f>
        <v>1</v>
      </c>
      <c r="M150">
        <f>VLOOKUP(C150,Leonard2010!E:R,14,FALSE)</f>
        <v>0</v>
      </c>
      <c r="N150">
        <f t="shared" si="21"/>
        <v>18.149682266697084</v>
      </c>
      <c r="O150">
        <f>VLOOKUP(B150,Leonard2010!D:CC,78,FALSE)</f>
        <v>366</v>
      </c>
      <c r="P150">
        <f>VLOOKUP(B150,FaultGeometry!B:G,6,FALSE)</f>
        <v>172</v>
      </c>
      <c r="Q150">
        <f>VLOOKUP(B150,FaultGeometry!B:L,11,FALSE)</f>
        <v>26.281695048365354</v>
      </c>
      <c r="R150">
        <f>VLOOKUP(C150,Leonard2010!E:CE,79,FALSE)</f>
        <v>0</v>
      </c>
      <c r="S150" t="str">
        <f>VLOOKUP(R150,FaultGeometry!W:X,2,FALSE)</f>
        <v>NA</v>
      </c>
      <c r="T150">
        <f>VLOOKUP(C150,Leonard2010!E:BA,44,FALSE)</f>
        <v>6.3551621566892793</v>
      </c>
      <c r="U150">
        <f>VLOOKUP(C150,Leonard2010!E:BA,45,FALSE)</f>
        <v>6.7881471843687011</v>
      </c>
      <c r="V150">
        <f>VLOOKUP(C150,Leonard2010!E:BB,46,FALSE)</f>
        <v>7.2759809106416542</v>
      </c>
      <c r="W150">
        <v>9785.2206547445512</v>
      </c>
      <c r="X150">
        <v>31771.088131303823</v>
      </c>
      <c r="Y150">
        <v>103155.77713187762</v>
      </c>
      <c r="Z150">
        <f t="shared" si="17"/>
        <v>537265170465130.44</v>
      </c>
      <c r="AA150">
        <v>2.8450633823034945E-2</v>
      </c>
      <c r="AB150">
        <v>2.0098249461340995E-2</v>
      </c>
      <c r="AC150">
        <f t="shared" si="15"/>
        <v>606.1993877076826</v>
      </c>
    </row>
    <row r="151" spans="1:29" x14ac:dyDescent="0.2">
      <c r="A151">
        <f>VLOOKUP(C151,Leonard2010!E:CD,78,FALSE)</f>
        <v>150</v>
      </c>
      <c r="B151" s="50" t="s">
        <v>212</v>
      </c>
      <c r="C151" s="50" t="s">
        <v>214</v>
      </c>
      <c r="D151" s="50" t="s">
        <v>42</v>
      </c>
      <c r="E151">
        <v>1</v>
      </c>
      <c r="F151">
        <v>-11.904999999999999</v>
      </c>
      <c r="G151">
        <v>34.545999999999999</v>
      </c>
      <c r="H151">
        <v>24.8</v>
      </c>
      <c r="I151">
        <v>161</v>
      </c>
      <c r="J151">
        <v>53</v>
      </c>
      <c r="K151" t="str">
        <f>VLOOKUP(C151,Leonard2010!E:P,12,FALSE)</f>
        <v>W</v>
      </c>
      <c r="L151">
        <f>VLOOKUP(C151,Leonard2010!E:Q,13,FALSE)</f>
        <v>1</v>
      </c>
      <c r="M151">
        <f>VLOOKUP(C151,Leonard2010!E:R,14,FALSE)</f>
        <v>0</v>
      </c>
      <c r="N151">
        <f t="shared" si="21"/>
        <v>14.882383877325474</v>
      </c>
      <c r="O151">
        <f>VLOOKUP(B151,Leonard2010!D:CC,78,FALSE)</f>
        <v>366</v>
      </c>
      <c r="P151">
        <f>VLOOKUP(B151,FaultGeometry!B:G,6,FALSE)</f>
        <v>172</v>
      </c>
      <c r="Q151">
        <f>VLOOKUP(B151,FaultGeometry!B:L,11,FALSE)</f>
        <v>26.281695048365354</v>
      </c>
      <c r="R151">
        <f>VLOOKUP(C151,Leonard2010!E:CE,79,FALSE)</f>
        <v>0</v>
      </c>
      <c r="S151" t="str">
        <f>VLOOKUP(R151,FaultGeometry!W:X,2,FALSE)</f>
        <v>NA</v>
      </c>
      <c r="T151">
        <f>VLOOKUP(C151,Leonard2010!E:BA,44,FALSE)</f>
        <v>6.1396708467136962</v>
      </c>
      <c r="U151">
        <f>VLOOKUP(C151,Leonard2010!E:BA,45,FALSE)</f>
        <v>6.572655874393118</v>
      </c>
      <c r="V151">
        <f>VLOOKUP(C151,Leonard2010!E:BB,46,FALSE)</f>
        <v>7.0604896006660711</v>
      </c>
      <c r="W151">
        <v>7429.0314340190707</v>
      </c>
      <c r="X151">
        <v>23834.637099694686</v>
      </c>
      <c r="Y151">
        <v>76468.908594563356</v>
      </c>
      <c r="Z151">
        <f t="shared" si="17"/>
        <v>340232085890766.94</v>
      </c>
      <c r="AA151">
        <v>2.9971567524639791E-2</v>
      </c>
      <c r="AB151">
        <v>2.0671454330844465E-2</v>
      </c>
      <c r="AC151">
        <f t="shared" si="15"/>
        <v>369.08312015767177</v>
      </c>
    </row>
    <row r="152" spans="1:29" x14ac:dyDescent="0.2">
      <c r="A152">
        <f>VLOOKUP(C152,Leonard2010!E:CD,78,FALSE)</f>
        <v>151</v>
      </c>
      <c r="B152" s="11" t="s">
        <v>204</v>
      </c>
      <c r="C152" s="11" t="s">
        <v>205</v>
      </c>
      <c r="D152" s="11" t="s">
        <v>42</v>
      </c>
      <c r="E152">
        <v>1</v>
      </c>
      <c r="F152">
        <v>-11.728</v>
      </c>
      <c r="G152">
        <v>34.222000000000001</v>
      </c>
      <c r="H152">
        <v>17</v>
      </c>
      <c r="I152">
        <v>208</v>
      </c>
      <c r="J152">
        <v>53</v>
      </c>
      <c r="K152" t="str">
        <f>VLOOKUP(C152,Leonard2010!E:P,12,FALSE)</f>
        <v>W</v>
      </c>
      <c r="L152">
        <f>VLOOKUP(C152,Leonard2010!E:Q,13,FALSE)</f>
        <v>0</v>
      </c>
      <c r="M152">
        <f>VLOOKUP(C152,Leonard2010!E:R,14,FALSE)</f>
        <v>0</v>
      </c>
      <c r="N152">
        <f t="shared" si="21"/>
        <v>11.570105782301406</v>
      </c>
      <c r="O152">
        <f>VLOOKUP(B152,Leonard2010!D:CC,78,FALSE)</f>
        <v>368</v>
      </c>
      <c r="P152">
        <f>VLOOKUP(B152,FaultGeometry!B:G,6,FALSE)</f>
        <v>195</v>
      </c>
      <c r="Q152">
        <f>VLOOKUP(B152,FaultGeometry!B:L,11,FALSE)</f>
        <v>19.501439735906981</v>
      </c>
      <c r="R152">
        <f>VLOOKUP(C152,Leonard2010!E:CE,79,FALSE)</f>
        <v>0</v>
      </c>
      <c r="S152" t="str">
        <f>VLOOKUP(R152,FaultGeometry!W:X,2,FALSE)</f>
        <v>NA</v>
      </c>
      <c r="T152">
        <f>VLOOKUP(C152,Leonard2010!E:BA,44,FALSE)</f>
        <v>5.8663329143004619</v>
      </c>
      <c r="U152">
        <f>VLOOKUP(C152,Leonard2010!E:BA,45,FALSE)</f>
        <v>6.2993179419798837</v>
      </c>
      <c r="V152">
        <f>VLOOKUP(C152,Leonard2010!E:BB,46,FALSE)</f>
        <v>6.7871516682528368</v>
      </c>
      <c r="W152">
        <v>4297.3308753765496</v>
      </c>
      <c r="X152">
        <v>14584.783602073427</v>
      </c>
      <c r="Y152">
        <v>49499.542597047723</v>
      </c>
      <c r="Z152">
        <f t="shared" si="17"/>
        <v>216310162312364.56</v>
      </c>
      <c r="AA152">
        <v>3.499613571167258E-2</v>
      </c>
      <c r="AB152">
        <v>2.630670151929753E-2</v>
      </c>
      <c r="AC152">
        <f t="shared" si="15"/>
        <v>196.69179829912389</v>
      </c>
    </row>
    <row r="153" spans="1:29" x14ac:dyDescent="0.2">
      <c r="A153">
        <f>VLOOKUP(C153,Leonard2010!E:CD,78,FALSE)</f>
        <v>152</v>
      </c>
      <c r="B153" s="11" t="s">
        <v>204</v>
      </c>
      <c r="C153" s="11" t="s">
        <v>206</v>
      </c>
      <c r="D153" s="11" t="s">
        <v>42</v>
      </c>
      <c r="E153">
        <v>1</v>
      </c>
      <c r="F153">
        <v>-11.71</v>
      </c>
      <c r="G153">
        <v>34.21</v>
      </c>
      <c r="H153">
        <v>2.4</v>
      </c>
      <c r="I153">
        <v>145</v>
      </c>
      <c r="J153">
        <v>53</v>
      </c>
      <c r="K153" t="str">
        <f>VLOOKUP(C153,Leonard2010!E:P,12,FALSE)</f>
        <v>W</v>
      </c>
      <c r="L153">
        <f>VLOOKUP(C153,Leonard2010!E:Q,13,FALSE)</f>
        <v>0</v>
      </c>
      <c r="M153">
        <f>VLOOKUP(C153,Leonard2010!E:R,14,FALSE)</f>
        <v>0</v>
      </c>
      <c r="N153">
        <f t="shared" si="21"/>
        <v>3.1369833225900146</v>
      </c>
      <c r="O153">
        <f>VLOOKUP(B153,Leonard2010!D:CC,78,FALSE)</f>
        <v>368</v>
      </c>
      <c r="P153">
        <f>VLOOKUP(B153,FaultGeometry!B:G,6,FALSE)</f>
        <v>195</v>
      </c>
      <c r="Q153">
        <f>VLOOKUP(B153,FaultGeometry!B:L,11,FALSE)</f>
        <v>19.501439735906981</v>
      </c>
      <c r="R153">
        <f>VLOOKUP(C153,Leonard2010!E:CE,79,FALSE)</f>
        <v>0</v>
      </c>
      <c r="S153" t="str">
        <f>VLOOKUP(R153,FaultGeometry!W:X,2,FALSE)</f>
        <v>NA</v>
      </c>
      <c r="T153" t="str">
        <f>VLOOKUP(C153,Leonard2010!E:BA,44,FALSE)</f>
        <v>NA</v>
      </c>
      <c r="U153" t="str">
        <f>VLOOKUP(C153,Leonard2010!E:BA,45,FALSE)</f>
        <v>NA</v>
      </c>
      <c r="V153" t="str">
        <f>VLOOKUP(C153,Leonard2010!E:BB,46,FALSE)</f>
        <v>NA</v>
      </c>
      <c r="W153" t="str">
        <f>IF(T153="NA","NA",VLOOKUP(C153,Leonard2010!E:BD,51,FALSE)/E153)</f>
        <v>NA</v>
      </c>
      <c r="X153" t="str">
        <f>IF(U153="NA","NA",VLOOKUP(C153,Leonard2010!E:BE,52,FALSE)/E153)</f>
        <v>NA</v>
      </c>
      <c r="Y153" t="str">
        <f>IF(V153="NA","NA",VLOOKUP(C153,Leonard2010!E:BF,53,FALSE)/E153)</f>
        <v>NA</v>
      </c>
      <c r="Z153">
        <f t="shared" si="17"/>
        <v>0</v>
      </c>
      <c r="AA153" t="str">
        <f>IF(X153="NA","NA",VLOOKUP(E153,Leonard2010!G:BH,53,FALSE)/G153)</f>
        <v>NA</v>
      </c>
      <c r="AB153" t="str">
        <f>IF(Y153="NA","NA",VLOOKUP(F153,Leonard2010!H:BI,53,FALSE)/H153)</f>
        <v>NA</v>
      </c>
      <c r="AC153">
        <f t="shared" si="15"/>
        <v>7.5287599742160349</v>
      </c>
    </row>
    <row r="154" spans="1:29" x14ac:dyDescent="0.2">
      <c r="A154">
        <f>VLOOKUP(C154,Leonard2010!E:CD,78,FALSE)</f>
        <v>153</v>
      </c>
      <c r="B154" s="11" t="s">
        <v>204</v>
      </c>
      <c r="C154" s="11" t="s">
        <v>207</v>
      </c>
      <c r="D154" s="11" t="s">
        <v>42</v>
      </c>
      <c r="E154">
        <v>1</v>
      </c>
      <c r="F154">
        <v>-11.617000000000001</v>
      </c>
      <c r="G154">
        <v>34.261000000000003</v>
      </c>
      <c r="H154">
        <v>11.7</v>
      </c>
      <c r="I154">
        <v>209</v>
      </c>
      <c r="J154">
        <v>53</v>
      </c>
      <c r="K154" t="str">
        <f>VLOOKUP(C154,Leonard2010!E:P,12,FALSE)</f>
        <v>W</v>
      </c>
      <c r="L154">
        <f>VLOOKUP(C154,Leonard2010!E:Q,13,FALSE)</f>
        <v>0</v>
      </c>
      <c r="M154">
        <f>VLOOKUP(C154,Leonard2010!E:R,14,FALSE)</f>
        <v>0</v>
      </c>
      <c r="N154">
        <f t="shared" si="21"/>
        <v>9.0190741300600408</v>
      </c>
      <c r="O154">
        <f>VLOOKUP(B154,Leonard2010!D:CC,78,FALSE)</f>
        <v>368</v>
      </c>
      <c r="P154">
        <f>VLOOKUP(B154,FaultGeometry!B:G,6,FALSE)</f>
        <v>195</v>
      </c>
      <c r="Q154">
        <f>VLOOKUP(B154,FaultGeometry!B:L,11,FALSE)</f>
        <v>19.501439735906981</v>
      </c>
      <c r="R154">
        <f>VLOOKUP(C154,Leonard2010!E:CE,79,FALSE)</f>
        <v>0</v>
      </c>
      <c r="S154" t="str">
        <f>VLOOKUP(R154,FaultGeometry!W:X,2,FALSE)</f>
        <v>NA</v>
      </c>
      <c r="T154">
        <f>VLOOKUP(C154,Leonard2010!E:BA,44,FALSE)</f>
        <v>5.5958944815802738</v>
      </c>
      <c r="U154">
        <f>VLOOKUP(C154,Leonard2010!E:BA,45,FALSE)</f>
        <v>6.0288795092596956</v>
      </c>
      <c r="V154">
        <f>VLOOKUP(C154,Leonard2010!E:BB,46,FALSE)</f>
        <v>6.5167132355326487</v>
      </c>
      <c r="W154">
        <v>3191.7282834104508</v>
      </c>
      <c r="X154">
        <v>10922.209506727704</v>
      </c>
      <c r="Y154">
        <v>37376.195564298905</v>
      </c>
      <c r="Z154">
        <f t="shared" si="17"/>
        <v>113503371266946.67</v>
      </c>
      <c r="AA154">
        <v>3.4474266391767636E-2</v>
      </c>
      <c r="AB154">
        <v>2.6628727700489085E-2</v>
      </c>
      <c r="AC154">
        <f t="shared" si="15"/>
        <v>105.52316732170247</v>
      </c>
    </row>
    <row r="155" spans="1:29" x14ac:dyDescent="0.2">
      <c r="A155">
        <f>VLOOKUP(C155,Leonard2010!E:CD,78,FALSE)</f>
        <v>154</v>
      </c>
      <c r="B155" s="11" t="s">
        <v>204</v>
      </c>
      <c r="C155" s="11" t="s">
        <v>208</v>
      </c>
      <c r="D155" s="11" t="s">
        <v>42</v>
      </c>
      <c r="E155">
        <v>1</v>
      </c>
      <c r="F155">
        <v>-11.573</v>
      </c>
      <c r="G155">
        <v>34.228999999999999</v>
      </c>
      <c r="H155">
        <v>6.1</v>
      </c>
      <c r="I155">
        <v>145</v>
      </c>
      <c r="J155">
        <v>53</v>
      </c>
      <c r="K155" t="str">
        <f>VLOOKUP(C155,Leonard2010!E:P,12,FALSE)</f>
        <v>W</v>
      </c>
      <c r="L155">
        <f>VLOOKUP(C155,Leonard2010!E:Q,13,FALSE)</f>
        <v>0</v>
      </c>
      <c r="M155">
        <f>VLOOKUP(C155,Leonard2010!E:R,14,FALSE)</f>
        <v>0</v>
      </c>
      <c r="N155">
        <f t="shared" si="21"/>
        <v>5.8423997900504565</v>
      </c>
      <c r="O155">
        <f>VLOOKUP(B155,Leonard2010!D:CC,78,FALSE)</f>
        <v>368</v>
      </c>
      <c r="P155">
        <f>VLOOKUP(B155,FaultGeometry!B:G,6,FALSE)</f>
        <v>195</v>
      </c>
      <c r="Q155">
        <f>VLOOKUP(B155,FaultGeometry!B:L,11,FALSE)</f>
        <v>19.501439735906981</v>
      </c>
      <c r="R155">
        <f>VLOOKUP(C155,Leonard2010!E:CE,79,FALSE)</f>
        <v>0</v>
      </c>
      <c r="S155" t="str">
        <f>VLOOKUP(R155,FaultGeometry!W:X,2,FALSE)</f>
        <v>NA</v>
      </c>
      <c r="T155">
        <f>VLOOKUP(C155,Leonard2010!E:BA,44,FALSE)</f>
        <v>5.1244677703546158</v>
      </c>
      <c r="U155">
        <f>VLOOKUP(C155,Leonard2010!E:BA,45,FALSE)</f>
        <v>5.5574527980340376</v>
      </c>
      <c r="V155">
        <f>VLOOKUP(C155,Leonard2010!E:BB,46,FALSE)</f>
        <v>6.0452865243069906</v>
      </c>
      <c r="W155">
        <v>1508.1193899709701</v>
      </c>
      <c r="X155">
        <v>4867.9939435312499</v>
      </c>
      <c r="Y155">
        <v>15713.18901662889</v>
      </c>
      <c r="Z155">
        <f t="shared" si="17"/>
        <v>49983788225216.562</v>
      </c>
      <c r="AA155">
        <v>4.4248616638929865E-2</v>
      </c>
      <c r="AB155">
        <v>3.1191942318290426E-2</v>
      </c>
      <c r="AC155">
        <f t="shared" si="15"/>
        <v>35.638638719307785</v>
      </c>
    </row>
    <row r="156" spans="1:29" x14ac:dyDescent="0.2">
      <c r="A156">
        <f>VLOOKUP(C156,Leonard2010!E:CD,78,FALSE)</f>
        <v>155</v>
      </c>
      <c r="B156" s="11" t="s">
        <v>219</v>
      </c>
      <c r="C156" s="11" t="s">
        <v>164</v>
      </c>
      <c r="D156" s="11" t="s">
        <v>136</v>
      </c>
      <c r="E156">
        <v>1</v>
      </c>
      <c r="F156">
        <v>-11.747</v>
      </c>
      <c r="G156">
        <v>34.424999999999997</v>
      </c>
      <c r="H156">
        <v>50.9</v>
      </c>
      <c r="I156">
        <v>340</v>
      </c>
      <c r="J156">
        <v>53</v>
      </c>
      <c r="K156" t="str">
        <f>VLOOKUP(C156,Leonard2010!E:P,12,FALSE)</f>
        <v>E</v>
      </c>
      <c r="L156">
        <f>VLOOKUP(C156,Leonard2010!E:Q,13,FALSE)</f>
        <v>0</v>
      </c>
      <c r="M156">
        <f>VLOOKUP(C156,Leonard2010!E:R,14,FALSE)</f>
        <v>0</v>
      </c>
      <c r="N156">
        <f t="shared" si="21"/>
        <v>24.035319722758398</v>
      </c>
      <c r="O156">
        <f>VLOOKUP(B156,Leonard2010!D:CC,78,FALSE)</f>
        <v>369</v>
      </c>
      <c r="P156">
        <f>VLOOKUP(B156,FaultGeometry!B:G,6,FALSE)</f>
        <v>347</v>
      </c>
      <c r="Q156">
        <f>VLOOKUP(B156,FaultGeometry!B:L,11,FALSE)</f>
        <v>42.788025825648063</v>
      </c>
      <c r="R156">
        <f>VLOOKUP(C156,Leonard2010!E:CE,79,FALSE)</f>
        <v>612</v>
      </c>
      <c r="S156">
        <f>VLOOKUP(R156,FaultGeometry!W:X,2,FALSE)</f>
        <v>43.824748035467898</v>
      </c>
      <c r="T156">
        <f>VLOOKUP(C156,Leonard2010!E:BA,44,FALSE)</f>
        <v>6.6601143492312689</v>
      </c>
      <c r="U156">
        <f>VLOOKUP(C156,Leonard2010!E:BA,45,FALSE)</f>
        <v>7.0930993769106907</v>
      </c>
      <c r="V156">
        <f>VLOOKUP(C156,Leonard2010!E:BB,46,FALSE)</f>
        <v>7.5809331031836438</v>
      </c>
      <c r="W156">
        <v>352.7227601652728</v>
      </c>
      <c r="X156">
        <v>968.97941754380372</v>
      </c>
      <c r="Y156">
        <v>2661.9238043600744</v>
      </c>
      <c r="Z156">
        <f t="shared" si="17"/>
        <v>5.050501602341312E+16</v>
      </c>
      <c r="AA156">
        <v>1.3159248811743209</v>
      </c>
      <c r="AB156">
        <v>0.60390389630060903</v>
      </c>
      <c r="AC156">
        <f t="shared" si="15"/>
        <v>1223.3977738884025</v>
      </c>
    </row>
    <row r="157" spans="1:29" x14ac:dyDescent="0.2">
      <c r="A157">
        <f>VLOOKUP(C157,Leonard2010!E:CD,78,FALSE)</f>
        <v>156</v>
      </c>
      <c r="B157" s="11" t="s">
        <v>219</v>
      </c>
      <c r="C157" s="11" t="s">
        <v>296</v>
      </c>
      <c r="D157" s="11" t="s">
        <v>136</v>
      </c>
      <c r="E157">
        <v>1</v>
      </c>
      <c r="F157">
        <v>-11.316000000000001</v>
      </c>
      <c r="G157">
        <v>34.261000000000003</v>
      </c>
      <c r="H157">
        <v>3.5</v>
      </c>
      <c r="I157">
        <v>294</v>
      </c>
      <c r="J157">
        <v>53</v>
      </c>
      <c r="K157" t="str">
        <f>VLOOKUP(C157,Leonard2010!E:P,12,FALSE)</f>
        <v>E</v>
      </c>
      <c r="L157">
        <f>VLOOKUP(C157,Leonard2010!E:Q,13,FALSE)</f>
        <v>0</v>
      </c>
      <c r="M157">
        <f>VLOOKUP(C157,Leonard2010!E:R,14,FALSE)</f>
        <v>0</v>
      </c>
      <c r="N157">
        <f t="shared" si="21"/>
        <v>4.0341317555511402</v>
      </c>
      <c r="O157">
        <f>VLOOKUP(B157,Leonard2010!D:CC,78,FALSE)</f>
        <v>369</v>
      </c>
      <c r="P157">
        <f>VLOOKUP(B157,FaultGeometry!B:G,6,FALSE)</f>
        <v>347</v>
      </c>
      <c r="Q157">
        <f>VLOOKUP(B157,FaultGeometry!B:L,11,FALSE)</f>
        <v>42.788025825648063</v>
      </c>
      <c r="R157">
        <f>VLOOKUP(C157,Leonard2010!E:CE,79,FALSE)</f>
        <v>612</v>
      </c>
      <c r="S157">
        <f>VLOOKUP(R157,FaultGeometry!W:X,2,FALSE)</f>
        <v>43.824748035467898</v>
      </c>
      <c r="T157" t="str">
        <f>VLOOKUP(C157,Leonard2010!E:BA,44,FALSE)</f>
        <v>NA</v>
      </c>
      <c r="U157" t="str">
        <f>VLOOKUP(C157,Leonard2010!E:BA,45,FALSE)</f>
        <v>NA</v>
      </c>
      <c r="V157" t="str">
        <f>VLOOKUP(C157,Leonard2010!E:BB,46,FALSE)</f>
        <v>NA</v>
      </c>
      <c r="W157" t="str">
        <f>IF(T157="NA","NA",VLOOKUP(C157,Leonard2010!E:BD,51,FALSE)/E157)</f>
        <v>NA</v>
      </c>
      <c r="X157" t="str">
        <f>IF(U157="NA","NA",VLOOKUP(C157,Leonard2010!E:BE,52,FALSE)/E157)</f>
        <v>NA</v>
      </c>
      <c r="Y157" t="str">
        <f>IF(V157="NA","NA",VLOOKUP(C157,Leonard2010!E:BF,53,FALSE)/E157)</f>
        <v>NA</v>
      </c>
      <c r="Z157">
        <f t="shared" si="17"/>
        <v>0</v>
      </c>
      <c r="AA157" t="str">
        <f>IF(X157="NA","NA",VLOOKUP(E157,Leonard2010!G:BH,53,FALSE)/G157)</f>
        <v>NA</v>
      </c>
      <c r="AB157" t="str">
        <f>IF(Y157="NA","NA",VLOOKUP(F157,Leonard2010!H:BI,53,FALSE)/H157)</f>
        <v>NA</v>
      </c>
      <c r="AC157">
        <f t="shared" si="15"/>
        <v>14.119461144428991</v>
      </c>
    </row>
    <row r="158" spans="1:29" x14ac:dyDescent="0.2">
      <c r="A158">
        <f>VLOOKUP(C158,Leonard2010!E:CD,78,FALSE)</f>
        <v>157</v>
      </c>
      <c r="B158" s="11" t="s">
        <v>219</v>
      </c>
      <c r="C158" s="11" t="s">
        <v>165</v>
      </c>
      <c r="D158" s="11" t="s">
        <v>136</v>
      </c>
      <c r="E158">
        <v>1</v>
      </c>
      <c r="F158">
        <v>-11.304</v>
      </c>
      <c r="G158">
        <v>34.231000000000002</v>
      </c>
      <c r="H158">
        <v>66.5</v>
      </c>
      <c r="I158">
        <v>355</v>
      </c>
      <c r="J158">
        <v>53</v>
      </c>
      <c r="K158" t="str">
        <f>VLOOKUP(C158,Leonard2010!E:P,12,FALSE)</f>
        <v>E</v>
      </c>
      <c r="L158">
        <f>VLOOKUP(C158,Leonard2010!E:Q,13,FALSE)</f>
        <v>0</v>
      </c>
      <c r="M158">
        <f>VLOOKUP(C158,Leonard2010!E:R,14,FALSE)</f>
        <v>0</v>
      </c>
      <c r="N158">
        <f t="shared" si="21"/>
        <v>28.724500073736316</v>
      </c>
      <c r="O158">
        <f>VLOOKUP(B158,Leonard2010!D:CC,78,FALSE)</f>
        <v>369</v>
      </c>
      <c r="P158">
        <f>VLOOKUP(B158,FaultGeometry!B:G,6,FALSE)</f>
        <v>347</v>
      </c>
      <c r="Q158">
        <f>VLOOKUP(B158,FaultGeometry!B:L,11,FALSE)</f>
        <v>42.788025825648063</v>
      </c>
      <c r="R158">
        <f>VLOOKUP(C158,Leonard2010!E:CE,79,FALSE)</f>
        <v>612</v>
      </c>
      <c r="S158">
        <f>VLOOKUP(R158,FaultGeometry!W:X,2,FALSE)</f>
        <v>43.824748035467898</v>
      </c>
      <c r="T158">
        <f>VLOOKUP(C158,Leonard2010!E:BA,44,FALSE)</f>
        <v>6.8536207875085111</v>
      </c>
      <c r="U158">
        <f>VLOOKUP(C158,Leonard2010!E:BA,45,FALSE)</f>
        <v>7.2866058151879329</v>
      </c>
      <c r="V158">
        <f>VLOOKUP(C158,Leonard2010!E:BB,46,FALSE)</f>
        <v>7.774439541460886</v>
      </c>
      <c r="W158">
        <v>458.8422372784309</v>
      </c>
      <c r="X158">
        <v>1259.8256434182981</v>
      </c>
      <c r="Y158">
        <v>3459.0552544342654</v>
      </c>
      <c r="Z158">
        <f t="shared" si="17"/>
        <v>7.5787621716326944E+16</v>
      </c>
      <c r="AA158">
        <v>1.2963278909793201</v>
      </c>
      <c r="AB158">
        <v>0.59288725850911728</v>
      </c>
      <c r="AC158">
        <f t="shared" si="15"/>
        <v>1910.1792549034649</v>
      </c>
    </row>
    <row r="159" spans="1:29" x14ac:dyDescent="0.2">
      <c r="A159">
        <f>VLOOKUP(C159,Leonard2010!E:CD,78,FALSE)</f>
        <v>158</v>
      </c>
      <c r="B159" s="11" t="s">
        <v>172</v>
      </c>
      <c r="C159" s="11" t="s">
        <v>209</v>
      </c>
      <c r="D159" s="11" t="s">
        <v>419</v>
      </c>
      <c r="E159">
        <v>1</v>
      </c>
      <c r="F159">
        <v>-11.481999999999999</v>
      </c>
      <c r="G159">
        <v>34.533000000000001</v>
      </c>
      <c r="H159">
        <v>24.3</v>
      </c>
      <c r="I159">
        <v>178</v>
      </c>
      <c r="J159">
        <v>53</v>
      </c>
      <c r="K159" t="str">
        <f>VLOOKUP(C159,Leonard2010!E:P,12,FALSE)</f>
        <v>W</v>
      </c>
      <c r="L159">
        <f>VLOOKUP(C159,Leonard2010!E:Q,13,FALSE)</f>
        <v>1.5</v>
      </c>
      <c r="M159">
        <f>VLOOKUP(C159,Leonard2010!E:R,14,FALSE)</f>
        <v>0.5</v>
      </c>
      <c r="N159">
        <f>MIN((((H159*1000)^(2/3)*17.5)/1000),((35-M159)/SIN(RADIANS(J159))))</f>
        <v>14.681673590631977</v>
      </c>
      <c r="O159">
        <f>VLOOKUP(B159,Leonard2010!D:CC,78,FALSE)</f>
        <v>384</v>
      </c>
      <c r="P159">
        <f>VLOOKUP(B159,FaultGeometry!B:G,6,FALSE)</f>
        <v>169</v>
      </c>
      <c r="Q159">
        <f>VLOOKUP(B159,FaultGeometry!B:L,11,FALSE)</f>
        <v>21.445832523695383</v>
      </c>
      <c r="R159">
        <f>VLOOKUP(C159,Leonard2010!E:CE,79,FALSE)</f>
        <v>616</v>
      </c>
      <c r="S159">
        <f>VLOOKUP(R159,FaultGeometry!W:X,2,FALSE)</f>
        <v>30.455270589841014</v>
      </c>
      <c r="T159">
        <f>VLOOKUP(C159,Leonard2010!E:BA,44,FALSE)</f>
        <v>6.1249285013338577</v>
      </c>
      <c r="U159">
        <f>VLOOKUP(C159,Leonard2010!E:BA,45,FALSE)</f>
        <v>6.5579135290132795</v>
      </c>
      <c r="V159">
        <f>VLOOKUP(C159,Leonard2010!E:BB,46,FALSE)</f>
        <v>7.0457472552862326</v>
      </c>
      <c r="W159">
        <v>1453.2364127933233</v>
      </c>
      <c r="X159">
        <v>5257.8010883653133</v>
      </c>
      <c r="Y159">
        <v>19022.694477961068</v>
      </c>
      <c r="Z159">
        <f>IF(U159="NA",0,E159*10^(U159*1.5+9.05)/X159)</f>
        <v>1465771055808580.2</v>
      </c>
      <c r="AA159">
        <v>0.13256837605279365</v>
      </c>
      <c r="AB159">
        <v>0.12688725453981178</v>
      </c>
      <c r="AC159">
        <f t="shared" si="15"/>
        <v>356.76466825235707</v>
      </c>
    </row>
    <row r="160" spans="1:29" x14ac:dyDescent="0.2">
      <c r="A160">
        <f>VLOOKUP(C160,Leonard2010!E:CD,78,FALSE)</f>
        <v>159</v>
      </c>
      <c r="B160" s="11" t="s">
        <v>172</v>
      </c>
      <c r="C160" s="11" t="s">
        <v>210</v>
      </c>
      <c r="D160" s="11" t="s">
        <v>419</v>
      </c>
      <c r="E160">
        <v>1</v>
      </c>
      <c r="F160">
        <v>-11.327999999999999</v>
      </c>
      <c r="G160">
        <v>34.465000000000003</v>
      </c>
      <c r="H160">
        <v>18.600000000000001</v>
      </c>
      <c r="I160">
        <v>157</v>
      </c>
      <c r="J160">
        <v>53</v>
      </c>
      <c r="K160" t="str">
        <f>VLOOKUP(C160,Leonard2010!E:P,12,FALSE)</f>
        <v>W</v>
      </c>
      <c r="L160">
        <f>VLOOKUP(C160,Leonard2010!E:Q,13,FALSE)</f>
        <v>1.5</v>
      </c>
      <c r="M160">
        <f>VLOOKUP(C160,Leonard2010!E:R,14,FALSE)</f>
        <v>0.5</v>
      </c>
      <c r="N160">
        <f>MIN((((H160*1000)^(2/3)*17.5)/1000),((35-M160)/SIN(RADIANS(J160))))</f>
        <v>12.285137213262777</v>
      </c>
      <c r="O160">
        <f>VLOOKUP(B160,Leonard2010!D:CC,78,FALSE)</f>
        <v>384</v>
      </c>
      <c r="P160">
        <f>VLOOKUP(B160,FaultGeometry!B:G,6,FALSE)</f>
        <v>169</v>
      </c>
      <c r="Q160">
        <f>VLOOKUP(B160,FaultGeometry!B:L,11,FALSE)</f>
        <v>21.445832523695383</v>
      </c>
      <c r="R160">
        <f>VLOOKUP(C160,Leonard2010!E:CE,79,FALSE)</f>
        <v>616</v>
      </c>
      <c r="S160">
        <f>VLOOKUP(R160,FaultGeometry!W:X,2,FALSE)</f>
        <v>30.455270589841014</v>
      </c>
      <c r="T160">
        <f>VLOOKUP(C160,Leonard2010!E:BA,44,FALSE)</f>
        <v>5.9314396190331964</v>
      </c>
      <c r="U160">
        <f>VLOOKUP(C160,Leonard2010!E:BA,45,FALSE)</f>
        <v>6.3644246467126182</v>
      </c>
      <c r="V160">
        <f>VLOOKUP(C160,Leonard2010!E:BB,46,FALSE)</f>
        <v>6.8522583729855713</v>
      </c>
      <c r="W160">
        <v>1171.0582119287483</v>
      </c>
      <c r="X160">
        <v>4163.7847502680634</v>
      </c>
      <c r="Y160">
        <v>14804.647002142139</v>
      </c>
      <c r="Z160">
        <f>IF(U160="NA",0,E160*10^(U160*1.5+9.05)/X160)</f>
        <v>948743251645659</v>
      </c>
      <c r="AA160">
        <v>0.13214774662032236</v>
      </c>
      <c r="AB160">
        <v>0.12801885172916724</v>
      </c>
      <c r="AC160">
        <f t="shared" si="15"/>
        <v>228.50355216668768</v>
      </c>
    </row>
    <row r="161" spans="1:29" x14ac:dyDescent="0.2">
      <c r="A161">
        <f>VLOOKUP(C161,Leonard2010!E:CD,78,FALSE)</f>
        <v>160</v>
      </c>
      <c r="B161" s="11" t="s">
        <v>170</v>
      </c>
      <c r="C161" s="11" t="s">
        <v>417</v>
      </c>
      <c r="D161" s="11" t="s">
        <v>419</v>
      </c>
      <c r="E161">
        <v>1</v>
      </c>
      <c r="F161">
        <v>-11.377000000000001</v>
      </c>
      <c r="G161">
        <v>34.445</v>
      </c>
      <c r="H161">
        <v>14.2</v>
      </c>
      <c r="I161">
        <v>345</v>
      </c>
      <c r="J161">
        <v>53</v>
      </c>
      <c r="K161" t="str">
        <f>VLOOKUP(C161,Leonard2010!E:P,12,FALSE)</f>
        <v>E</v>
      </c>
      <c r="L161">
        <f>VLOOKUP(C161,Leonard2010!E:Q,13,FALSE)</f>
        <v>2.5</v>
      </c>
      <c r="M161">
        <f>VLOOKUP(C161,Leonard2010!E:R,14,FALSE)</f>
        <v>0.5</v>
      </c>
      <c r="N161">
        <f t="shared" ref="N161:N162" si="23">MIN((((H161*1000)^(2/3)*17.5)/1000),((35-M161)/SIN(RADIANS(J161))))</f>
        <v>10.261959073383167</v>
      </c>
      <c r="O161">
        <f>VLOOKUP(B161,Leonard2010!D:CC,78,FALSE)</f>
        <v>385</v>
      </c>
      <c r="P161">
        <f>VLOOKUP(B161,FaultGeometry!B:G,6,FALSE)</f>
        <v>2</v>
      </c>
      <c r="Q161">
        <f>VLOOKUP(B161,FaultGeometry!B:L,11,FALSE)</f>
        <v>16.783235229074116</v>
      </c>
      <c r="R161">
        <f>VLOOKUP(C161,Leonard2010!E:CE,79,FALSE)</f>
        <v>616</v>
      </c>
      <c r="S161">
        <f>VLOOKUP(R161,FaultGeometry!W:X,2,FALSE)</f>
        <v>30.455270589841014</v>
      </c>
      <c r="T161">
        <f>VLOOKUP(C161,Leonard2010!E:BA,44,FALSE)</f>
        <v>5.7360652859750987</v>
      </c>
      <c r="U161">
        <f>VLOOKUP(C161,Leonard2010!E:BA,45,FALSE)</f>
        <v>6.1690503136545205</v>
      </c>
      <c r="V161">
        <f>VLOOKUP(C161,Leonard2010!E:BB,46,FALSE)</f>
        <v>6.6568840399274736</v>
      </c>
      <c r="W161">
        <v>925.2294135857029</v>
      </c>
      <c r="X161">
        <v>3344.0810287279728</v>
      </c>
      <c r="Y161">
        <v>12086.600104248068</v>
      </c>
      <c r="Z161">
        <f>IF(U161="NA",0,E161*10^(U161*1.5+9.05)/X161)</f>
        <v>601587326387938.25</v>
      </c>
      <c r="AA161">
        <v>0.13402820714124727</v>
      </c>
      <c r="AB161">
        <v>0.12835924821973996</v>
      </c>
      <c r="AC161">
        <f t="shared" si="15"/>
        <v>145.71981884204098</v>
      </c>
    </row>
    <row r="162" spans="1:29" x14ac:dyDescent="0.2">
      <c r="A162">
        <f>VLOOKUP(C162,Leonard2010!E:CD,78,FALSE)</f>
        <v>161</v>
      </c>
      <c r="B162" s="11" t="s">
        <v>170</v>
      </c>
      <c r="C162" s="11" t="s">
        <v>418</v>
      </c>
      <c r="D162" s="11" t="s">
        <v>419</v>
      </c>
      <c r="E162">
        <v>1</v>
      </c>
      <c r="F162">
        <v>-11.253</v>
      </c>
      <c r="G162">
        <v>34.411000000000001</v>
      </c>
      <c r="H162">
        <v>15.5</v>
      </c>
      <c r="I162">
        <v>17</v>
      </c>
      <c r="J162">
        <v>53</v>
      </c>
      <c r="K162" t="str">
        <f>VLOOKUP(C162,Leonard2010!E:P,12,FALSE)</f>
        <v>E</v>
      </c>
      <c r="L162">
        <f>VLOOKUP(C162,Leonard2010!E:Q,13,FALSE)</f>
        <v>2</v>
      </c>
      <c r="M162">
        <f>VLOOKUP(C162,Leonard2010!E:R,14,FALSE)</f>
        <v>0.5</v>
      </c>
      <c r="N162">
        <f t="shared" si="23"/>
        <v>10.879088611048219</v>
      </c>
      <c r="O162">
        <f>VLOOKUP(B162,Leonard2010!D:CC,78,FALSE)</f>
        <v>385</v>
      </c>
      <c r="P162">
        <f>VLOOKUP(B162,FaultGeometry!B:G,6,FALSE)</f>
        <v>2</v>
      </c>
      <c r="Q162">
        <f>VLOOKUP(B162,FaultGeometry!B:L,11,FALSE)</f>
        <v>16.783235229074116</v>
      </c>
      <c r="R162">
        <f>VLOOKUP(C162,Leonard2010!E:CE,79,FALSE)</f>
        <v>616</v>
      </c>
      <c r="S162">
        <f>VLOOKUP(R162,FaultGeometry!W:X,2,FALSE)</f>
        <v>30.455270589841014</v>
      </c>
      <c r="T162">
        <f>VLOOKUP(C162,Leonard2010!E:BA,44,FALSE)</f>
        <v>5.7994708756204902</v>
      </c>
      <c r="U162">
        <f>VLOOKUP(C162,Leonard2010!E:BA,45,FALSE)</f>
        <v>6.2324559032999121</v>
      </c>
      <c r="V162">
        <f>VLOOKUP(C162,Leonard2010!E:BB,46,FALSE)</f>
        <v>6.7202896295728651</v>
      </c>
      <c r="W162">
        <v>1127.0288824595968</v>
      </c>
      <c r="X162">
        <v>4127.0499081763182</v>
      </c>
      <c r="Y162">
        <v>15112.781233615597</v>
      </c>
      <c r="Z162">
        <f>IF(U162="NA",0,E162*10^(U162*1.5+9.05)/X162)</f>
        <v>606797990856298.25</v>
      </c>
      <c r="AA162">
        <v>0.11688699494439501</v>
      </c>
      <c r="AB162">
        <v>0.11558925250691474</v>
      </c>
      <c r="AC162">
        <f t="shared" si="15"/>
        <v>168.62587347124739</v>
      </c>
    </row>
    <row r="163" spans="1:29" x14ac:dyDescent="0.2">
      <c r="A163">
        <f>VLOOKUP(C163,Leonard2010!E:CD,78,FALSE)</f>
        <v>162</v>
      </c>
      <c r="B163" s="11" t="s">
        <v>276</v>
      </c>
      <c r="C163" s="11" t="s">
        <v>273</v>
      </c>
      <c r="D163" s="11" t="s">
        <v>475</v>
      </c>
      <c r="E163">
        <v>1</v>
      </c>
      <c r="F163">
        <v>-11.076000000000001</v>
      </c>
      <c r="G163">
        <v>34.457000000000001</v>
      </c>
      <c r="H163">
        <v>28.1</v>
      </c>
      <c r="I163">
        <v>203</v>
      </c>
      <c r="J163">
        <v>53</v>
      </c>
      <c r="K163" t="str">
        <f>VLOOKUP(C163,Leonard2010!E:P,12,FALSE)</f>
        <v>W</v>
      </c>
      <c r="L163">
        <f>VLOOKUP(C163,Leonard2010!E:Q,13,FALSE)</f>
        <v>2.5</v>
      </c>
      <c r="M163">
        <f>VLOOKUP(C163,Leonard2010!E:R,14,FALSE)</f>
        <v>0.5</v>
      </c>
      <c r="N163">
        <f>MIN((((H163*1000)^(2/3)*17.5)/1000),((35-M163)/SIN(RADIANS(J163))))</f>
        <v>16.17492449163565</v>
      </c>
      <c r="O163">
        <f>VLOOKUP(B163,Leonard2010!D:CC,78,FALSE)</f>
        <v>386</v>
      </c>
      <c r="P163">
        <f>VLOOKUP(B163,FaultGeometry!B:G,6,FALSE)</f>
        <v>190</v>
      </c>
      <c r="Q163">
        <f>VLOOKUP(B163,FaultGeometry!B:L,11,FALSE)</f>
        <v>29.240526249832634</v>
      </c>
      <c r="R163">
        <f>VLOOKUP(C163,Leonard2010!E:CE,79,FALSE)</f>
        <v>617</v>
      </c>
      <c r="S163">
        <f>VLOOKUP(R163,FaultGeometry!W:X,2,FALSE)</f>
        <v>37.071582531392735</v>
      </c>
      <c r="T163">
        <f>VLOOKUP(C163,Leonard2010!E:BA,44,FALSE)</f>
        <v>6.2300952451784708</v>
      </c>
      <c r="U163">
        <f>VLOOKUP(C163,Leonard2010!E:BA,45,FALSE)</f>
        <v>6.6630802728578926</v>
      </c>
      <c r="V163">
        <f>VLOOKUP(C163,Leonard2010!E:BB,46,FALSE)</f>
        <v>7.1509139991308457</v>
      </c>
      <c r="W163">
        <v>1892.3394221412377</v>
      </c>
      <c r="X163">
        <v>7174.1113032342764</v>
      </c>
      <c r="Y163">
        <v>27198.013416090223</v>
      </c>
      <c r="Z163">
        <f t="shared" ref="Z163:Z168" si="24">IF(U163="NA",0,E163*10^(U163*1.5+9.05)/X163)</f>
        <v>1544728996956042.8</v>
      </c>
      <c r="AA163">
        <v>0.10798128544446677</v>
      </c>
      <c r="AB163">
        <v>0.10735558674454845</v>
      </c>
      <c r="AC163">
        <f t="shared" si="15"/>
        <v>454.5153782149618</v>
      </c>
    </row>
    <row r="164" spans="1:29" x14ac:dyDescent="0.2">
      <c r="A164">
        <f>VLOOKUP(C164,Leonard2010!E:CD,78,FALSE)</f>
        <v>163</v>
      </c>
      <c r="B164" s="11" t="s">
        <v>276</v>
      </c>
      <c r="C164" s="11" t="s">
        <v>274</v>
      </c>
      <c r="D164" s="11" t="s">
        <v>475</v>
      </c>
      <c r="E164">
        <v>1</v>
      </c>
      <c r="F164">
        <v>-10.944000000000001</v>
      </c>
      <c r="G164">
        <v>34.423999999999999</v>
      </c>
      <c r="H164">
        <v>15</v>
      </c>
      <c r="I164">
        <v>166</v>
      </c>
      <c r="J164">
        <v>53</v>
      </c>
      <c r="K164" t="str">
        <f>VLOOKUP(C164,Leonard2010!E:P,12,FALSE)</f>
        <v>W</v>
      </c>
      <c r="L164">
        <f>VLOOKUP(C164,Leonard2010!E:Q,13,FALSE)</f>
        <v>2</v>
      </c>
      <c r="M164">
        <f>VLOOKUP(C164,Leonard2010!E:R,14,FALSE)</f>
        <v>0.5</v>
      </c>
      <c r="N164">
        <f>MIN((((H164*1000)^(2/3)*17.5)/1000),((35-M164)/SIN(RADIANS(J164))))</f>
        <v>10.643853492253445</v>
      </c>
      <c r="O164">
        <f>VLOOKUP(B164,Leonard2010!D:CC,78,FALSE)</f>
        <v>386</v>
      </c>
      <c r="P164">
        <f>VLOOKUP(B164,FaultGeometry!B:G,6,FALSE)</f>
        <v>190</v>
      </c>
      <c r="Q164">
        <f>VLOOKUP(B164,FaultGeometry!B:L,11,FALSE)</f>
        <v>29.240526249832634</v>
      </c>
      <c r="R164">
        <f>VLOOKUP(C164,Leonard2010!E:CE,79,FALSE)</f>
        <v>617</v>
      </c>
      <c r="S164">
        <f>VLOOKUP(R164,FaultGeometry!W:X,2,FALSE)</f>
        <v>37.071582531392735</v>
      </c>
      <c r="T164">
        <f>VLOOKUP(C164,Leonard2010!E:BA,44,FALSE)</f>
        <v>5.775736810429474</v>
      </c>
      <c r="U164">
        <f>VLOOKUP(C164,Leonard2010!E:BA,45,FALSE)</f>
        <v>6.2087218381088958</v>
      </c>
      <c r="V164">
        <f>VLOOKUP(C164,Leonard2010!E:BB,46,FALSE)</f>
        <v>6.6965555643818488</v>
      </c>
      <c r="W164">
        <v>892.02939181956799</v>
      </c>
      <c r="X164">
        <v>3321.5762571568876</v>
      </c>
      <c r="Y164">
        <v>12368.279490884735</v>
      </c>
      <c r="Z164">
        <f t="shared" si="24"/>
        <v>694605998820561.5</v>
      </c>
      <c r="AA164">
        <v>0.13814660262954276</v>
      </c>
      <c r="AB164">
        <v>0.13351704811953535</v>
      </c>
      <c r="AC164">
        <f t="shared" si="15"/>
        <v>159.65780238380168</v>
      </c>
    </row>
    <row r="165" spans="1:29" x14ac:dyDescent="0.2">
      <c r="A165">
        <f>VLOOKUP(C165,Leonard2010!E:CD,78,FALSE)</f>
        <v>164</v>
      </c>
      <c r="B165" s="11" t="s">
        <v>276</v>
      </c>
      <c r="C165" s="11" t="s">
        <v>275</v>
      </c>
      <c r="D165" s="11" t="s">
        <v>475</v>
      </c>
      <c r="E165">
        <v>1</v>
      </c>
      <c r="F165">
        <v>-10.718999999999999</v>
      </c>
      <c r="G165">
        <v>34.462000000000003</v>
      </c>
      <c r="H165">
        <v>25.2</v>
      </c>
      <c r="I165">
        <v>190</v>
      </c>
      <c r="J165">
        <v>53</v>
      </c>
      <c r="K165" t="str">
        <f>VLOOKUP(C165,Leonard2010!E:P,12,FALSE)</f>
        <v>W</v>
      </c>
      <c r="L165">
        <f>VLOOKUP(C165,Leonard2010!E:Q,13,FALSE)</f>
        <v>2</v>
      </c>
      <c r="M165">
        <f>VLOOKUP(C165,Leonard2010!E:R,14,FALSE)</f>
        <v>0.5</v>
      </c>
      <c r="N165">
        <f>MIN((((H165*1000)^(2/3)*17.5)/1000),((35-M165)/SIN(RADIANS(J165))))</f>
        <v>15.041982388979044</v>
      </c>
      <c r="O165">
        <f>VLOOKUP(B165,Leonard2010!D:CC,78,FALSE)</f>
        <v>386</v>
      </c>
      <c r="P165">
        <f>VLOOKUP(B165,FaultGeometry!B:G,6,FALSE)</f>
        <v>190</v>
      </c>
      <c r="Q165">
        <f>VLOOKUP(B165,FaultGeometry!B:L,11,FALSE)</f>
        <v>29.240526249832634</v>
      </c>
      <c r="R165">
        <f>VLOOKUP(C165,Leonard2010!E:CE,79,FALSE)</f>
        <v>617</v>
      </c>
      <c r="S165">
        <f>VLOOKUP(R165,FaultGeometry!W:X,2,FALSE)</f>
        <v>37.071582531392735</v>
      </c>
      <c r="T165">
        <f>VLOOKUP(C165,Leonard2010!E:BA,44,FALSE)</f>
        <v>6.1512522799725771</v>
      </c>
      <c r="U165">
        <f>VLOOKUP(C165,Leonard2010!E:BA,45,FALSE)</f>
        <v>6.5842373076519989</v>
      </c>
      <c r="V165">
        <f>VLOOKUP(C165,Leonard2010!E:BB,46,FALSE)</f>
        <v>7.072071033924952</v>
      </c>
      <c r="W165">
        <v>1543.0798873787207</v>
      </c>
      <c r="X165">
        <v>5667.6510904584538</v>
      </c>
      <c r="Y165">
        <v>20816.983712840702</v>
      </c>
      <c r="Z165">
        <f t="shared" si="24"/>
        <v>1489199408107398.2</v>
      </c>
      <c r="AA165">
        <v>0.1245954195556274</v>
      </c>
      <c r="AB165">
        <v>0.12103910278911159</v>
      </c>
      <c r="AC165">
        <f t="shared" si="15"/>
        <v>379.0579562022719</v>
      </c>
    </row>
    <row r="166" spans="1:29" x14ac:dyDescent="0.2">
      <c r="A166">
        <f>VLOOKUP(C166,Leonard2010!E:CD,78,FALSE)</f>
        <v>165</v>
      </c>
      <c r="B166" s="65" t="s">
        <v>278</v>
      </c>
      <c r="C166" s="29" t="s">
        <v>545</v>
      </c>
      <c r="D166" s="93" t="s">
        <v>314</v>
      </c>
      <c r="E166">
        <v>0.5</v>
      </c>
      <c r="F166">
        <v>-10.617000000000001</v>
      </c>
      <c r="G166">
        <v>34.19</v>
      </c>
      <c r="H166">
        <v>19.7</v>
      </c>
      <c r="I166">
        <v>327</v>
      </c>
      <c r="J166">
        <v>53</v>
      </c>
      <c r="K166" t="str">
        <f>VLOOKUP(C166,Leonard2010!E:P,12,FALSE)</f>
        <v>NE</v>
      </c>
      <c r="L166">
        <f>VLOOKUP(C166,Leonard2010!E:Q,13,FALSE)</f>
        <v>0</v>
      </c>
      <c r="M166">
        <f>VLOOKUP(C166,Leonard2010!E:R,14,FALSE)</f>
        <v>0</v>
      </c>
      <c r="N166">
        <f t="shared" ref="N166:N167" si="25">MIN((((H166*1000)^(2/3)*17.5)/1000),((35-M166)/SIN(RADIANS(J166))))</f>
        <v>12.764844622020412</v>
      </c>
      <c r="O166">
        <f>VLOOKUP(B166,Leonard2010!D:CC,78,FALSE)</f>
        <v>397</v>
      </c>
      <c r="P166">
        <f>VLOOKUP(B166,FaultGeometry!B:G,6,FALSE)</f>
        <v>341</v>
      </c>
      <c r="Q166">
        <f>VLOOKUP(B166,FaultGeometry!B:L,11,FALSE)</f>
        <v>18.330367868609443</v>
      </c>
      <c r="R166">
        <f>VLOOKUP(C166,Leonard2010!E:CE,79,FALSE)</f>
        <v>619</v>
      </c>
      <c r="S166">
        <f>VLOOKUP(R166,FaultGeometry!W:X,2,FALSE)</f>
        <v>28.087431782652153</v>
      </c>
      <c r="T166">
        <f>VLOOKUP(C166,Leonard2010!E:BA,44,FALSE)</f>
        <v>5.9730284222726597</v>
      </c>
      <c r="U166">
        <f>VLOOKUP(C166,Leonard2010!E:BA,45,FALSE)</f>
        <v>6.4060134499520816</v>
      </c>
      <c r="V166">
        <f>VLOOKUP(C166,Leonard2010!E:BB,46,FALSE)</f>
        <v>6.8938471762250346</v>
      </c>
      <c r="W166">
        <v>635.19833863247277</v>
      </c>
      <c r="X166">
        <v>2366.9597644288324</v>
      </c>
      <c r="Y166">
        <v>8820.0774241423333</v>
      </c>
      <c r="Z166">
        <f t="shared" si="24"/>
        <v>963383721723734.25</v>
      </c>
      <c r="AA166">
        <v>0.24704560858178584</v>
      </c>
      <c r="AB166">
        <v>0.24296114282705394</v>
      </c>
      <c r="AC166">
        <f t="shared" si="15"/>
        <v>251.46743905380211</v>
      </c>
    </row>
    <row r="167" spans="1:29" x14ac:dyDescent="0.2">
      <c r="A167">
        <f>VLOOKUP(C167,Leonard2010!E:CD,78,FALSE)</f>
        <v>166</v>
      </c>
      <c r="B167" s="65" t="s">
        <v>278</v>
      </c>
      <c r="C167" s="29" t="s">
        <v>546</v>
      </c>
      <c r="D167" s="93" t="s">
        <v>314</v>
      </c>
      <c r="E167">
        <v>0.5</v>
      </c>
      <c r="F167">
        <v>-10.467000000000001</v>
      </c>
      <c r="G167">
        <v>34.091000000000001</v>
      </c>
      <c r="H167">
        <v>14.2</v>
      </c>
      <c r="I167">
        <v>360</v>
      </c>
      <c r="J167">
        <v>53</v>
      </c>
      <c r="K167" t="str">
        <f>VLOOKUP(C167,Leonard2010!E:P,12,FALSE)</f>
        <v>NE</v>
      </c>
      <c r="L167">
        <f>VLOOKUP(C167,Leonard2010!E:Q,13,FALSE)</f>
        <v>0</v>
      </c>
      <c r="M167">
        <f>VLOOKUP(C167,Leonard2010!E:R,14,FALSE)</f>
        <v>0</v>
      </c>
      <c r="N167">
        <f t="shared" si="25"/>
        <v>10.261959073383167</v>
      </c>
      <c r="O167">
        <f>VLOOKUP(B167,Leonard2010!D:CC,78,FALSE)</f>
        <v>397</v>
      </c>
      <c r="P167">
        <f>VLOOKUP(B167,FaultGeometry!B:G,6,FALSE)</f>
        <v>341</v>
      </c>
      <c r="Q167">
        <f>VLOOKUP(B167,FaultGeometry!B:L,11,FALSE)</f>
        <v>18.330367868609443</v>
      </c>
      <c r="R167">
        <f>VLOOKUP(C167,Leonard2010!E:CE,79,FALSE)</f>
        <v>619</v>
      </c>
      <c r="S167">
        <f>VLOOKUP(R167,FaultGeometry!W:X,2,FALSE)</f>
        <v>28.087431782652153</v>
      </c>
      <c r="T167">
        <f>VLOOKUP(C167,Leonard2010!E:BA,44,FALSE)</f>
        <v>5.7360652859750987</v>
      </c>
      <c r="U167">
        <f>VLOOKUP(C167,Leonard2010!E:BA,45,FALSE)</f>
        <v>6.1690503136545205</v>
      </c>
      <c r="V167">
        <f>VLOOKUP(C167,Leonard2010!E:BB,46,FALSE)</f>
        <v>6.6568840399274736</v>
      </c>
      <c r="W167">
        <v>468.19894570605948</v>
      </c>
      <c r="X167">
        <v>1747.7451355156986</v>
      </c>
      <c r="Y167">
        <v>6524.1775675345234</v>
      </c>
      <c r="Z167">
        <f t="shared" si="24"/>
        <v>575529213160558.5</v>
      </c>
      <c r="AA167">
        <v>0.26007414004482449</v>
      </c>
      <c r="AB167">
        <v>0.26127606220938465</v>
      </c>
      <c r="AC167">
        <f t="shared" si="15"/>
        <v>145.71981884204098</v>
      </c>
    </row>
    <row r="168" spans="1:29" x14ac:dyDescent="0.2">
      <c r="A168">
        <f>VLOOKUP(C168,Leonard2010!E:CD,78,FALSE)</f>
        <v>167</v>
      </c>
      <c r="B168" s="29" t="s">
        <v>491</v>
      </c>
      <c r="C168" s="29" t="s">
        <v>492</v>
      </c>
      <c r="D168" s="57" t="s">
        <v>315</v>
      </c>
      <c r="E168">
        <v>0.5</v>
      </c>
      <c r="F168">
        <v>-10.379</v>
      </c>
      <c r="G168">
        <v>34.222999999999999</v>
      </c>
      <c r="H168">
        <v>10.199999999999999</v>
      </c>
      <c r="I168">
        <v>148</v>
      </c>
      <c r="J168">
        <v>53</v>
      </c>
      <c r="K168" t="str">
        <f>VLOOKUP(C168,Leonard2010!E:P,12,FALSE)</f>
        <v>W</v>
      </c>
      <c r="L168">
        <f>VLOOKUP(C168,Leonard2010!E:Q,13,FALSE)</f>
        <v>0</v>
      </c>
      <c r="M168">
        <f>VLOOKUP(C168,Leonard2010!E:R,14,FALSE)</f>
        <v>0</v>
      </c>
      <c r="N168">
        <f t="shared" si="13"/>
        <v>8.230726357861915</v>
      </c>
      <c r="O168">
        <f>VLOOKUP(B168,Leonard2010!D:CC,78,FALSE)</f>
        <v>398</v>
      </c>
      <c r="P168">
        <f>VLOOKUP(B168,FaultGeometry!B:G,6,FALSE)</f>
        <v>140</v>
      </c>
      <c r="Q168">
        <f>VLOOKUP(B168,FaultGeometry!B:L,11,FALSE)</f>
        <v>25.124879169076419</v>
      </c>
      <c r="R168">
        <f>VLOOKUP(C168,Leonard2010!E:CE,79,FALSE)</f>
        <v>620</v>
      </c>
      <c r="S168">
        <f>VLOOKUP(R168,FaultGeometry!W:X,2,FALSE)</f>
        <v>36.486259918710751</v>
      </c>
      <c r="T168">
        <f>VLOOKUP(C168,Leonard2010!E:BA,44,FALSE)</f>
        <v>5.4965849982732022</v>
      </c>
      <c r="U168">
        <f>VLOOKUP(C168,Leonard2010!E:BA,45,FALSE)</f>
        <v>5.9295700259526241</v>
      </c>
      <c r="V168">
        <f>VLOOKUP(C168,Leonard2010!E:BB,46,FALSE)</f>
        <v>6.4174037522255771</v>
      </c>
      <c r="W168">
        <v>369.1548981979202</v>
      </c>
      <c r="X168">
        <v>1350.964109668447</v>
      </c>
      <c r="Y168">
        <v>4944.005983725945</v>
      </c>
      <c r="Z168">
        <f t="shared" si="24"/>
        <v>325597627543325</v>
      </c>
      <c r="AA168">
        <v>0.24707214738168623</v>
      </c>
      <c r="AB168">
        <v>0.24926747227113741</v>
      </c>
      <c r="AC168">
        <f t="shared" si="15"/>
        <v>83.953408850191522</v>
      </c>
    </row>
    <row r="169" spans="1:29" x14ac:dyDescent="0.2">
      <c r="A169">
        <f>VLOOKUP(C169,Leonard2010!E:CD,78,FALSE)</f>
        <v>168</v>
      </c>
      <c r="B169" s="29" t="s">
        <v>491</v>
      </c>
      <c r="C169" s="29" t="s">
        <v>493</v>
      </c>
      <c r="D169" s="57" t="s">
        <v>315</v>
      </c>
      <c r="E169">
        <v>0.5</v>
      </c>
      <c r="F169">
        <v>-10.243</v>
      </c>
      <c r="G169">
        <v>34.118000000000002</v>
      </c>
      <c r="H169">
        <v>19</v>
      </c>
      <c r="I169">
        <v>143</v>
      </c>
      <c r="J169">
        <v>53</v>
      </c>
      <c r="K169" t="str">
        <f>VLOOKUP(C169,Leonard2010!E:P,12,FALSE)</f>
        <v>W</v>
      </c>
      <c r="L169">
        <f>VLOOKUP(C169,Leonard2010!E:Q,13,FALSE)</f>
        <v>0</v>
      </c>
      <c r="M169">
        <f>VLOOKUP(C169,Leonard2010!E:R,14,FALSE)</f>
        <v>0</v>
      </c>
      <c r="N169">
        <f t="shared" si="13"/>
        <v>12.460642878078485</v>
      </c>
      <c r="O169">
        <f>VLOOKUP(B169,Leonard2010!D:CC,78,FALSE)</f>
        <v>398</v>
      </c>
      <c r="P169">
        <f>VLOOKUP(B169,FaultGeometry!B:G,6,FALSE)</f>
        <v>140</v>
      </c>
      <c r="Q169">
        <f>VLOOKUP(B169,FaultGeometry!B:L,11,FALSE)</f>
        <v>25.124879169076419</v>
      </c>
      <c r="R169">
        <f>VLOOKUP(C169,Leonard2010!E:CE,79,FALSE)</f>
        <v>620</v>
      </c>
      <c r="S169">
        <f>VLOOKUP(R169,FaultGeometry!W:X,2,FALSE)</f>
        <v>36.486259918710751</v>
      </c>
      <c r="T169">
        <f>VLOOKUP(C169,Leonard2010!E:BA,44,FALSE)</f>
        <v>5.946840713591385</v>
      </c>
      <c r="U169">
        <f>VLOOKUP(C169,Leonard2010!E:BA,45,FALSE)</f>
        <v>6.3798257412708068</v>
      </c>
      <c r="V169">
        <f>VLOOKUP(C169,Leonard2010!E:BB,46,FALSE)</f>
        <v>6.8676594675437599</v>
      </c>
      <c r="W169">
        <v>619.44315184689356</v>
      </c>
      <c r="X169">
        <v>2294.0886184057636</v>
      </c>
      <c r="Y169">
        <v>8496.0864825246645</v>
      </c>
      <c r="Z169">
        <f t="shared" si="17"/>
        <v>908026296670077.88</v>
      </c>
      <c r="AA169">
        <v>0.24549736003800054</v>
      </c>
      <c r="AB169">
        <v>0.24487783439068281</v>
      </c>
      <c r="AC169">
        <f t="shared" si="15"/>
        <v>236.75221468349122</v>
      </c>
    </row>
    <row r="170" spans="1:29" x14ac:dyDescent="0.2">
      <c r="A170">
        <f>VLOOKUP(C170,Leonard2010!E:CD,78,FALSE)</f>
        <v>169</v>
      </c>
      <c r="B170" s="29" t="s">
        <v>491</v>
      </c>
      <c r="C170" s="29" t="s">
        <v>494</v>
      </c>
      <c r="D170" s="57" t="s">
        <v>315</v>
      </c>
      <c r="E170">
        <v>0.5</v>
      </c>
      <c r="F170">
        <v>-10.086</v>
      </c>
      <c r="G170">
        <v>33.951999999999998</v>
      </c>
      <c r="H170">
        <v>25.2</v>
      </c>
      <c r="I170">
        <v>134</v>
      </c>
      <c r="J170">
        <v>53</v>
      </c>
      <c r="K170" t="str">
        <f>VLOOKUP(C170,Leonard2010!E:P,12,FALSE)</f>
        <v>W</v>
      </c>
      <c r="L170">
        <f>VLOOKUP(C170,Leonard2010!E:Q,13,FALSE)</f>
        <v>0.5</v>
      </c>
      <c r="M170">
        <f>VLOOKUP(C170,Leonard2010!E:R,14,FALSE)</f>
        <v>0.5</v>
      </c>
      <c r="N170">
        <f t="shared" si="13"/>
        <v>15.041982388979044</v>
      </c>
      <c r="O170">
        <f>VLOOKUP(B170,Leonard2010!D:CC,78,FALSE)</f>
        <v>398</v>
      </c>
      <c r="P170">
        <f>VLOOKUP(B170,FaultGeometry!B:G,6,FALSE)</f>
        <v>140</v>
      </c>
      <c r="Q170">
        <f>VLOOKUP(B170,FaultGeometry!B:L,11,FALSE)</f>
        <v>25.124879169076419</v>
      </c>
      <c r="R170">
        <f>VLOOKUP(C170,Leonard2010!E:CE,79,FALSE)</f>
        <v>620</v>
      </c>
      <c r="S170">
        <f>VLOOKUP(R170,FaultGeometry!W:X,2,FALSE)</f>
        <v>36.486259918710751</v>
      </c>
      <c r="T170">
        <f>VLOOKUP(C170,Leonard2010!E:BA,44,FALSE)</f>
        <v>6.1512522799725771</v>
      </c>
      <c r="U170">
        <f>VLOOKUP(C170,Leonard2010!E:BA,45,FALSE)</f>
        <v>6.5842373076519989</v>
      </c>
      <c r="V170">
        <f>VLOOKUP(C170,Leonard2010!E:BB,46,FALSE)</f>
        <v>7.072071033924952</v>
      </c>
      <c r="W170">
        <v>895.96866517661624</v>
      </c>
      <c r="X170">
        <v>3299.1329502551757</v>
      </c>
      <c r="Y170">
        <v>12148.056786465713</v>
      </c>
      <c r="Z170">
        <f t="shared" si="17"/>
        <v>1279163764621422.2</v>
      </c>
      <c r="AA170">
        <v>0.21937580780854476</v>
      </c>
      <c r="AB170">
        <v>0.22357373311355877</v>
      </c>
      <c r="AC170">
        <f t="shared" si="15"/>
        <v>379.0579562022719</v>
      </c>
    </row>
    <row r="171" spans="1:29" x14ac:dyDescent="0.2">
      <c r="A171">
        <f>VLOOKUP(C171,Leonard2010!E:CD,78,FALSE)</f>
        <v>170</v>
      </c>
      <c r="B171" s="29" t="s">
        <v>495</v>
      </c>
      <c r="C171" s="29" t="s">
        <v>496</v>
      </c>
      <c r="D171" s="29" t="s">
        <v>503</v>
      </c>
      <c r="E171">
        <v>0.5</v>
      </c>
      <c r="F171">
        <v>-10.379</v>
      </c>
      <c r="G171">
        <v>34.222999999999999</v>
      </c>
      <c r="H171">
        <v>10.199999999999999</v>
      </c>
      <c r="I171">
        <v>148</v>
      </c>
      <c r="J171">
        <v>53</v>
      </c>
      <c r="K171" t="str">
        <f>VLOOKUP(C171,Leonard2010!E:P,12,FALSE)</f>
        <v>W</v>
      </c>
      <c r="L171">
        <f>VLOOKUP(C171,Leonard2010!E:Q,13,FALSE)</f>
        <v>0.5</v>
      </c>
      <c r="M171">
        <f>VLOOKUP(C171,Leonard2010!E:R,14,FALSE)</f>
        <v>0.5</v>
      </c>
      <c r="N171">
        <f t="shared" ref="N171:N186" si="26">MIN((((H171*1000)^(2/3)*17.5)/1000),((35-M171)/SIN(RADIANS(J171))))</f>
        <v>8.230726357861915</v>
      </c>
      <c r="O171">
        <f>VLOOKUP(B171,Leonard2010!D:CC,78,FALSE)</f>
        <v>399</v>
      </c>
      <c r="P171">
        <f>VLOOKUP(B171,FaultGeometry!B:G,6,FALSE)</f>
        <v>147</v>
      </c>
      <c r="Q171">
        <f>VLOOKUP(B171,FaultGeometry!B:L,11,FALSE)</f>
        <v>20.672297087860741</v>
      </c>
      <c r="R171">
        <f>VLOOKUP(C171,Leonard2010!E:CE,79,FALSE)</f>
        <v>621</v>
      </c>
      <c r="S171">
        <f>VLOOKUP(R171,FaultGeometry!W:X,2,FALSE)</f>
        <v>36.664895663141692</v>
      </c>
      <c r="T171">
        <f>VLOOKUP(C171,Leonard2010!E:BA,44,FALSE)</f>
        <v>5.4965849982732022</v>
      </c>
      <c r="U171">
        <f>VLOOKUP(C171,Leonard2010!E:BA,45,FALSE)</f>
        <v>5.9295700259526241</v>
      </c>
      <c r="V171">
        <f>VLOOKUP(C171,Leonard2010!E:BB,46,FALSE)</f>
        <v>6.4174037522255771</v>
      </c>
      <c r="W171">
        <v>361.96767816633974</v>
      </c>
      <c r="X171">
        <v>1357.3531160825535</v>
      </c>
      <c r="Y171">
        <v>5089.9778982264606</v>
      </c>
      <c r="Z171">
        <f t="shared" si="17"/>
        <v>324065052632534</v>
      </c>
      <c r="AA171">
        <v>0.24781426660278807</v>
      </c>
      <c r="AB171">
        <v>0.24772923587694998</v>
      </c>
      <c r="AC171">
        <f t="shared" si="15"/>
        <v>83.953408850191522</v>
      </c>
    </row>
    <row r="172" spans="1:29" x14ac:dyDescent="0.2">
      <c r="A172">
        <f>VLOOKUP(C172,Leonard2010!E:CD,78,FALSE)</f>
        <v>171</v>
      </c>
      <c r="B172" s="29" t="s">
        <v>495</v>
      </c>
      <c r="C172" s="29" t="s">
        <v>497</v>
      </c>
      <c r="D172" s="29" t="s">
        <v>503</v>
      </c>
      <c r="E172">
        <v>0.5</v>
      </c>
      <c r="F172">
        <v>-10.243</v>
      </c>
      <c r="G172">
        <v>34.118000000000002</v>
      </c>
      <c r="H172">
        <v>19</v>
      </c>
      <c r="I172">
        <v>143</v>
      </c>
      <c r="J172">
        <v>53</v>
      </c>
      <c r="K172" t="str">
        <f>VLOOKUP(C172,Leonard2010!E:P,12,FALSE)</f>
        <v>W</v>
      </c>
      <c r="L172">
        <f>VLOOKUP(C172,Leonard2010!E:Q,13,FALSE)</f>
        <v>0.5</v>
      </c>
      <c r="M172">
        <f>VLOOKUP(C172,Leonard2010!E:R,14,FALSE)</f>
        <v>0.5</v>
      </c>
      <c r="N172">
        <f t="shared" si="26"/>
        <v>12.460642878078485</v>
      </c>
      <c r="O172">
        <f>VLOOKUP(B172,Leonard2010!D:CC,78,FALSE)</f>
        <v>399</v>
      </c>
      <c r="P172">
        <f>VLOOKUP(B172,FaultGeometry!B:G,6,FALSE)</f>
        <v>147</v>
      </c>
      <c r="Q172">
        <f>VLOOKUP(B172,FaultGeometry!B:L,11,FALSE)</f>
        <v>20.672297087860741</v>
      </c>
      <c r="R172">
        <f>VLOOKUP(C172,Leonard2010!E:CE,79,FALSE)</f>
        <v>621</v>
      </c>
      <c r="S172">
        <f>VLOOKUP(R172,FaultGeometry!W:X,2,FALSE)</f>
        <v>36.664895663141692</v>
      </c>
      <c r="T172">
        <f>VLOOKUP(C172,Leonard2010!E:BA,44,FALSE)</f>
        <v>5.946840713591385</v>
      </c>
      <c r="U172">
        <f>VLOOKUP(C172,Leonard2010!E:BA,45,FALSE)</f>
        <v>6.3798257412708068</v>
      </c>
      <c r="V172">
        <f>VLOOKUP(C172,Leonard2010!E:BB,46,FALSE)</f>
        <v>6.8676594675437599</v>
      </c>
      <c r="W172">
        <v>655.6751352082033</v>
      </c>
      <c r="X172">
        <v>2403.3846701683501</v>
      </c>
      <c r="Y172">
        <v>8809.6338607777689</v>
      </c>
      <c r="Z172">
        <f t="shared" si="17"/>
        <v>866732994622141</v>
      </c>
      <c r="AA172">
        <v>0.23979634845896261</v>
      </c>
      <c r="AB172">
        <v>0.24279729866988789</v>
      </c>
      <c r="AC172">
        <f t="shared" si="15"/>
        <v>236.75221468349122</v>
      </c>
    </row>
    <row r="173" spans="1:29" x14ac:dyDescent="0.2">
      <c r="A173">
        <f>VLOOKUP(C173,Leonard2010!E:CD,78,FALSE)</f>
        <v>172</v>
      </c>
      <c r="B173" s="29" t="s">
        <v>495</v>
      </c>
      <c r="C173" s="29" t="s">
        <v>498</v>
      </c>
      <c r="D173" s="29" t="s">
        <v>503</v>
      </c>
      <c r="E173">
        <v>0.5</v>
      </c>
      <c r="F173">
        <v>-10.151999999999999</v>
      </c>
      <c r="G173">
        <v>34.070999999999998</v>
      </c>
      <c r="H173">
        <v>11.4</v>
      </c>
      <c r="I173">
        <v>153</v>
      </c>
      <c r="J173">
        <v>53</v>
      </c>
      <c r="K173" t="str">
        <f>VLOOKUP(C173,Leonard2010!E:P,12,FALSE)</f>
        <v>W</v>
      </c>
      <c r="L173">
        <f>VLOOKUP(C173,Leonard2010!E:Q,13,FALSE)</f>
        <v>0.5</v>
      </c>
      <c r="M173">
        <f>VLOOKUP(C173,Leonard2010!E:R,14,FALSE)</f>
        <v>0.5</v>
      </c>
      <c r="N173">
        <f t="shared" si="26"/>
        <v>8.8642354445358258</v>
      </c>
      <c r="O173">
        <f>VLOOKUP(B173,Leonard2010!D:CC,78,FALSE)</f>
        <v>399</v>
      </c>
      <c r="P173">
        <f>VLOOKUP(B173,FaultGeometry!B:G,6,FALSE)</f>
        <v>147</v>
      </c>
      <c r="Q173">
        <f>VLOOKUP(B173,FaultGeometry!B:L,11,FALSE)</f>
        <v>20.672297087860741</v>
      </c>
      <c r="R173">
        <f>VLOOKUP(C173,Leonard2010!E:CE,79,FALSE)</f>
        <v>621</v>
      </c>
      <c r="S173">
        <f>VLOOKUP(R173,FaultGeometry!W:X,2,FALSE)</f>
        <v>36.664895663141692</v>
      </c>
      <c r="T173">
        <f>VLOOKUP(C173,Leonard2010!E:BA,44,FALSE)</f>
        <v>5.5770927975641245</v>
      </c>
      <c r="U173">
        <f>VLOOKUP(C173,Leonard2010!E:BA,45,FALSE)</f>
        <v>6.0100778252435463</v>
      </c>
      <c r="V173">
        <f>VLOOKUP(C173,Leonard2010!E:BB,46,FALSE)</f>
        <v>6.4979115515164994</v>
      </c>
      <c r="W173">
        <v>394.37493609150783</v>
      </c>
      <c r="X173">
        <v>1442.1749278370876</v>
      </c>
      <c r="Y173">
        <v>5273.8354599677441</v>
      </c>
      <c r="Z173">
        <f t="shared" si="17"/>
        <v>402780837973184.06</v>
      </c>
      <c r="AA173">
        <v>0.25435214724972566</v>
      </c>
      <c r="AB173">
        <v>0.25499866755680706</v>
      </c>
      <c r="AC173">
        <f t="shared" si="15"/>
        <v>101.05228406770841</v>
      </c>
    </row>
    <row r="174" spans="1:29" x14ac:dyDescent="0.2">
      <c r="A174">
        <f>VLOOKUP(C174,Leonard2010!E:CD,78,FALSE)</f>
        <v>173</v>
      </c>
      <c r="B174" s="29" t="s">
        <v>499</v>
      </c>
      <c r="C174" s="29" t="s">
        <v>500</v>
      </c>
      <c r="D174" s="29" t="s">
        <v>503</v>
      </c>
      <c r="E174">
        <v>0.5</v>
      </c>
      <c r="F174">
        <v>-10.058</v>
      </c>
      <c r="G174">
        <v>34.003999999999998</v>
      </c>
      <c r="H174">
        <v>16</v>
      </c>
      <c r="I174">
        <v>143</v>
      </c>
      <c r="J174">
        <v>50</v>
      </c>
      <c r="K174" t="str">
        <f>VLOOKUP(C174,Leonard2010!E:P,12,FALSE)</f>
        <v>W</v>
      </c>
      <c r="L174">
        <f>VLOOKUP(C174,Leonard2010!E:Q,13,FALSE)</f>
        <v>1</v>
      </c>
      <c r="M174">
        <f>VLOOKUP(C174,Leonard2010!E:R,14,FALSE)</f>
        <v>1</v>
      </c>
      <c r="N174">
        <f t="shared" ref="N174:N180" si="27">MIN((((H174*1000)^(2/3)*17.5)/1000),((35-M174)/SIN(RADIANS(J174))))</f>
        <v>11.111807363777398</v>
      </c>
      <c r="O174">
        <f>VLOOKUP(B174,Leonard2010!D:CC,78,FALSE)</f>
        <v>402</v>
      </c>
      <c r="P174">
        <f>VLOOKUP(B174,FaultGeometry!B:G,6,FALSE)</f>
        <v>153</v>
      </c>
      <c r="Q174">
        <f>VLOOKUP(B174,FaultGeometry!B:L,11,FALSE)</f>
        <v>25.401233274355985</v>
      </c>
      <c r="R174">
        <f>VLOOKUP(C174,Leonard2010!E:CE,79,FALSE)</f>
        <v>621</v>
      </c>
      <c r="S174">
        <f>VLOOKUP(R174,FaultGeometry!W:X,2,FALSE)</f>
        <v>36.664895663141692</v>
      </c>
      <c r="T174">
        <f>VLOOKUP(C174,Leonard2010!E:BA,44,FALSE)</f>
        <v>5.8224513497632131</v>
      </c>
      <c r="U174">
        <f>VLOOKUP(C174,Leonard2010!E:BA,45,FALSE)</f>
        <v>6.2554363774426349</v>
      </c>
      <c r="V174">
        <f>VLOOKUP(C174,Leonard2010!E:BB,46,FALSE)</f>
        <v>6.743270103715588</v>
      </c>
      <c r="W174">
        <v>639.50886971113152</v>
      </c>
      <c r="X174">
        <v>2313.1814043487143</v>
      </c>
      <c r="Y174">
        <v>8367.0586333566716</v>
      </c>
      <c r="Z174">
        <f t="shared" si="17"/>
        <v>586023292507460</v>
      </c>
      <c r="AA174">
        <v>0.20980685477370634</v>
      </c>
      <c r="AB174">
        <v>0.20053295831843329</v>
      </c>
      <c r="AC174">
        <f t="shared" si="15"/>
        <v>177.78891782043837</v>
      </c>
    </row>
    <row r="175" spans="1:29" x14ac:dyDescent="0.2">
      <c r="A175">
        <f>VLOOKUP(C175,Leonard2010!E:CD,78,FALSE)</f>
        <v>174</v>
      </c>
      <c r="B175" s="29" t="s">
        <v>499</v>
      </c>
      <c r="C175" s="29" t="s">
        <v>501</v>
      </c>
      <c r="D175" s="29" t="s">
        <v>503</v>
      </c>
      <c r="E175">
        <v>0.5</v>
      </c>
      <c r="F175">
        <v>-9.81</v>
      </c>
      <c r="G175">
        <v>33.914999999999999</v>
      </c>
      <c r="H175">
        <v>29.1</v>
      </c>
      <c r="I175">
        <v>161</v>
      </c>
      <c r="J175">
        <v>50</v>
      </c>
      <c r="K175" t="str">
        <f>VLOOKUP(C175,Leonard2010!E:P,12,FALSE)</f>
        <v>W</v>
      </c>
      <c r="L175">
        <f>VLOOKUP(C175,Leonard2010!E:Q,13,FALSE)</f>
        <v>1</v>
      </c>
      <c r="M175">
        <f>VLOOKUP(C175,Leonard2010!E:R,14,FALSE)</f>
        <v>1</v>
      </c>
      <c r="N175">
        <f t="shared" si="27"/>
        <v>16.556430409176677</v>
      </c>
      <c r="O175">
        <f>VLOOKUP(B175,Leonard2010!D:CC,78,FALSE)</f>
        <v>402</v>
      </c>
      <c r="P175">
        <f>VLOOKUP(B175,FaultGeometry!B:G,6,FALSE)</f>
        <v>153</v>
      </c>
      <c r="Q175">
        <f>VLOOKUP(B175,FaultGeometry!B:L,11,FALSE)</f>
        <v>25.401233274355985</v>
      </c>
      <c r="R175">
        <f>VLOOKUP(C175,Leonard2010!E:CE,79,FALSE)</f>
        <v>621</v>
      </c>
      <c r="S175">
        <f>VLOOKUP(R175,FaultGeometry!W:X,2,FALSE)</f>
        <v>36.664895663141692</v>
      </c>
      <c r="T175">
        <f>VLOOKUP(C175,Leonard2010!E:BA,44,FALSE)</f>
        <v>6.2554063603131835</v>
      </c>
      <c r="U175">
        <f>VLOOKUP(C175,Leonard2010!E:BA,45,FALSE)</f>
        <v>6.6883913879926054</v>
      </c>
      <c r="V175">
        <f>VLOOKUP(C175,Leonard2010!E:BB,46,FALSE)</f>
        <v>7.1762251142655584</v>
      </c>
      <c r="W175">
        <v>958.65683111953149</v>
      </c>
      <c r="X175">
        <v>3532.8209920559912</v>
      </c>
      <c r="Y175">
        <v>13019.073934242155</v>
      </c>
      <c r="Z175">
        <f t="shared" si="17"/>
        <v>1711730755910870.5</v>
      </c>
      <c r="AA175">
        <v>0.22718447551552703</v>
      </c>
      <c r="AB175">
        <v>0.21102221424002668</v>
      </c>
      <c r="AC175">
        <f t="shared" si="15"/>
        <v>481.79212490704134</v>
      </c>
    </row>
    <row r="176" spans="1:29" x14ac:dyDescent="0.2">
      <c r="A176">
        <f>VLOOKUP(C176,Leonard2010!E:CD,78,FALSE)</f>
        <v>175</v>
      </c>
      <c r="B176" s="29" t="s">
        <v>499</v>
      </c>
      <c r="C176" s="29" t="s">
        <v>502</v>
      </c>
      <c r="D176" s="29" t="s">
        <v>503</v>
      </c>
      <c r="E176">
        <v>0.5</v>
      </c>
      <c r="F176">
        <v>-9.7349999999999994</v>
      </c>
      <c r="G176">
        <v>33.862000000000002</v>
      </c>
      <c r="H176">
        <v>10.199999999999999</v>
      </c>
      <c r="I176">
        <v>145</v>
      </c>
      <c r="J176">
        <v>50</v>
      </c>
      <c r="K176" t="str">
        <f>VLOOKUP(C176,Leonard2010!E:P,12,FALSE)</f>
        <v>W</v>
      </c>
      <c r="L176">
        <f>VLOOKUP(C176,Leonard2010!E:Q,13,FALSE)</f>
        <v>1</v>
      </c>
      <c r="M176">
        <f>VLOOKUP(C176,Leonard2010!E:R,14,FALSE)</f>
        <v>1</v>
      </c>
      <c r="N176">
        <f t="shared" si="27"/>
        <v>8.230726357861915</v>
      </c>
      <c r="O176">
        <f>VLOOKUP(B176,Leonard2010!D:CC,78,FALSE)</f>
        <v>402</v>
      </c>
      <c r="P176">
        <f>VLOOKUP(B176,FaultGeometry!B:G,6,FALSE)</f>
        <v>153</v>
      </c>
      <c r="Q176">
        <f>VLOOKUP(B176,FaultGeometry!B:L,11,FALSE)</f>
        <v>25.401233274355985</v>
      </c>
      <c r="R176">
        <f>VLOOKUP(C176,Leonard2010!E:CE,79,FALSE)</f>
        <v>621</v>
      </c>
      <c r="S176">
        <f>VLOOKUP(R176,FaultGeometry!W:X,2,FALSE)</f>
        <v>36.664895663141692</v>
      </c>
      <c r="T176">
        <f>VLOOKUP(C176,Leonard2010!E:BA,44,FALSE)</f>
        <v>5.4965849982732022</v>
      </c>
      <c r="U176">
        <f>VLOOKUP(C176,Leonard2010!E:BA,45,FALSE)</f>
        <v>5.9295700259526241</v>
      </c>
      <c r="V176">
        <f>VLOOKUP(C176,Leonard2010!E:BB,46,FALSE)</f>
        <v>6.4174037522255771</v>
      </c>
      <c r="W176">
        <v>433.63472256961438</v>
      </c>
      <c r="X176">
        <v>1549.6811017273003</v>
      </c>
      <c r="Y176">
        <v>5538.0978322491464</v>
      </c>
      <c r="Z176">
        <f t="shared" si="17"/>
        <v>283845952895689</v>
      </c>
      <c r="AA176">
        <v>0.21634187587403203</v>
      </c>
      <c r="AB176">
        <v>0.20511281623222549</v>
      </c>
      <c r="AC176">
        <f t="shared" si="15"/>
        <v>83.953408850191522</v>
      </c>
    </row>
    <row r="177" spans="1:29" x14ac:dyDescent="0.2">
      <c r="A177">
        <f>VLOOKUP(C177,Leonard2010!E:CD,78,FALSE)</f>
        <v>176</v>
      </c>
      <c r="B177" s="29" t="s">
        <v>504</v>
      </c>
      <c r="C177" s="29" t="s">
        <v>505</v>
      </c>
      <c r="D177" s="29" t="s">
        <v>42</v>
      </c>
      <c r="E177">
        <v>0.5</v>
      </c>
      <c r="F177">
        <v>-10.026</v>
      </c>
      <c r="G177">
        <v>34.006</v>
      </c>
      <c r="H177">
        <v>20.5</v>
      </c>
      <c r="I177">
        <v>139</v>
      </c>
      <c r="J177">
        <v>50</v>
      </c>
      <c r="K177" t="str">
        <f>VLOOKUP(C177,Leonard2010!E:P,12,FALSE)</f>
        <v>W</v>
      </c>
      <c r="L177">
        <f>VLOOKUP(C177,Leonard2010!E:Q,13,FALSE)</f>
        <v>1</v>
      </c>
      <c r="M177">
        <f>VLOOKUP(C177,Leonard2010!E:R,14,FALSE)</f>
        <v>1</v>
      </c>
      <c r="N177">
        <f t="shared" si="27"/>
        <v>13.108126464782043</v>
      </c>
      <c r="O177">
        <f>VLOOKUP(B177,Leonard2010!D:CC,78,FALSE)</f>
        <v>403</v>
      </c>
      <c r="P177">
        <f>VLOOKUP(B177,FaultGeometry!B:G,6,FALSE)</f>
        <v>151</v>
      </c>
      <c r="Q177">
        <f>VLOOKUP(B177,FaultGeometry!B:L,11,FALSE)</f>
        <v>29.610395514727642</v>
      </c>
      <c r="R177">
        <f>VLOOKUP(C177,Leonard2010!E:CE,79,FALSE)</f>
        <v>0</v>
      </c>
      <c r="S177" t="str">
        <f>VLOOKUP(R177,FaultGeometry!W:X,2,FALSE)</f>
        <v>NA</v>
      </c>
      <c r="T177">
        <f>VLOOKUP(C177,Leonard2010!E:BA,44,FALSE)</f>
        <v>6.001841147096262</v>
      </c>
      <c r="U177">
        <f>VLOOKUP(C177,Leonard2010!E:BA,45,FALSE)</f>
        <v>6.4348261747756839</v>
      </c>
      <c r="V177">
        <f>VLOOKUP(C177,Leonard2010!E:BB,46,FALSE)</f>
        <v>6.9226599010486369</v>
      </c>
      <c r="W177">
        <v>163.45363886770681</v>
      </c>
      <c r="X177">
        <v>2176.2272983146299</v>
      </c>
      <c r="Y177">
        <v>28974.364148374232</v>
      </c>
      <c r="Z177">
        <f t="shared" si="17"/>
        <v>1157457391762562.5</v>
      </c>
      <c r="AA177">
        <v>0.27843038884701127</v>
      </c>
      <c r="AB177">
        <v>0.18905363278133566</v>
      </c>
      <c r="AC177">
        <f t="shared" si="15"/>
        <v>268.71659252803187</v>
      </c>
    </row>
    <row r="178" spans="1:29" x14ac:dyDescent="0.2">
      <c r="A178">
        <f>VLOOKUP(C178,Leonard2010!E:CD,78,FALSE)</f>
        <v>177</v>
      </c>
      <c r="B178" s="29" t="s">
        <v>504</v>
      </c>
      <c r="C178" s="29" t="s">
        <v>506</v>
      </c>
      <c r="D178" s="29" t="s">
        <v>42</v>
      </c>
      <c r="E178">
        <v>0.5</v>
      </c>
      <c r="F178">
        <v>-10.164999999999999</v>
      </c>
      <c r="G178">
        <v>34.130000000000003</v>
      </c>
      <c r="H178">
        <v>13.1</v>
      </c>
      <c r="I178">
        <v>160</v>
      </c>
      <c r="J178">
        <v>50</v>
      </c>
      <c r="K178" t="str">
        <f>VLOOKUP(C178,Leonard2010!E:P,12,FALSE)</f>
        <v>W</v>
      </c>
      <c r="L178">
        <f>VLOOKUP(C178,Leonard2010!E:Q,13,FALSE)</f>
        <v>1</v>
      </c>
      <c r="M178">
        <f>VLOOKUP(C178,Leonard2010!E:R,14,FALSE)</f>
        <v>1</v>
      </c>
      <c r="N178">
        <f t="shared" si="27"/>
        <v>9.7249097385022392</v>
      </c>
      <c r="O178">
        <f>VLOOKUP(B178,Leonard2010!D:CC,78,FALSE)</f>
        <v>403</v>
      </c>
      <c r="P178">
        <f>VLOOKUP(B178,FaultGeometry!B:G,6,FALSE)</f>
        <v>151</v>
      </c>
      <c r="Q178">
        <f>VLOOKUP(B178,FaultGeometry!B:L,11,FALSE)</f>
        <v>29.610395514727642</v>
      </c>
      <c r="R178">
        <f>VLOOKUP(C178,Leonard2010!E:CE,79,FALSE)</f>
        <v>0</v>
      </c>
      <c r="S178" t="str">
        <f>VLOOKUP(R178,FaultGeometry!W:X,2,FALSE)</f>
        <v>NA</v>
      </c>
      <c r="T178">
        <f>VLOOKUP(C178,Leonard2010!E:BA,44,FALSE)</f>
        <v>5.6777035380962788</v>
      </c>
      <c r="U178">
        <f>VLOOKUP(C178,Leonard2010!E:BA,45,FALSE)</f>
        <v>6.1106885657757006</v>
      </c>
      <c r="V178">
        <f>VLOOKUP(C178,Leonard2010!E:BB,46,FALSE)</f>
        <v>6.5985222920486537</v>
      </c>
      <c r="W178">
        <v>115.48660471726643</v>
      </c>
      <c r="X178">
        <v>1514.3651617223557</v>
      </c>
      <c r="Y178">
        <v>19857.730241986294</v>
      </c>
      <c r="Z178">
        <f t="shared" si="17"/>
        <v>542965509433094.56</v>
      </c>
      <c r="AA178">
        <v>0.27540751501660904</v>
      </c>
      <c r="AB178">
        <v>0.18706922357222275</v>
      </c>
      <c r="AC178">
        <f t="shared" si="15"/>
        <v>127.39631757437932</v>
      </c>
    </row>
    <row r="179" spans="1:29" x14ac:dyDescent="0.2">
      <c r="A179">
        <f>VLOOKUP(C179,Leonard2010!E:CD,78,FALSE)</f>
        <v>178</v>
      </c>
      <c r="B179" s="29" t="s">
        <v>504</v>
      </c>
      <c r="C179" s="29" t="s">
        <v>507</v>
      </c>
      <c r="D179" s="29" t="s">
        <v>42</v>
      </c>
      <c r="E179">
        <v>0.5</v>
      </c>
      <c r="F179">
        <v>-9.81</v>
      </c>
      <c r="G179">
        <v>33.914999999999999</v>
      </c>
      <c r="H179">
        <v>25.9</v>
      </c>
      <c r="I179">
        <v>157</v>
      </c>
      <c r="J179">
        <v>50</v>
      </c>
      <c r="K179" t="str">
        <f>VLOOKUP(C179,Leonard2010!E:P,12,FALSE)</f>
        <v>W</v>
      </c>
      <c r="L179">
        <f>VLOOKUP(C179,Leonard2010!E:Q,13,FALSE)</f>
        <v>1</v>
      </c>
      <c r="M179">
        <f>VLOOKUP(C179,Leonard2010!E:R,14,FALSE)</f>
        <v>1</v>
      </c>
      <c r="N179">
        <f t="shared" si="27"/>
        <v>15.319263678644818</v>
      </c>
      <c r="O179">
        <f>VLOOKUP(B179,Leonard2010!D:CC,78,FALSE)</f>
        <v>403</v>
      </c>
      <c r="P179">
        <f>VLOOKUP(B179,FaultGeometry!B:G,6,FALSE)</f>
        <v>151</v>
      </c>
      <c r="Q179">
        <f>VLOOKUP(B179,FaultGeometry!B:L,11,FALSE)</f>
        <v>29.610395514727642</v>
      </c>
      <c r="R179">
        <f>VLOOKUP(C179,Leonard2010!E:CE,79,FALSE)</f>
        <v>0</v>
      </c>
      <c r="S179" t="str">
        <f>VLOOKUP(R179,FaultGeometry!W:X,2,FALSE)</f>
        <v>NA</v>
      </c>
      <c r="T179">
        <f>VLOOKUP(C179,Leonard2010!E:BA,44,FALSE)</f>
        <v>6.1710843188054243</v>
      </c>
      <c r="U179">
        <f>VLOOKUP(C179,Leonard2010!E:BA,45,FALSE)</f>
        <v>6.6040693464848461</v>
      </c>
      <c r="V179">
        <f>VLOOKUP(C179,Leonard2010!E:BB,46,FALSE)</f>
        <v>7.0919030727577992</v>
      </c>
      <c r="W179">
        <v>199.65271754139178</v>
      </c>
      <c r="X179">
        <v>2665.8488242067724</v>
      </c>
      <c r="Y179">
        <v>35595.558332689696</v>
      </c>
      <c r="Z179">
        <f t="shared" si="17"/>
        <v>1695268554585594</v>
      </c>
      <c r="AA179">
        <v>0.2749373472835937</v>
      </c>
      <c r="AB179">
        <v>0.18807597687174391</v>
      </c>
      <c r="AC179">
        <f t="shared" si="15"/>
        <v>396.76892927690079</v>
      </c>
    </row>
    <row r="180" spans="1:29" x14ac:dyDescent="0.2">
      <c r="A180">
        <f>VLOOKUP(C180,Leonard2010!E:CD,78,FALSE)</f>
        <v>179</v>
      </c>
      <c r="B180" s="29" t="s">
        <v>504</v>
      </c>
      <c r="C180" s="29" t="s">
        <v>508</v>
      </c>
      <c r="D180" s="29" t="s">
        <v>42</v>
      </c>
      <c r="E180">
        <v>0.5</v>
      </c>
      <c r="F180">
        <v>-9.7349999999999994</v>
      </c>
      <c r="G180">
        <v>33.862000000000002</v>
      </c>
      <c r="H180">
        <v>10.1</v>
      </c>
      <c r="I180">
        <v>145</v>
      </c>
      <c r="J180">
        <v>50</v>
      </c>
      <c r="K180" t="str">
        <f>VLOOKUP(C180,Leonard2010!E:P,12,FALSE)</f>
        <v>W</v>
      </c>
      <c r="L180">
        <f>VLOOKUP(C180,Leonard2010!E:Q,13,FALSE)</f>
        <v>1</v>
      </c>
      <c r="M180">
        <f>VLOOKUP(C180,Leonard2010!E:R,14,FALSE)</f>
        <v>1</v>
      </c>
      <c r="N180">
        <f t="shared" si="27"/>
        <v>8.176842474232183</v>
      </c>
      <c r="O180">
        <f>VLOOKUP(B180,Leonard2010!D:CC,78,FALSE)</f>
        <v>403</v>
      </c>
      <c r="P180">
        <f>VLOOKUP(B180,FaultGeometry!B:G,6,FALSE)</f>
        <v>151</v>
      </c>
      <c r="Q180">
        <f>VLOOKUP(B180,FaultGeometry!B:L,11,FALSE)</f>
        <v>29.610395514727642</v>
      </c>
      <c r="R180">
        <f>VLOOKUP(C180,Leonard2010!E:CE,79,FALSE)</f>
        <v>0</v>
      </c>
      <c r="S180" t="str">
        <f>VLOOKUP(R180,FaultGeometry!W:X,2,FALSE)</f>
        <v>NA</v>
      </c>
      <c r="T180">
        <f>VLOOKUP(C180,Leonard2010!E:BA,44,FALSE)</f>
        <v>5.4894536683077417</v>
      </c>
      <c r="U180">
        <f>VLOOKUP(C180,Leonard2010!E:BA,45,FALSE)</f>
        <v>5.9224386959871635</v>
      </c>
      <c r="V180">
        <f>VLOOKUP(C180,Leonard2010!E:BB,46,FALSE)</f>
        <v>6.4102724222601166</v>
      </c>
      <c r="W180">
        <v>91.518983551961583</v>
      </c>
      <c r="X180">
        <v>1192.1641300888848</v>
      </c>
      <c r="Y180">
        <v>15529.623012734224</v>
      </c>
      <c r="Z180">
        <f t="shared" si="17"/>
        <v>359991293796915.44</v>
      </c>
      <c r="AA180">
        <v>0.27547898557966299</v>
      </c>
      <c r="AB180">
        <v>0.18747959670949996</v>
      </c>
      <c r="AC180">
        <f t="shared" si="15"/>
        <v>82.586108989745043</v>
      </c>
    </row>
    <row r="181" spans="1:29" x14ac:dyDescent="0.2">
      <c r="A181">
        <f>VLOOKUP(C181,Leonard2010!E:CD,78,FALSE)</f>
        <v>180</v>
      </c>
      <c r="B181" s="29" t="s">
        <v>511</v>
      </c>
      <c r="C181" s="29" t="s">
        <v>524</v>
      </c>
      <c r="D181" s="57" t="s">
        <v>519</v>
      </c>
      <c r="E181">
        <v>0.5</v>
      </c>
      <c r="F181">
        <v>-9.8940000000000001</v>
      </c>
      <c r="G181">
        <v>33.840000000000003</v>
      </c>
      <c r="H181">
        <v>6.4</v>
      </c>
      <c r="I181">
        <v>347</v>
      </c>
      <c r="J181">
        <v>60</v>
      </c>
      <c r="K181" t="str">
        <f>VLOOKUP(C181,Leonard2010!E:P,12,FALSE)</f>
        <v>E</v>
      </c>
      <c r="L181">
        <f>VLOOKUP(C181,Leonard2010!E:Q,13,FALSE)</f>
        <v>0</v>
      </c>
      <c r="M181">
        <f>VLOOKUP(C181,Leonard2010!E:R,14,FALSE)</f>
        <v>0</v>
      </c>
      <c r="N181">
        <f t="shared" si="26"/>
        <v>6.0324171320892681</v>
      </c>
      <c r="O181">
        <f>VLOOKUP(B181,Leonard2010!D:CC,78,FALSE)</f>
        <v>404</v>
      </c>
      <c r="P181">
        <f>VLOOKUP(B181,FaultGeometry!B:G,6,FALSE)</f>
        <v>356</v>
      </c>
      <c r="Q181">
        <f>VLOOKUP(B181,FaultGeometry!B:L,11,FALSE)</f>
        <v>13.02273112533811</v>
      </c>
      <c r="R181">
        <f>VLOOKUP(C181,Leonard2010!E:CE,79,FALSE)</f>
        <v>621</v>
      </c>
      <c r="S181">
        <f>VLOOKUP(R181,FaultGeometry!W:X,2,FALSE)</f>
        <v>36.664895663141692</v>
      </c>
      <c r="T181">
        <f>VLOOKUP(C181,Leonard2010!E:BA,44,FALSE)</f>
        <v>5.1592180019764813</v>
      </c>
      <c r="U181">
        <f>VLOOKUP(C181,Leonard2010!E:BA,45,FALSE)</f>
        <v>5.5922030296559031</v>
      </c>
      <c r="V181">
        <f>VLOOKUP(C181,Leonard2010!E:BB,46,FALSE)</f>
        <v>6.0800367559288562</v>
      </c>
      <c r="W181">
        <v>217.46880059405967</v>
      </c>
      <c r="X181">
        <v>773.05869229879568</v>
      </c>
      <c r="Y181">
        <v>2748.0711720771242</v>
      </c>
      <c r="Z181">
        <f t="shared" si="17"/>
        <v>177444311397537.28</v>
      </c>
      <c r="AA181">
        <v>0.29529716000555778</v>
      </c>
      <c r="AB181">
        <v>0.27863696396377524</v>
      </c>
      <c r="AC181">
        <f t="shared" si="15"/>
        <v>38.607469645371317</v>
      </c>
    </row>
    <row r="182" spans="1:29" x14ac:dyDescent="0.2">
      <c r="A182">
        <f>VLOOKUP(C182,Leonard2010!E:CD,78,FALSE)</f>
        <v>181</v>
      </c>
      <c r="B182" s="29" t="s">
        <v>511</v>
      </c>
      <c r="C182" s="29" t="s">
        <v>527</v>
      </c>
      <c r="D182" s="57" t="s">
        <v>520</v>
      </c>
      <c r="E182">
        <v>0.5</v>
      </c>
      <c r="F182">
        <v>-9.8379999999999992</v>
      </c>
      <c r="G182">
        <v>33.826999999999998</v>
      </c>
      <c r="H182">
        <v>1.1000000000000001</v>
      </c>
      <c r="I182">
        <v>309</v>
      </c>
      <c r="J182">
        <v>60</v>
      </c>
      <c r="K182" t="str">
        <f>VLOOKUP(C182,Leonard2010!E:P,12,FALSE)</f>
        <v>E</v>
      </c>
      <c r="L182">
        <f>VLOOKUP(C182,Leonard2010!E:Q,13,FALSE)</f>
        <v>0</v>
      </c>
      <c r="M182">
        <f>VLOOKUP(C182,Leonard2010!E:R,14,FALSE)</f>
        <v>0</v>
      </c>
      <c r="N182">
        <f t="shared" si="26"/>
        <v>1.8648039143415671</v>
      </c>
      <c r="O182">
        <f>VLOOKUP(B182,Leonard2010!D:CC,78,FALSE)</f>
        <v>404</v>
      </c>
      <c r="P182">
        <f>VLOOKUP(B182,FaultGeometry!B:G,6,FALSE)</f>
        <v>356</v>
      </c>
      <c r="Q182">
        <f>VLOOKUP(B182,FaultGeometry!B:L,11,FALSE)</f>
        <v>13.02273112533811</v>
      </c>
      <c r="R182">
        <f>VLOOKUP(C182,Leonard2010!E:CE,79,FALSE)</f>
        <v>621</v>
      </c>
      <c r="S182">
        <f>VLOOKUP(R182,FaultGeometry!W:X,2,FALSE)</f>
        <v>36.664895663141692</v>
      </c>
      <c r="T182" t="str">
        <f>VLOOKUP(C182,Leonard2010!E:BA,44,FALSE)</f>
        <v>NA</v>
      </c>
      <c r="U182" t="str">
        <f>VLOOKUP(C182,Leonard2010!E:BA,45,FALSE)</f>
        <v>NA</v>
      </c>
      <c r="V182" t="str">
        <f>VLOOKUP(C182,Leonard2010!E:BB,46,FALSE)</f>
        <v>NA</v>
      </c>
      <c r="W182" t="str">
        <f>IF(T182="NA","NA",VLOOKUP(C182,Leonard2010!E:BD,51,FALSE)/E182)</f>
        <v>NA</v>
      </c>
      <c r="X182" t="str">
        <f>IF(U182="NA","NA",VLOOKUP(C182,Leonard2010!E:BE,52,FALSE)/E182)</f>
        <v>NA</v>
      </c>
      <c r="Y182" t="str">
        <f>IF(V182="NA","NA",VLOOKUP(C182,Leonard2010!E:BF,53,FALSE)/E182)</f>
        <v>NA</v>
      </c>
      <c r="Z182">
        <f t="shared" ref="Z182" si="28">IF(U182="NA",0,E182*10^(U182*1.5+9.05)/X182)</f>
        <v>0</v>
      </c>
      <c r="AA182" t="str">
        <f>IF(X182="NA","NA",VLOOKUP(E182,Leonard2010!G:BH,53,FALSE)/G182)</f>
        <v>NA</v>
      </c>
      <c r="AB182" t="str">
        <f>IF(Y182="NA","NA",VLOOKUP(F182,Leonard2010!H:BI,53,FALSE)/H182)</f>
        <v>NA</v>
      </c>
      <c r="AC182">
        <f t="shared" si="15"/>
        <v>2.0512843057757242</v>
      </c>
    </row>
    <row r="183" spans="1:29" x14ac:dyDescent="0.2">
      <c r="A183">
        <f>VLOOKUP(C183,Leonard2010!E:CD,78,FALSE)</f>
        <v>182</v>
      </c>
      <c r="B183" s="29" t="s">
        <v>511</v>
      </c>
      <c r="C183" s="29" t="s">
        <v>513</v>
      </c>
      <c r="D183" s="57" t="s">
        <v>521</v>
      </c>
      <c r="E183">
        <v>0.5</v>
      </c>
      <c r="F183">
        <v>-9.8309999999999995</v>
      </c>
      <c r="G183">
        <v>33.819000000000003</v>
      </c>
      <c r="H183">
        <v>5.7</v>
      </c>
      <c r="I183">
        <v>356</v>
      </c>
      <c r="J183">
        <v>60</v>
      </c>
      <c r="K183" t="str">
        <f>VLOOKUP(C183,Leonard2010!E:P,12,FALSE)</f>
        <v>E</v>
      </c>
      <c r="L183">
        <f>VLOOKUP(C183,Leonard2010!E:Q,13,FALSE)</f>
        <v>0</v>
      </c>
      <c r="M183">
        <f>VLOOKUP(C183,Leonard2010!E:R,14,FALSE)</f>
        <v>0</v>
      </c>
      <c r="N183">
        <f t="shared" si="26"/>
        <v>5.5841184138974658</v>
      </c>
      <c r="O183">
        <f>VLOOKUP(B183,Leonard2010!D:CC,78,FALSE)</f>
        <v>404</v>
      </c>
      <c r="P183">
        <f>VLOOKUP(B183,FaultGeometry!B:G,6,FALSE)</f>
        <v>356</v>
      </c>
      <c r="Q183">
        <f>VLOOKUP(B183,FaultGeometry!B:L,11,FALSE)</f>
        <v>13.02273112533811</v>
      </c>
      <c r="R183">
        <f>VLOOKUP(C183,Leonard2010!E:CE,79,FALSE)</f>
        <v>621</v>
      </c>
      <c r="S183">
        <f>VLOOKUP(R183,FaultGeometry!W:X,2,FALSE)</f>
        <v>36.664895663141692</v>
      </c>
      <c r="T183">
        <f>VLOOKUP(C183,Leonard2010!E:BA,44,FALSE)</f>
        <v>5.075376138124156</v>
      </c>
      <c r="U183">
        <f>VLOOKUP(C183,Leonard2010!E:BA,45,FALSE)</f>
        <v>5.5083611658035778</v>
      </c>
      <c r="V183">
        <f>VLOOKUP(C183,Leonard2010!E:BB,46,FALSE)</f>
        <v>5.9961948920765309</v>
      </c>
      <c r="W183">
        <v>202.71142008259153</v>
      </c>
      <c r="X183">
        <v>725.13825575731175</v>
      </c>
      <c r="Y183">
        <v>2593.9608619411642</v>
      </c>
      <c r="Z183">
        <f t="shared" si="17"/>
        <v>141609025926516.97</v>
      </c>
      <c r="AA183">
        <v>0.28859529080984037</v>
      </c>
      <c r="AB183">
        <v>0.27237301170712458</v>
      </c>
      <c r="AC183">
        <f t="shared" si="15"/>
        <v>31.829474959215556</v>
      </c>
    </row>
    <row r="184" spans="1:29" x14ac:dyDescent="0.2">
      <c r="A184">
        <f>VLOOKUP(C184,Leonard2010!E:CD,78,FALSE)</f>
        <v>183</v>
      </c>
      <c r="B184" s="29" t="s">
        <v>511</v>
      </c>
      <c r="C184" s="29" t="s">
        <v>514</v>
      </c>
      <c r="D184" s="57" t="s">
        <v>522</v>
      </c>
      <c r="E184">
        <v>0.5</v>
      </c>
      <c r="F184">
        <v>-9.7799999999999994</v>
      </c>
      <c r="G184">
        <v>33.814999999999998</v>
      </c>
      <c r="H184">
        <v>0.6</v>
      </c>
      <c r="I184">
        <v>58</v>
      </c>
      <c r="J184">
        <v>60</v>
      </c>
      <c r="K184" t="str">
        <f>VLOOKUP(C184,Leonard2010!E:P,12,FALSE)</f>
        <v>E</v>
      </c>
      <c r="L184">
        <f>VLOOKUP(C184,Leonard2010!E:Q,13,FALSE)</f>
        <v>0</v>
      </c>
      <c r="M184">
        <f>VLOOKUP(C184,Leonard2010!E:R,14,FALSE)</f>
        <v>0</v>
      </c>
      <c r="N184">
        <f t="shared" si="26"/>
        <v>1.2449126565715218</v>
      </c>
      <c r="O184">
        <f>VLOOKUP(B184,Leonard2010!D:CC,78,FALSE)</f>
        <v>404</v>
      </c>
      <c r="P184">
        <f>VLOOKUP(B184,FaultGeometry!B:G,6,FALSE)</f>
        <v>356</v>
      </c>
      <c r="Q184">
        <f>VLOOKUP(B184,FaultGeometry!B:L,11,FALSE)</f>
        <v>13.02273112533811</v>
      </c>
      <c r="R184">
        <f>VLOOKUP(C184,Leonard2010!E:CE,79,FALSE)</f>
        <v>621</v>
      </c>
      <c r="S184">
        <f>VLOOKUP(R184,FaultGeometry!W:X,2,FALSE)</f>
        <v>36.664895663141692</v>
      </c>
      <c r="T184" t="str">
        <f>VLOOKUP(C184,Leonard2010!E:BA,44,FALSE)</f>
        <v>NA</v>
      </c>
      <c r="U184" t="str">
        <f>VLOOKUP(C184,Leonard2010!E:BA,45,FALSE)</f>
        <v>NA</v>
      </c>
      <c r="V184" t="str">
        <f>VLOOKUP(C184,Leonard2010!E:BB,46,FALSE)</f>
        <v>NA</v>
      </c>
      <c r="W184" t="str">
        <f>IF(T184="NA","NA",VLOOKUP(C184,Leonard2010!E:BD,51,FALSE)/E184)</f>
        <v>NA</v>
      </c>
      <c r="X184" t="str">
        <f>IF(U184="NA","NA",VLOOKUP(C184,Leonard2010!E:BE,52,FALSE)/E184)</f>
        <v>NA</v>
      </c>
      <c r="Y184" t="str">
        <f>IF(V184="NA","NA",VLOOKUP(C184,Leonard2010!E:BF,53,FALSE)/E184)</f>
        <v>NA</v>
      </c>
      <c r="Z184">
        <f t="shared" ref="Z184" si="29">IF(U184="NA",0,E184*10^(U184*1.5+9.05)/X184)</f>
        <v>0</v>
      </c>
      <c r="AA184" t="str">
        <f>IF(X184="NA","NA",VLOOKUP(E184,Leonard2010!G:BH,53,FALSE)/G184)</f>
        <v>NA</v>
      </c>
      <c r="AB184" t="str">
        <f>IF(Y184="NA","NA",VLOOKUP(F184,Leonard2010!H:BI,53,FALSE)/H184)</f>
        <v>NA</v>
      </c>
      <c r="AC184">
        <f t="shared" si="15"/>
        <v>0.7469475939429131</v>
      </c>
    </row>
    <row r="185" spans="1:29" x14ac:dyDescent="0.2">
      <c r="A185">
        <f>VLOOKUP(C185,Leonard2010!E:CD,78,FALSE)</f>
        <v>184</v>
      </c>
      <c r="B185" s="29" t="s">
        <v>511</v>
      </c>
      <c r="C185" s="29" t="s">
        <v>515</v>
      </c>
      <c r="D185" s="57" t="s">
        <v>523</v>
      </c>
      <c r="E185">
        <v>0.5</v>
      </c>
      <c r="F185">
        <v>-9.7769999999999992</v>
      </c>
      <c r="G185">
        <v>33.819000000000003</v>
      </c>
      <c r="H185">
        <v>6.5</v>
      </c>
      <c r="I185">
        <v>9</v>
      </c>
      <c r="J185">
        <v>60</v>
      </c>
      <c r="K185" t="str">
        <f>VLOOKUP(C185,Leonard2010!E:P,12,FALSE)</f>
        <v>E</v>
      </c>
      <c r="L185">
        <f>VLOOKUP(C185,Leonard2010!E:Q,13,FALSE)</f>
        <v>0</v>
      </c>
      <c r="M185">
        <f>VLOOKUP(C185,Leonard2010!E:R,14,FALSE)</f>
        <v>0</v>
      </c>
      <c r="N185">
        <f t="shared" si="26"/>
        <v>6.0950922968972865</v>
      </c>
      <c r="O185">
        <f>VLOOKUP(B185,Leonard2010!D:CC,78,FALSE)</f>
        <v>404</v>
      </c>
      <c r="P185">
        <f>VLOOKUP(B185,FaultGeometry!B:G,6,FALSE)</f>
        <v>356</v>
      </c>
      <c r="Q185">
        <f>VLOOKUP(B185,FaultGeometry!B:L,11,FALSE)</f>
        <v>13.02273112533811</v>
      </c>
      <c r="R185">
        <f>VLOOKUP(C185,Leonard2010!E:CE,79,FALSE)</f>
        <v>621</v>
      </c>
      <c r="S185">
        <f>VLOOKUP(R185,FaultGeometry!W:X,2,FALSE)</f>
        <v>36.664895663141692</v>
      </c>
      <c r="T185">
        <f>VLOOKUP(C185,Leonard2010!E:BA,44,FALSE)</f>
        <v>5.1704403064080964</v>
      </c>
      <c r="U185">
        <f>VLOOKUP(C185,Leonard2010!E:BA,45,FALSE)</f>
        <v>5.6034253340875182</v>
      </c>
      <c r="V185">
        <f>VLOOKUP(C185,Leonard2010!E:BB,46,FALSE)</f>
        <v>6.0912590603604713</v>
      </c>
      <c r="W185">
        <v>240.21558079818803</v>
      </c>
      <c r="X185">
        <v>863.61814066831425</v>
      </c>
      <c r="Y185">
        <v>3104.862267522918</v>
      </c>
      <c r="Z185">
        <f t="shared" si="17"/>
        <v>165114893658453.59</v>
      </c>
      <c r="AA185">
        <v>0.27231104251509414</v>
      </c>
      <c r="AB185">
        <v>0.25662242377166455</v>
      </c>
      <c r="AC185">
        <f t="shared" si="15"/>
        <v>39.618099929832361</v>
      </c>
    </row>
    <row r="186" spans="1:29" x14ac:dyDescent="0.2">
      <c r="A186">
        <f>VLOOKUP(C186,Leonard2010!E:CD,78,FALSE)</f>
        <v>185</v>
      </c>
      <c r="B186" s="29" t="s">
        <v>512</v>
      </c>
      <c r="C186" s="29" t="s">
        <v>526</v>
      </c>
      <c r="D186" s="29" t="s">
        <v>528</v>
      </c>
      <c r="E186">
        <v>0.5</v>
      </c>
      <c r="F186">
        <v>-9.8940000000000001</v>
      </c>
      <c r="G186">
        <v>33.840000000000003</v>
      </c>
      <c r="H186">
        <v>6.4</v>
      </c>
      <c r="I186">
        <v>347</v>
      </c>
      <c r="J186">
        <v>60</v>
      </c>
      <c r="K186" t="str">
        <f>VLOOKUP(C186,Leonard2010!E:P,12,FALSE)</f>
        <v>E</v>
      </c>
      <c r="L186">
        <f>VLOOKUP(C186,Leonard2010!E:Q,13,FALSE)</f>
        <v>0</v>
      </c>
      <c r="M186">
        <f>VLOOKUP(C186,Leonard2010!E:R,14,FALSE)</f>
        <v>0</v>
      </c>
      <c r="N186">
        <f t="shared" si="26"/>
        <v>6.0324171320892681</v>
      </c>
      <c r="O186">
        <f>VLOOKUP(B186,Leonard2010!D:CC,78,FALSE)</f>
        <v>405</v>
      </c>
      <c r="P186">
        <f>VLOOKUP(B186,FaultGeometry!B:G,6,FALSE)</f>
        <v>356</v>
      </c>
      <c r="Q186">
        <f>VLOOKUP(B186,FaultGeometry!B:L,11,FALSE)</f>
        <v>13.02273112533811</v>
      </c>
      <c r="R186">
        <f>VLOOKUP(C186,Leonard2010!E:CE,79,FALSE)</f>
        <v>622</v>
      </c>
      <c r="S186">
        <f>VLOOKUP(R186,FaultGeometry!W:X,2,FALSE)</f>
        <v>20.740130788389592</v>
      </c>
      <c r="T186">
        <f>VLOOKUP(C186,Leonard2010!E:BA,44,FALSE)</f>
        <v>5.1592180019764813</v>
      </c>
      <c r="U186">
        <f>VLOOKUP(C186,Leonard2010!E:BA,45,FALSE)</f>
        <v>5.5922030296559031</v>
      </c>
      <c r="V186">
        <f>VLOOKUP(C186,Leonard2010!E:BB,46,FALSE)</f>
        <v>6.0800367559288562</v>
      </c>
      <c r="W186">
        <v>211.7625923595341</v>
      </c>
      <c r="X186">
        <v>758.57749459143383</v>
      </c>
      <c r="Y186">
        <v>2717.3818042594858</v>
      </c>
      <c r="Z186">
        <f t="shared" si="17"/>
        <v>180831712386513.88</v>
      </c>
      <c r="AA186">
        <v>0.29732999633132973</v>
      </c>
      <c r="AB186">
        <v>0.27983679243024306</v>
      </c>
      <c r="AC186">
        <f t="shared" si="15"/>
        <v>38.607469645371317</v>
      </c>
    </row>
    <row r="187" spans="1:29" x14ac:dyDescent="0.2">
      <c r="A187">
        <f>VLOOKUP(C187,Leonard2010!E:CD,78,FALSE)</f>
        <v>186</v>
      </c>
      <c r="B187" s="29" t="s">
        <v>512</v>
      </c>
      <c r="C187" s="29" t="s">
        <v>525</v>
      </c>
      <c r="D187" s="29" t="s">
        <v>528</v>
      </c>
      <c r="E187">
        <v>0.5</v>
      </c>
      <c r="F187">
        <v>-9.8379999999999992</v>
      </c>
      <c r="G187">
        <v>33.826999999999998</v>
      </c>
      <c r="H187">
        <v>1.1000000000000001</v>
      </c>
      <c r="I187">
        <v>309</v>
      </c>
      <c r="J187">
        <v>60</v>
      </c>
      <c r="K187" t="str">
        <f>VLOOKUP(C187,Leonard2010!E:P,12,FALSE)</f>
        <v>E</v>
      </c>
      <c r="L187">
        <f>VLOOKUP(C187,Leonard2010!E:Q,13,FALSE)</f>
        <v>0</v>
      </c>
      <c r="M187">
        <f>VLOOKUP(C187,Leonard2010!E:R,14,FALSE)</f>
        <v>0</v>
      </c>
      <c r="N187">
        <f t="shared" si="13"/>
        <v>1.8648039143415671</v>
      </c>
      <c r="O187">
        <f>VLOOKUP(B187,Leonard2010!D:CC,78,FALSE)</f>
        <v>405</v>
      </c>
      <c r="P187">
        <f>VLOOKUP(B187,FaultGeometry!B:G,6,FALSE)</f>
        <v>356</v>
      </c>
      <c r="Q187">
        <f>VLOOKUP(B187,FaultGeometry!B:L,11,FALSE)</f>
        <v>13.02273112533811</v>
      </c>
      <c r="R187">
        <f>VLOOKUP(C187,Leonard2010!E:CE,79,FALSE)</f>
        <v>622</v>
      </c>
      <c r="S187">
        <f>VLOOKUP(R187,FaultGeometry!W:X,2,FALSE)</f>
        <v>20.740130788389592</v>
      </c>
      <c r="T187" t="str">
        <f>VLOOKUP(C187,Leonard2010!E:BA,44,FALSE)</f>
        <v>NA</v>
      </c>
      <c r="U187" t="str">
        <f>VLOOKUP(C187,Leonard2010!E:BA,45,FALSE)</f>
        <v>NA</v>
      </c>
      <c r="V187" t="str">
        <f>VLOOKUP(C187,Leonard2010!E:BB,46,FALSE)</f>
        <v>NA</v>
      </c>
      <c r="W187" t="str">
        <f>IF(T187="NA","NA",VLOOKUP(C187,Leonard2010!E:BD,51,FALSE)/E187)</f>
        <v>NA</v>
      </c>
      <c r="X187" t="str">
        <f>IF(U187="NA","NA",VLOOKUP(C187,Leonard2010!E:BE,52,FALSE)/E187)</f>
        <v>NA</v>
      </c>
      <c r="Y187" t="str">
        <f>IF(V187="NA","NA",VLOOKUP(C187,Leonard2010!E:BF,53,FALSE)/E187)</f>
        <v>NA</v>
      </c>
      <c r="Z187">
        <f t="shared" si="17"/>
        <v>0</v>
      </c>
      <c r="AA187" t="str">
        <f>IF(X187="NA","NA",VLOOKUP(E187,Leonard2010!G:BH,53,FALSE)/G187)</f>
        <v>NA</v>
      </c>
      <c r="AB187" t="str">
        <f>IF(Y187="NA","NA",VLOOKUP(F187,Leonard2010!H:BI,53,FALSE)/H187)</f>
        <v>NA</v>
      </c>
      <c r="AC187">
        <f t="shared" si="15"/>
        <v>2.0512843057757242</v>
      </c>
    </row>
    <row r="188" spans="1:29" x14ac:dyDescent="0.2">
      <c r="A188">
        <f>VLOOKUP(C188,Leonard2010!E:CD,78,FALSE)</f>
        <v>187</v>
      </c>
      <c r="B188" s="29" t="s">
        <v>512</v>
      </c>
      <c r="C188" s="29" t="s">
        <v>516</v>
      </c>
      <c r="D188" s="29" t="s">
        <v>528</v>
      </c>
      <c r="E188">
        <v>0.5</v>
      </c>
      <c r="F188">
        <v>-9.8309999999999995</v>
      </c>
      <c r="G188">
        <v>33.819000000000003</v>
      </c>
      <c r="H188">
        <v>5.7</v>
      </c>
      <c r="I188">
        <v>356</v>
      </c>
      <c r="J188">
        <v>60</v>
      </c>
      <c r="K188" t="str">
        <f>VLOOKUP(C188,Leonard2010!E:P,12,FALSE)</f>
        <v>E</v>
      </c>
      <c r="L188">
        <f>VLOOKUP(C188,Leonard2010!E:Q,13,FALSE)</f>
        <v>0</v>
      </c>
      <c r="M188">
        <f>VLOOKUP(C188,Leonard2010!E:R,14,FALSE)</f>
        <v>0</v>
      </c>
      <c r="N188">
        <f t="shared" si="13"/>
        <v>5.5841184138974658</v>
      </c>
      <c r="O188">
        <f>VLOOKUP(B188,Leonard2010!D:CC,78,FALSE)</f>
        <v>405</v>
      </c>
      <c r="P188">
        <f>VLOOKUP(B188,FaultGeometry!B:G,6,FALSE)</f>
        <v>356</v>
      </c>
      <c r="Q188">
        <f>VLOOKUP(B188,FaultGeometry!B:L,11,FALSE)</f>
        <v>13.02273112533811</v>
      </c>
      <c r="R188">
        <f>VLOOKUP(C188,Leonard2010!E:CE,79,FALSE)</f>
        <v>622</v>
      </c>
      <c r="S188">
        <f>VLOOKUP(R188,FaultGeometry!W:X,2,FALSE)</f>
        <v>20.740130788389592</v>
      </c>
      <c r="T188">
        <f>VLOOKUP(C188,Leonard2010!E:BA,44,FALSE)</f>
        <v>5.075376138124156</v>
      </c>
      <c r="U188">
        <f>VLOOKUP(C188,Leonard2010!E:BA,45,FALSE)</f>
        <v>5.5083611658035778</v>
      </c>
      <c r="V188">
        <f>VLOOKUP(C188,Leonard2010!E:BB,46,FALSE)</f>
        <v>5.9961948920765309</v>
      </c>
      <c r="W188">
        <v>200.68098284998499</v>
      </c>
      <c r="X188">
        <v>722.73750888213203</v>
      </c>
      <c r="Y188">
        <v>2602.8849337239972</v>
      </c>
      <c r="Z188">
        <f t="shared" si="17"/>
        <v>142079414445602.09</v>
      </c>
      <c r="AA188">
        <v>0.2848501713692696</v>
      </c>
      <c r="AB188">
        <v>0.26799490094898848</v>
      </c>
      <c r="AC188">
        <f t="shared" si="15"/>
        <v>31.829474959215556</v>
      </c>
    </row>
    <row r="189" spans="1:29" x14ac:dyDescent="0.2">
      <c r="A189">
        <f>VLOOKUP(C189,Leonard2010!E:CD,78,FALSE)</f>
        <v>188</v>
      </c>
      <c r="B189" s="29" t="s">
        <v>512</v>
      </c>
      <c r="C189" s="29" t="s">
        <v>517</v>
      </c>
      <c r="D189" s="29" t="s">
        <v>528</v>
      </c>
      <c r="E189">
        <v>0.5</v>
      </c>
      <c r="F189">
        <v>-9.7799999999999994</v>
      </c>
      <c r="G189">
        <v>33.814999999999998</v>
      </c>
      <c r="H189">
        <v>0.6</v>
      </c>
      <c r="I189">
        <v>58</v>
      </c>
      <c r="J189">
        <v>60</v>
      </c>
      <c r="K189" t="str">
        <f>VLOOKUP(C189,Leonard2010!E:P,12,FALSE)</f>
        <v>E</v>
      </c>
      <c r="L189">
        <f>VLOOKUP(C189,Leonard2010!E:Q,13,FALSE)</f>
        <v>0</v>
      </c>
      <c r="M189">
        <f>VLOOKUP(C189,Leonard2010!E:R,14,FALSE)</f>
        <v>0</v>
      </c>
      <c r="N189">
        <f t="shared" si="13"/>
        <v>1.2449126565715218</v>
      </c>
      <c r="O189">
        <f>VLOOKUP(B189,Leonard2010!D:CC,78,FALSE)</f>
        <v>405</v>
      </c>
      <c r="P189">
        <f>VLOOKUP(B189,FaultGeometry!B:G,6,FALSE)</f>
        <v>356</v>
      </c>
      <c r="Q189">
        <f>VLOOKUP(B189,FaultGeometry!B:L,11,FALSE)</f>
        <v>13.02273112533811</v>
      </c>
      <c r="R189">
        <f>VLOOKUP(C189,Leonard2010!E:CE,79,FALSE)</f>
        <v>622</v>
      </c>
      <c r="S189">
        <f>VLOOKUP(R189,FaultGeometry!W:X,2,FALSE)</f>
        <v>20.740130788389592</v>
      </c>
      <c r="T189" t="str">
        <f>VLOOKUP(C189,Leonard2010!E:BA,44,FALSE)</f>
        <v>NA</v>
      </c>
      <c r="U189" t="str">
        <f>VLOOKUP(C189,Leonard2010!E:BA,45,FALSE)</f>
        <v>NA</v>
      </c>
      <c r="V189" t="str">
        <f>VLOOKUP(C189,Leonard2010!E:BB,46,FALSE)</f>
        <v>NA</v>
      </c>
      <c r="W189" t="str">
        <f>IF(T189="NA","NA",VLOOKUP(C189,Leonard2010!E:BD,51,FALSE)/E189)</f>
        <v>NA</v>
      </c>
      <c r="X189" t="str">
        <f>IF(U189="NA","NA",VLOOKUP(C189,Leonard2010!E:BE,52,FALSE)/E189)</f>
        <v>NA</v>
      </c>
      <c r="Y189" t="str">
        <f>IF(V189="NA","NA",VLOOKUP(C189,Leonard2010!E:BF,53,FALSE)/E189)</f>
        <v>NA</v>
      </c>
      <c r="Z189">
        <f t="shared" si="17"/>
        <v>0</v>
      </c>
      <c r="AA189" t="str">
        <f>IF(X189="NA","NA",VLOOKUP(E189,Leonard2010!G:BH,53,FALSE)/G189)</f>
        <v>NA</v>
      </c>
      <c r="AB189" t="str">
        <f>IF(Y189="NA","NA",VLOOKUP(F189,Leonard2010!H:BI,53,FALSE)/H189)</f>
        <v>NA</v>
      </c>
      <c r="AC189">
        <f t="shared" si="15"/>
        <v>0.7469475939429131</v>
      </c>
    </row>
    <row r="190" spans="1:29" x14ac:dyDescent="0.2">
      <c r="A190">
        <f>VLOOKUP(C190,Leonard2010!E:CD,78,FALSE)</f>
        <v>189</v>
      </c>
      <c r="B190" s="29" t="s">
        <v>512</v>
      </c>
      <c r="C190" s="29" t="s">
        <v>518</v>
      </c>
      <c r="D190" s="29" t="s">
        <v>528</v>
      </c>
      <c r="E190">
        <v>0.5</v>
      </c>
      <c r="F190">
        <v>-9.7769999999999992</v>
      </c>
      <c r="G190">
        <v>33.819000000000003</v>
      </c>
      <c r="H190">
        <v>6.5</v>
      </c>
      <c r="I190">
        <v>9</v>
      </c>
      <c r="J190">
        <v>60</v>
      </c>
      <c r="K190" t="str">
        <f>VLOOKUP(C190,Leonard2010!E:P,12,FALSE)</f>
        <v>E</v>
      </c>
      <c r="L190">
        <f>VLOOKUP(C190,Leonard2010!E:Q,13,FALSE)</f>
        <v>0</v>
      </c>
      <c r="M190">
        <f>VLOOKUP(C190,Leonard2010!E:R,14,FALSE)</f>
        <v>0</v>
      </c>
      <c r="N190">
        <f t="shared" si="13"/>
        <v>6.0950922968972865</v>
      </c>
      <c r="O190">
        <f>VLOOKUP(B190,Leonard2010!D:CC,78,FALSE)</f>
        <v>405</v>
      </c>
      <c r="P190">
        <f>VLOOKUP(B190,FaultGeometry!B:G,6,FALSE)</f>
        <v>356</v>
      </c>
      <c r="Q190">
        <f>VLOOKUP(B190,FaultGeometry!B:L,11,FALSE)</f>
        <v>13.02273112533811</v>
      </c>
      <c r="R190">
        <f>VLOOKUP(C190,Leonard2010!E:CE,79,FALSE)</f>
        <v>622</v>
      </c>
      <c r="S190">
        <f>VLOOKUP(R190,FaultGeometry!W:X,2,FALSE)</f>
        <v>20.740130788389592</v>
      </c>
      <c r="T190">
        <f>VLOOKUP(C190,Leonard2010!E:BA,44,FALSE)</f>
        <v>5.1704403064080964</v>
      </c>
      <c r="U190">
        <f>VLOOKUP(C190,Leonard2010!E:BA,45,FALSE)</f>
        <v>5.6034253340875182</v>
      </c>
      <c r="V190">
        <f>VLOOKUP(C190,Leonard2010!E:BB,46,FALSE)</f>
        <v>6.0912590603604713</v>
      </c>
      <c r="W190">
        <v>233.27889573608235</v>
      </c>
      <c r="X190">
        <v>855.99635071671059</v>
      </c>
      <c r="Y190">
        <v>3141.0031761694036</v>
      </c>
      <c r="Z190">
        <f t="shared" si="17"/>
        <v>166585076371607</v>
      </c>
      <c r="AA190">
        <v>0.27119927020013568</v>
      </c>
      <c r="AB190">
        <v>0.2570094474492009</v>
      </c>
      <c r="AC190">
        <f t="shared" si="15"/>
        <v>39.618099929832361</v>
      </c>
    </row>
    <row r="191" spans="1:29" x14ac:dyDescent="0.2">
      <c r="A191">
        <f>VLOOKUP(C191,Leonard2010!E:CD,78,FALSE)</f>
        <v>190</v>
      </c>
      <c r="B191" s="29" t="s">
        <v>8</v>
      </c>
      <c r="C191" s="29" t="s">
        <v>64</v>
      </c>
      <c r="D191" s="29" t="s">
        <v>42</v>
      </c>
      <c r="E191">
        <v>1</v>
      </c>
      <c r="F191">
        <v>-9.2569999999999997</v>
      </c>
      <c r="G191">
        <v>33.893000000000001</v>
      </c>
      <c r="H191">
        <v>114.5</v>
      </c>
      <c r="I191">
        <v>142</v>
      </c>
      <c r="J191">
        <v>65</v>
      </c>
      <c r="K191" t="str">
        <f>VLOOKUP(C191,Leonard2010!E:P,12,FALSE)</f>
        <v>W</v>
      </c>
      <c r="L191">
        <f>VLOOKUP(C191,Leonard2010!E:Q,13,FALSE)</f>
        <v>0</v>
      </c>
      <c r="M191">
        <f>VLOOKUP(C191,Leonard2010!E:R,14,FALSE)</f>
        <v>0</v>
      </c>
      <c r="N191">
        <f t="shared" si="13"/>
        <v>38.618227163687216</v>
      </c>
      <c r="O191">
        <f>VLOOKUP(B191,Leonard2010!D:CC,78,FALSE)</f>
        <v>406</v>
      </c>
      <c r="P191">
        <f>VLOOKUP(B191,FaultGeometry!B:G,6,FALSE)</f>
        <v>151</v>
      </c>
      <c r="Q191">
        <f>VLOOKUP(B191,FaultGeometry!B:L,11,FALSE)</f>
        <v>38.618227163687216</v>
      </c>
      <c r="R191">
        <f>VLOOKUP(C191,Leonard2010!E:CE,79,FALSE)</f>
        <v>0</v>
      </c>
      <c r="S191" t="str">
        <f>VLOOKUP(R191,FaultGeometry!W:X,2,FALSE)</f>
        <v>NA</v>
      </c>
      <c r="T191">
        <f>VLOOKUP(C191,Leonard2010!E:BA,44,FALSE)</f>
        <v>7.2469271897965157</v>
      </c>
      <c r="U191">
        <f>VLOOKUP(C191,Leonard2010!E:BA,45,FALSE)</f>
        <v>7.6799122174759376</v>
      </c>
      <c r="V191">
        <f>VLOOKUP(C191,Leonard2010!E:BB,46,FALSE)</f>
        <v>8.1677459437488906</v>
      </c>
      <c r="W191">
        <v>490.9520694873309</v>
      </c>
      <c r="X191">
        <v>1321.3965785193077</v>
      </c>
      <c r="Y191">
        <v>3556.5364243109466</v>
      </c>
      <c r="Z191">
        <f t="shared" si="17"/>
        <v>2.8108336770937104E+17</v>
      </c>
      <c r="AA191">
        <v>1.9138923795341301</v>
      </c>
      <c r="AB191">
        <v>0.83108094061070981</v>
      </c>
      <c r="AC191">
        <f t="shared" si="15"/>
        <v>4421.7870102421866</v>
      </c>
    </row>
    <row r="192" spans="1:29" x14ac:dyDescent="0.2">
      <c r="A192">
        <f>VLOOKUP(C192,Leonard2010!E:CD,78,FALSE)</f>
        <v>191</v>
      </c>
      <c r="B192" s="29" t="s">
        <v>8</v>
      </c>
      <c r="C192" s="29" t="s">
        <v>279</v>
      </c>
      <c r="D192" s="29" t="s">
        <v>42</v>
      </c>
      <c r="E192">
        <v>1</v>
      </c>
      <c r="F192">
        <v>-10.069000000000001</v>
      </c>
      <c r="G192">
        <v>34.54</v>
      </c>
      <c r="H192">
        <v>6.3</v>
      </c>
      <c r="I192">
        <v>202</v>
      </c>
      <c r="J192">
        <v>65</v>
      </c>
      <c r="K192" t="str">
        <f>VLOOKUP(C192,Leonard2010!E:P,12,FALSE)</f>
        <v>W</v>
      </c>
      <c r="L192">
        <f>VLOOKUP(C192,Leonard2010!E:Q,13,FALSE)</f>
        <v>0</v>
      </c>
      <c r="M192">
        <f>VLOOKUP(C192,Leonard2010!E:R,14,FALSE)</f>
        <v>0</v>
      </c>
      <c r="N192">
        <f t="shared" si="13"/>
        <v>5.9694146669881176</v>
      </c>
      <c r="O192">
        <f>VLOOKUP(B192,Leonard2010!D:CC,78,FALSE)</f>
        <v>406</v>
      </c>
      <c r="P192">
        <f>VLOOKUP(B192,FaultGeometry!B:G,6,FALSE)</f>
        <v>151</v>
      </c>
      <c r="Q192">
        <f>VLOOKUP(B192,FaultGeometry!B:L,11,FALSE)</f>
        <v>38.618227163687216</v>
      </c>
      <c r="R192">
        <f>VLOOKUP(C192,Leonard2010!E:CE,79,FALSE)</f>
        <v>0</v>
      </c>
      <c r="S192" t="str">
        <f>VLOOKUP(R192,FaultGeometry!W:X,2,FALSE)</f>
        <v>NA</v>
      </c>
      <c r="T192" t="str">
        <f>VLOOKUP(C192,Leonard2010!E:BA,44,FALSE)</f>
        <v>NA</v>
      </c>
      <c r="U192" t="str">
        <f>VLOOKUP(C192,Leonard2010!E:BA,45,FALSE)</f>
        <v>NA</v>
      </c>
      <c r="V192" t="str">
        <f>VLOOKUP(C192,Leonard2010!E:BB,46,FALSE)</f>
        <v>NA</v>
      </c>
      <c r="W192" t="str">
        <f>IF(T192="NA","NA",VLOOKUP(C192,Leonard2010!E:BD,51,FALSE)/E192)</f>
        <v>NA</v>
      </c>
      <c r="X192" t="str">
        <f>IF(U192="NA","NA",VLOOKUP(C192,Leonard2010!E:BE,52,FALSE)/E192)</f>
        <v>NA</v>
      </c>
      <c r="Y192" t="str">
        <f>IF(V192="NA","NA",VLOOKUP(C192,Leonard2010!E:BF,53,FALSE)/E192)</f>
        <v>NA</v>
      </c>
      <c r="Z192">
        <f t="shared" si="17"/>
        <v>0</v>
      </c>
      <c r="AA192" t="str">
        <f>IF(X192="NA","NA",VLOOKUP(E192,Leonard2010!G:BH,53,FALSE)/G192)</f>
        <v>NA</v>
      </c>
      <c r="AB192" t="str">
        <f>IF(Y192="NA","NA",VLOOKUP(F192,Leonard2010!H:BI,53,FALSE)/H192)</f>
        <v>NA</v>
      </c>
      <c r="AC192">
        <f t="shared" si="15"/>
        <v>37.607312402025137</v>
      </c>
    </row>
    <row r="193" spans="1:29" x14ac:dyDescent="0.2">
      <c r="A193">
        <f>VLOOKUP(C193,Leonard2010!E:CD,78,FALSE)</f>
        <v>192</v>
      </c>
      <c r="B193" s="29" t="s">
        <v>8</v>
      </c>
      <c r="C193" s="29" t="s">
        <v>65</v>
      </c>
      <c r="D193" s="29" t="s">
        <v>42</v>
      </c>
      <c r="E193">
        <v>1</v>
      </c>
      <c r="F193">
        <v>-10.122</v>
      </c>
      <c r="G193">
        <v>34.520000000000003</v>
      </c>
      <c r="H193">
        <v>34.200000000000003</v>
      </c>
      <c r="I193">
        <v>174</v>
      </c>
      <c r="J193">
        <v>65</v>
      </c>
      <c r="K193" t="str">
        <f>VLOOKUP(C193,Leonard2010!E:P,12,FALSE)</f>
        <v>W</v>
      </c>
      <c r="L193">
        <f>VLOOKUP(C193,Leonard2010!E:Q,13,FALSE)</f>
        <v>0</v>
      </c>
      <c r="M193">
        <f>VLOOKUP(C193,Leonard2010!E:R,14,FALSE)</f>
        <v>0</v>
      </c>
      <c r="N193">
        <f t="shared" si="13"/>
        <v>18.438352751902279</v>
      </c>
      <c r="O193">
        <f>VLOOKUP(B193,Leonard2010!D:CC,78,FALSE)</f>
        <v>406</v>
      </c>
      <c r="P193">
        <f>VLOOKUP(B193,FaultGeometry!B:G,6,FALSE)</f>
        <v>151</v>
      </c>
      <c r="Q193">
        <f>VLOOKUP(B193,FaultGeometry!B:L,11,FALSE)</f>
        <v>38.618227163687216</v>
      </c>
      <c r="R193">
        <f>VLOOKUP(C193,Leonard2010!E:CE,79,FALSE)</f>
        <v>0</v>
      </c>
      <c r="S193" t="str">
        <f>VLOOKUP(R193,FaultGeometry!W:X,2,FALSE)</f>
        <v>NA</v>
      </c>
      <c r="T193">
        <f>VLOOKUP(C193,Leonard2010!E:BA,44,FALSE)</f>
        <v>6.3722948887635624</v>
      </c>
      <c r="U193">
        <f>VLOOKUP(C193,Leonard2010!E:BA,45,FALSE)</f>
        <v>6.8052799164429842</v>
      </c>
      <c r="V193">
        <f>VLOOKUP(C193,Leonard2010!E:BB,46,FALSE)</f>
        <v>7.2931136427159373</v>
      </c>
      <c r="W193">
        <v>162.42191589614259</v>
      </c>
      <c r="X193">
        <v>439.06735834875929</v>
      </c>
      <c r="Y193">
        <v>1186.9096858248315</v>
      </c>
      <c r="Z193">
        <f t="shared" si="17"/>
        <v>4.1246653960695424E+16</v>
      </c>
      <c r="AA193">
        <v>2.0779945734861598</v>
      </c>
      <c r="AB193">
        <v>0.8586373765951818</v>
      </c>
      <c r="AC193">
        <f t="shared" si="15"/>
        <v>630.59166411505805</v>
      </c>
    </row>
    <row r="194" spans="1:29" x14ac:dyDescent="0.2">
      <c r="A194">
        <f>VLOOKUP(C194,Leonard2010!E:CD,78,FALSE)</f>
        <v>193</v>
      </c>
      <c r="B194" s="29" t="s">
        <v>5</v>
      </c>
      <c r="C194" s="29" t="s">
        <v>66</v>
      </c>
      <c r="D194" s="29" t="s">
        <v>42</v>
      </c>
      <c r="E194">
        <v>1</v>
      </c>
      <c r="F194">
        <v>-9.9260000000000002</v>
      </c>
      <c r="G194">
        <v>33.92</v>
      </c>
      <c r="H194">
        <v>14.2</v>
      </c>
      <c r="I194">
        <v>152</v>
      </c>
      <c r="J194">
        <v>45</v>
      </c>
      <c r="K194" t="str">
        <f>VLOOKUP(C194,Leonard2010!E:P,12,FALSE)</f>
        <v>W</v>
      </c>
      <c r="L194">
        <f>VLOOKUP(C194,Leonard2010!E:Q,13,FALSE)</f>
        <v>0</v>
      </c>
      <c r="M194">
        <f>VLOOKUP(C194,Leonard2010!E:R,14,FALSE)</f>
        <v>0</v>
      </c>
      <c r="N194">
        <f t="shared" si="13"/>
        <v>10.261959073383167</v>
      </c>
      <c r="O194">
        <f>VLOOKUP(B194,Leonard2010!D:CC,78,FALSE)</f>
        <v>407</v>
      </c>
      <c r="P194">
        <f>VLOOKUP(B194,FaultGeometry!B:G,6,FALSE)</f>
        <v>157</v>
      </c>
      <c r="Q194">
        <f>VLOOKUP(B194,FaultGeometry!B:L,11,FALSE)</f>
        <v>20.468124167490053</v>
      </c>
      <c r="R194">
        <f>VLOOKUP(C194,Leonard2010!E:CE,79,FALSE)</f>
        <v>0</v>
      </c>
      <c r="S194" t="str">
        <f>VLOOKUP(R194,FaultGeometry!W:X,2,FALSE)</f>
        <v>NA</v>
      </c>
      <c r="T194">
        <f>VLOOKUP(C194,Leonard2010!E:BA,44,FALSE)</f>
        <v>5.7360652859750987</v>
      </c>
      <c r="U194">
        <f>VLOOKUP(C194,Leonard2010!E:BA,45,FALSE)</f>
        <v>6.1690503136545205</v>
      </c>
      <c r="V194">
        <f>VLOOKUP(C194,Leonard2010!E:BB,46,FALSE)</f>
        <v>6.6568840399274736</v>
      </c>
      <c r="W194">
        <v>601.09780273990486</v>
      </c>
      <c r="X194">
        <v>2188.2160377979608</v>
      </c>
      <c r="Y194">
        <v>7965.9073885320786</v>
      </c>
      <c r="Z194">
        <f t="shared" si="17"/>
        <v>919359300246036.38</v>
      </c>
      <c r="AA194">
        <v>0.20272508592755384</v>
      </c>
      <c r="AB194">
        <v>0.18958801608933293</v>
      </c>
      <c r="AC194">
        <f t="shared" si="15"/>
        <v>145.71981884204098</v>
      </c>
    </row>
    <row r="195" spans="1:29" x14ac:dyDescent="0.2">
      <c r="A195">
        <f>VLOOKUP(C195,Leonard2010!E:CD,78,FALSE)</f>
        <v>194</v>
      </c>
      <c r="B195" s="29" t="s">
        <v>5</v>
      </c>
      <c r="C195" s="29" t="s">
        <v>67</v>
      </c>
      <c r="D195" s="29" t="s">
        <v>42</v>
      </c>
      <c r="E195">
        <v>1</v>
      </c>
      <c r="F195">
        <v>-9.8859999999999992</v>
      </c>
      <c r="G195">
        <v>33.902000000000001</v>
      </c>
      <c r="H195">
        <v>4.8</v>
      </c>
      <c r="I195">
        <v>156</v>
      </c>
      <c r="J195">
        <v>45</v>
      </c>
      <c r="K195" t="str">
        <f>VLOOKUP(C195,Leonard2010!E:P,12,FALSE)</f>
        <v>W</v>
      </c>
      <c r="L195">
        <f>VLOOKUP(C195,Leonard2010!E:Q,13,FALSE)</f>
        <v>0</v>
      </c>
      <c r="M195">
        <f>VLOOKUP(C195,Leonard2010!E:R,14,FALSE)</f>
        <v>0</v>
      </c>
      <c r="N195">
        <f t="shared" si="13"/>
        <v>4.9796506262860882</v>
      </c>
      <c r="O195">
        <f>VLOOKUP(B195,Leonard2010!D:CC,78,FALSE)</f>
        <v>407</v>
      </c>
      <c r="P195">
        <f>VLOOKUP(B195,FaultGeometry!B:G,6,FALSE)</f>
        <v>157</v>
      </c>
      <c r="Q195">
        <f>VLOOKUP(B195,FaultGeometry!B:L,11,FALSE)</f>
        <v>20.468124167490053</v>
      </c>
      <c r="R195">
        <f>VLOOKUP(C195,Leonard2010!E:CE,79,FALSE)</f>
        <v>0</v>
      </c>
      <c r="S195" t="str">
        <f>VLOOKUP(R195,FaultGeometry!W:X,2,FALSE)</f>
        <v>NA</v>
      </c>
      <c r="T195">
        <f>VLOOKUP(C195,Leonard2010!E:BA,44,FALSE)</f>
        <v>4.9509867742959814</v>
      </c>
      <c r="U195">
        <f>VLOOKUP(C195,Leonard2010!E:BA,45,FALSE)</f>
        <v>5.3839718019754033</v>
      </c>
      <c r="V195">
        <f>VLOOKUP(C195,Leonard2010!E:BB,46,FALSE)</f>
        <v>5.8718055282483563</v>
      </c>
      <c r="W195">
        <v>253.63002385202532</v>
      </c>
      <c r="X195">
        <v>895.78094702947749</v>
      </c>
      <c r="Y195">
        <v>3163.7559815441382</v>
      </c>
      <c r="Z195">
        <f t="shared" si="17"/>
        <v>149195554214754.53</v>
      </c>
      <c r="AA195">
        <v>0.20279719338323726</v>
      </c>
      <c r="AB195">
        <v>0.1895951750331212</v>
      </c>
      <c r="AC195">
        <f t="shared" ref="AC195:AC208" si="30">N195*H195</f>
        <v>23.902323006173223</v>
      </c>
    </row>
    <row r="196" spans="1:29" x14ac:dyDescent="0.2">
      <c r="A196">
        <f>VLOOKUP(C196,Leonard2010!E:CD,78,FALSE)</f>
        <v>195</v>
      </c>
      <c r="B196" s="29" t="s">
        <v>5</v>
      </c>
      <c r="C196" s="29" t="s">
        <v>68</v>
      </c>
      <c r="D196" s="29" t="s">
        <v>42</v>
      </c>
      <c r="E196">
        <v>1</v>
      </c>
      <c r="F196">
        <v>-9.7070000000000007</v>
      </c>
      <c r="G196">
        <v>33.838000000000001</v>
      </c>
      <c r="H196">
        <v>21</v>
      </c>
      <c r="I196">
        <v>161</v>
      </c>
      <c r="J196">
        <v>45</v>
      </c>
      <c r="K196" t="str">
        <f>VLOOKUP(C196,Leonard2010!E:P,12,FALSE)</f>
        <v>W</v>
      </c>
      <c r="L196">
        <f>VLOOKUP(C196,Leonard2010!E:Q,13,FALSE)</f>
        <v>0</v>
      </c>
      <c r="M196">
        <f>VLOOKUP(C196,Leonard2010!E:R,14,FALSE)</f>
        <v>0</v>
      </c>
      <c r="N196">
        <f t="shared" si="13"/>
        <v>13.320409569285422</v>
      </c>
      <c r="O196">
        <f>VLOOKUP(B196,Leonard2010!D:CC,78,FALSE)</f>
        <v>407</v>
      </c>
      <c r="P196">
        <f>VLOOKUP(B196,FaultGeometry!B:G,6,FALSE)</f>
        <v>157</v>
      </c>
      <c r="Q196">
        <f>VLOOKUP(B196,FaultGeometry!B:L,11,FALSE)</f>
        <v>20.468124167490053</v>
      </c>
      <c r="R196">
        <f>VLOOKUP(C196,Leonard2010!E:CE,79,FALSE)</f>
        <v>0</v>
      </c>
      <c r="S196" t="str">
        <f>VLOOKUP(R196,FaultGeometry!W:X,2,FALSE)</f>
        <v>NA</v>
      </c>
      <c r="T196">
        <f>VLOOKUP(C196,Leonard2010!E:BA,44,FALSE)</f>
        <v>6.0192835365598709</v>
      </c>
      <c r="U196">
        <f>VLOOKUP(C196,Leonard2010!E:BA,45,FALSE)</f>
        <v>6.4522685642392927</v>
      </c>
      <c r="V196">
        <f>VLOOKUP(C196,Leonard2010!E:BB,46,FALSE)</f>
        <v>6.9401022905122458</v>
      </c>
      <c r="W196">
        <v>817.2699810639067</v>
      </c>
      <c r="X196">
        <v>2980.03470715295</v>
      </c>
      <c r="Y196">
        <v>10866.185057079376</v>
      </c>
      <c r="Z196">
        <f t="shared" si="17"/>
        <v>1795483937333885.2</v>
      </c>
      <c r="AA196">
        <v>0.20766474024653017</v>
      </c>
      <c r="AB196">
        <v>0.19264028957024917</v>
      </c>
      <c r="AC196">
        <f t="shared" si="30"/>
        <v>279.72860095499385</v>
      </c>
    </row>
    <row r="197" spans="1:29" x14ac:dyDescent="0.2">
      <c r="A197">
        <f>VLOOKUP(C197,Leonard2010!E:CD,78,FALSE)</f>
        <v>196</v>
      </c>
      <c r="B197" s="29" t="s">
        <v>332</v>
      </c>
      <c r="C197" s="65" t="s">
        <v>335</v>
      </c>
      <c r="D197" s="65" t="s">
        <v>294</v>
      </c>
      <c r="E197">
        <v>0.5</v>
      </c>
      <c r="F197">
        <v>-9.9979999999999993</v>
      </c>
      <c r="G197">
        <v>34.244999999999997</v>
      </c>
      <c r="H197">
        <v>8.8000000000000007</v>
      </c>
      <c r="I197">
        <v>139</v>
      </c>
      <c r="J197">
        <v>53</v>
      </c>
      <c r="K197" t="str">
        <f>VLOOKUP(C197,Leonard2010!E:P,12,FALSE)</f>
        <v>W</v>
      </c>
      <c r="L197">
        <f>VLOOKUP(C197,Leonard2010!E:Q,13,FALSE)</f>
        <v>2</v>
      </c>
      <c r="M197">
        <f>VLOOKUP(C197,Leonard2010!E:R,14,FALSE)</f>
        <v>0.5</v>
      </c>
      <c r="N197">
        <f t="shared" ref="N197:N208" si="31">MIN((((H197*1000)^(2/3)*17.5)/1000),((35-M197)/SIN(RADIANS(J197))))</f>
        <v>7.4592156573662773</v>
      </c>
      <c r="O197">
        <f>VLOOKUP(B197,Leonard2010!D:CC,78,FALSE)</f>
        <v>411</v>
      </c>
      <c r="P197">
        <f>VLOOKUP(B197,FaultGeometry!B:G,6,FALSE)</f>
        <v>166</v>
      </c>
      <c r="Q197">
        <f>VLOOKUP(B197,FaultGeometry!B:L,11,FALSE)</f>
        <v>22.17289548715268</v>
      </c>
      <c r="R197">
        <f>VLOOKUP(C197,Leonard2010!E:CE,79,FALSE)</f>
        <v>624</v>
      </c>
      <c r="S197">
        <f>VLOOKUP(R197,FaultGeometry!W:X,2,FALSE)</f>
        <v>36.153341503991051</v>
      </c>
      <c r="T197">
        <f>VLOOKUP(C197,Leonard2010!E:BA,44,FALSE)</f>
        <v>5.3897224989202854</v>
      </c>
      <c r="U197">
        <f>VLOOKUP(C197,Leonard2010!E:BA,45,FALSE)</f>
        <v>5.8227075265997073</v>
      </c>
      <c r="V197">
        <f>VLOOKUP(C197,Leonard2010!E:BB,46,FALSE)</f>
        <v>6.3105412528726603</v>
      </c>
      <c r="W197">
        <v>85.548398341470829</v>
      </c>
      <c r="X197">
        <v>668.96916909018728</v>
      </c>
      <c r="Y197">
        <v>5231.1879341903923</v>
      </c>
      <c r="Z197">
        <f t="shared" si="17"/>
        <v>454595561811400</v>
      </c>
      <c r="AA197">
        <v>0.4465290884616453</v>
      </c>
      <c r="AB197">
        <v>0.24733615498769773</v>
      </c>
      <c r="AC197">
        <f t="shared" si="30"/>
        <v>65.641097784823245</v>
      </c>
    </row>
    <row r="198" spans="1:29" x14ac:dyDescent="0.2">
      <c r="A198">
        <f>VLOOKUP(C198,Leonard2010!E:CD,78,FALSE)</f>
        <v>197</v>
      </c>
      <c r="B198" s="29" t="s">
        <v>332</v>
      </c>
      <c r="C198" s="65" t="s">
        <v>336</v>
      </c>
      <c r="D198" s="65" t="s">
        <v>294</v>
      </c>
      <c r="E198">
        <v>0.5</v>
      </c>
      <c r="F198">
        <v>-10.058</v>
      </c>
      <c r="G198">
        <v>34.296999999999997</v>
      </c>
      <c r="H198">
        <v>36.299999999999997</v>
      </c>
      <c r="I198">
        <v>172</v>
      </c>
      <c r="J198">
        <v>53</v>
      </c>
      <c r="K198" t="str">
        <f>VLOOKUP(C198,Leonard2010!E:P,12,FALSE)</f>
        <v>W</v>
      </c>
      <c r="L198">
        <f>VLOOKUP(C198,Leonard2010!E:Q,13,FALSE)</f>
        <v>2</v>
      </c>
      <c r="M198">
        <f>VLOOKUP(C198,Leonard2010!E:R,14,FALSE)</f>
        <v>0.5</v>
      </c>
      <c r="N198">
        <f t="shared" si="31"/>
        <v>19.18561824819248</v>
      </c>
      <c r="O198">
        <f>VLOOKUP(B198,Leonard2010!D:CC,78,FALSE)</f>
        <v>411</v>
      </c>
      <c r="P198">
        <f>VLOOKUP(B198,FaultGeometry!B:G,6,FALSE)</f>
        <v>166</v>
      </c>
      <c r="Q198">
        <f>VLOOKUP(B198,FaultGeometry!B:L,11,FALSE)</f>
        <v>22.17289548715268</v>
      </c>
      <c r="R198">
        <f>VLOOKUP(C198,Leonard2010!E:CE,79,FALSE)</f>
        <v>624</v>
      </c>
      <c r="S198">
        <f>VLOOKUP(R198,FaultGeometry!W:X,2,FALSE)</f>
        <v>36.153341503991051</v>
      </c>
      <c r="T198">
        <f>VLOOKUP(C198,Leonard2010!E:BA,44,FALSE)</f>
        <v>6.4154290870635249</v>
      </c>
      <c r="U198">
        <f>VLOOKUP(C198,Leonard2010!E:BA,45,FALSE)</f>
        <v>6.8484141147429467</v>
      </c>
      <c r="V198">
        <f>VLOOKUP(C198,Leonard2010!E:BB,46,FALSE)</f>
        <v>7.3362478410158998</v>
      </c>
      <c r="W198">
        <v>291.55273437257898</v>
      </c>
      <c r="X198">
        <v>2154.2495299034545</v>
      </c>
      <c r="Y198">
        <v>15917.501329823675</v>
      </c>
      <c r="Z198">
        <f t="shared" si="17"/>
        <v>4878599529945953</v>
      </c>
      <c r="AA198">
        <v>0.4461129340337664</v>
      </c>
      <c r="AB198">
        <v>0.24739769010936183</v>
      </c>
      <c r="AC198">
        <f t="shared" si="30"/>
        <v>696.43794240938701</v>
      </c>
    </row>
    <row r="199" spans="1:29" x14ac:dyDescent="0.2">
      <c r="A199">
        <f>VLOOKUP(C199,Leonard2010!E:CD,78,FALSE)</f>
        <v>198</v>
      </c>
      <c r="B199" s="29" t="s">
        <v>333</v>
      </c>
      <c r="C199" s="65" t="s">
        <v>337</v>
      </c>
      <c r="D199" s="65" t="s">
        <v>478</v>
      </c>
      <c r="E199">
        <v>0.5</v>
      </c>
      <c r="F199">
        <v>-9.9979999999999993</v>
      </c>
      <c r="G199">
        <v>34.244999999999997</v>
      </c>
      <c r="H199">
        <v>8.8000000000000007</v>
      </c>
      <c r="I199">
        <v>139</v>
      </c>
      <c r="J199">
        <v>53</v>
      </c>
      <c r="K199" t="str">
        <f>VLOOKUP(C199,Leonard2010!E:P,12,FALSE)</f>
        <v>W</v>
      </c>
      <c r="L199">
        <f>VLOOKUP(C199,Leonard2010!E:Q,13,FALSE)</f>
        <v>2</v>
      </c>
      <c r="M199">
        <f>VLOOKUP(C199,Leonard2010!E:R,14,FALSE)</f>
        <v>0.5</v>
      </c>
      <c r="N199">
        <f t="shared" si="31"/>
        <v>7.4592156573662773</v>
      </c>
      <c r="O199">
        <f>VLOOKUP(B199,Leonard2010!D:CC,78,FALSE)</f>
        <v>413</v>
      </c>
      <c r="P199">
        <f>VLOOKUP(B199,FaultGeometry!B:G,6,FALSE)</f>
        <v>166</v>
      </c>
      <c r="Q199">
        <f>VLOOKUP(B199,FaultGeometry!B:L,11,FALSE)</f>
        <v>22.17289548715268</v>
      </c>
      <c r="R199">
        <f>VLOOKUP(C199,Leonard2010!E:CE,79,FALSE)</f>
        <v>625</v>
      </c>
      <c r="S199">
        <f>VLOOKUP(R199,FaultGeometry!W:X,2,FALSE)</f>
        <v>35.560541407839736</v>
      </c>
      <c r="T199">
        <f>VLOOKUP(C199,Leonard2010!E:BA,44,FALSE)</f>
        <v>5.3897224989202854</v>
      </c>
      <c r="U199">
        <f>VLOOKUP(C199,Leonard2010!E:BA,45,FALSE)</f>
        <v>5.8227075265997073</v>
      </c>
      <c r="V199">
        <f>VLOOKUP(C199,Leonard2010!E:BB,46,FALSE)</f>
        <v>6.3105412528726603</v>
      </c>
      <c r="W199">
        <v>90.105372724593039</v>
      </c>
      <c r="X199">
        <v>663.02007297470675</v>
      </c>
      <c r="Y199">
        <v>4878.6837440982454</v>
      </c>
      <c r="Z199">
        <f t="shared" si="17"/>
        <v>458674522315194.69</v>
      </c>
      <c r="AA199">
        <v>0.44706049493046884</v>
      </c>
      <c r="AB199">
        <v>0.24741912483429071</v>
      </c>
      <c r="AC199">
        <f t="shared" si="30"/>
        <v>65.641097784823245</v>
      </c>
    </row>
    <row r="200" spans="1:29" x14ac:dyDescent="0.2">
      <c r="A200">
        <f>VLOOKUP(C200,Leonard2010!E:CD,78,FALSE)</f>
        <v>199</v>
      </c>
      <c r="B200" s="29" t="s">
        <v>333</v>
      </c>
      <c r="C200" s="65" t="s">
        <v>338</v>
      </c>
      <c r="D200" s="65" t="s">
        <v>478</v>
      </c>
      <c r="E200">
        <v>0.5</v>
      </c>
      <c r="F200">
        <v>-10.058</v>
      </c>
      <c r="G200">
        <v>34.296999999999997</v>
      </c>
      <c r="H200">
        <v>36.299999999999997</v>
      </c>
      <c r="I200">
        <v>172</v>
      </c>
      <c r="J200">
        <v>53</v>
      </c>
      <c r="K200" t="str">
        <f>VLOOKUP(C200,Leonard2010!E:P,12,FALSE)</f>
        <v>W</v>
      </c>
      <c r="L200">
        <f>VLOOKUP(C200,Leonard2010!E:Q,13,FALSE)</f>
        <v>2</v>
      </c>
      <c r="M200">
        <f>VLOOKUP(C200,Leonard2010!E:R,14,FALSE)</f>
        <v>0.5</v>
      </c>
      <c r="N200">
        <f t="shared" si="31"/>
        <v>19.18561824819248</v>
      </c>
      <c r="O200">
        <f>VLOOKUP(B200,Leonard2010!D:CC,78,FALSE)</f>
        <v>413</v>
      </c>
      <c r="P200">
        <f>VLOOKUP(B200,FaultGeometry!B:G,6,FALSE)</f>
        <v>166</v>
      </c>
      <c r="Q200">
        <f>VLOOKUP(B200,FaultGeometry!B:L,11,FALSE)</f>
        <v>22.17289548715268</v>
      </c>
      <c r="R200">
        <f>VLOOKUP(C200,Leonard2010!E:CE,79,FALSE)</f>
        <v>625</v>
      </c>
      <c r="S200">
        <f>VLOOKUP(R200,FaultGeometry!W:X,2,FALSE)</f>
        <v>35.560541407839736</v>
      </c>
      <c r="T200">
        <f>VLOOKUP(C200,Leonard2010!E:BA,44,FALSE)</f>
        <v>6.4154290870635249</v>
      </c>
      <c r="U200">
        <f>VLOOKUP(C200,Leonard2010!E:BA,45,FALSE)</f>
        <v>6.8484141147429467</v>
      </c>
      <c r="V200">
        <f>VLOOKUP(C200,Leonard2010!E:BB,46,FALSE)</f>
        <v>7.3362478410158998</v>
      </c>
      <c r="W200">
        <v>295.15043640866531</v>
      </c>
      <c r="X200">
        <v>2195.0600115546122</v>
      </c>
      <c r="Y200">
        <v>16324.85627652853</v>
      </c>
      <c r="Z200">
        <f t="shared" si="17"/>
        <v>4787896772138800</v>
      </c>
      <c r="AA200">
        <v>0.44404718218945499</v>
      </c>
      <c r="AB200">
        <v>0.2486191756092673</v>
      </c>
      <c r="AC200">
        <f t="shared" si="30"/>
        <v>696.43794240938701</v>
      </c>
    </row>
    <row r="201" spans="1:29" x14ac:dyDescent="0.2">
      <c r="A201">
        <f>VLOOKUP(C201,Leonard2010!E:CD,78,FALSE)</f>
        <v>200</v>
      </c>
      <c r="B201" s="29" t="s">
        <v>295</v>
      </c>
      <c r="C201" s="65" t="s">
        <v>543</v>
      </c>
      <c r="D201" s="65" t="s">
        <v>478</v>
      </c>
      <c r="E201">
        <v>0.5</v>
      </c>
      <c r="F201">
        <v>-9.6839999999999993</v>
      </c>
      <c r="G201">
        <v>34.058</v>
      </c>
      <c r="H201">
        <v>25.8</v>
      </c>
      <c r="I201">
        <v>161</v>
      </c>
      <c r="J201">
        <v>53</v>
      </c>
      <c r="K201" t="str">
        <f>VLOOKUP(C201,Leonard2010!E:P,12,FALSE)</f>
        <v>W</v>
      </c>
      <c r="L201">
        <f>VLOOKUP(C201,Leonard2010!E:Q,13,FALSE)</f>
        <v>1.5</v>
      </c>
      <c r="M201">
        <f>VLOOKUP(C201,Leonard2010!E:R,14,FALSE)</f>
        <v>0.5</v>
      </c>
      <c r="N201">
        <f t="shared" ref="N201:N202" si="32">MIN((((H201*1000)^(2/3)*17.5)/1000),((35-M201)/SIN(RADIANS(J201))))</f>
        <v>15.279806436459104</v>
      </c>
      <c r="O201">
        <f>VLOOKUP(B201,Leonard2010!D:CC,78,FALSE)</f>
        <v>414</v>
      </c>
      <c r="P201">
        <f>VLOOKUP(B201,FaultGeometry!B:G,6,FALSE)</f>
        <v>151</v>
      </c>
      <c r="Q201">
        <f>VLOOKUP(B201,FaultGeometry!B:L,11,FALSE)</f>
        <v>22.629416229389616</v>
      </c>
      <c r="R201">
        <f>VLOOKUP(C201,Leonard2010!E:CE,79,FALSE)</f>
        <v>625</v>
      </c>
      <c r="S201">
        <f>VLOOKUP(R201,FaultGeometry!W:X,2,FALSE)</f>
        <v>35.560541407839736</v>
      </c>
      <c r="T201">
        <f>VLOOKUP(C201,Leonard2010!E:BA,44,FALSE)</f>
        <v>6.1682842219420548</v>
      </c>
      <c r="U201">
        <f>VLOOKUP(C201,Leonard2010!E:BA,45,FALSE)</f>
        <v>6.6012692496214767</v>
      </c>
      <c r="V201">
        <f>VLOOKUP(C201,Leonard2010!E:BB,46,FALSE)</f>
        <v>7.0891029758944297</v>
      </c>
      <c r="W201">
        <v>462.10031060599397</v>
      </c>
      <c r="X201">
        <v>1194.7767114218605</v>
      </c>
      <c r="Y201">
        <v>3089.1374824743966</v>
      </c>
      <c r="Z201">
        <f t="shared" si="17"/>
        <v>3746166967028958.5</v>
      </c>
      <c r="AA201">
        <v>0.6152348278222074</v>
      </c>
      <c r="AB201">
        <v>0.1781592544864378</v>
      </c>
      <c r="AC201">
        <f t="shared" si="30"/>
        <v>394.21900606064492</v>
      </c>
    </row>
    <row r="202" spans="1:29" x14ac:dyDescent="0.2">
      <c r="A202">
        <f>VLOOKUP(C202,Leonard2010!E:CD,78,FALSE)</f>
        <v>201</v>
      </c>
      <c r="B202" s="29" t="s">
        <v>295</v>
      </c>
      <c r="C202" s="65" t="s">
        <v>544</v>
      </c>
      <c r="D202" s="65" t="s">
        <v>478</v>
      </c>
      <c r="E202">
        <v>0.5</v>
      </c>
      <c r="F202">
        <v>-9.9049999999999994</v>
      </c>
      <c r="G202">
        <v>34.134999999999998</v>
      </c>
      <c r="H202">
        <v>20.7</v>
      </c>
      <c r="I202">
        <v>139</v>
      </c>
      <c r="J202">
        <v>53</v>
      </c>
      <c r="K202" t="str">
        <f>VLOOKUP(C202,Leonard2010!E:P,12,FALSE)</f>
        <v>W</v>
      </c>
      <c r="L202">
        <f>VLOOKUP(C202,Leonard2010!E:Q,13,FALSE)</f>
        <v>1.5</v>
      </c>
      <c r="M202">
        <f>VLOOKUP(C202,Leonard2010!E:R,14,FALSE)</f>
        <v>0.5</v>
      </c>
      <c r="N202">
        <f t="shared" si="32"/>
        <v>13.193244541751087</v>
      </c>
      <c r="O202">
        <f>VLOOKUP(B202,Leonard2010!D:CC,78,FALSE)</f>
        <v>414</v>
      </c>
      <c r="P202">
        <f>VLOOKUP(B202,FaultGeometry!B:G,6,FALSE)</f>
        <v>151</v>
      </c>
      <c r="Q202">
        <f>VLOOKUP(B202,FaultGeometry!B:L,11,FALSE)</f>
        <v>22.629416229389616</v>
      </c>
      <c r="R202">
        <f>VLOOKUP(C202,Leonard2010!E:CE,79,FALSE)</f>
        <v>625</v>
      </c>
      <c r="S202">
        <f>VLOOKUP(R202,FaultGeometry!W:X,2,FALSE)</f>
        <v>35.560541407839736</v>
      </c>
      <c r="T202">
        <f>VLOOKUP(C202,Leonard2010!E:BA,44,FALSE)</f>
        <v>6.0088686210981992</v>
      </c>
      <c r="U202">
        <f>VLOOKUP(C202,Leonard2010!E:BA,45,FALSE)</f>
        <v>6.441853648777621</v>
      </c>
      <c r="V202">
        <f>VLOOKUP(C202,Leonard2010!E:BB,46,FALSE)</f>
        <v>6.9296873750505741</v>
      </c>
      <c r="W202">
        <v>371.64918455039231</v>
      </c>
      <c r="X202">
        <v>970.18980094666131</v>
      </c>
      <c r="Y202">
        <v>2532.6794433832392</v>
      </c>
      <c r="Z202">
        <f t="shared" ref="Z202" si="33">IF(U202="NA",0,E202*10^(U202*1.5+9.05)/X202)</f>
        <v>2660074332832665.5</v>
      </c>
      <c r="AA202">
        <v>0.62185556053783531</v>
      </c>
      <c r="AB202">
        <v>0.17904958838286292</v>
      </c>
      <c r="AC202">
        <f t="shared" si="30"/>
        <v>273.10016201424747</v>
      </c>
    </row>
    <row r="203" spans="1:29" x14ac:dyDescent="0.2">
      <c r="A203">
        <f>VLOOKUP(C203,Leonard2010!E:CD,78,FALSE)</f>
        <v>202</v>
      </c>
      <c r="B203" s="29" t="s">
        <v>480</v>
      </c>
      <c r="C203" s="29" t="s">
        <v>483</v>
      </c>
      <c r="D203" s="65" t="s">
        <v>489</v>
      </c>
      <c r="E203">
        <v>0.5</v>
      </c>
      <c r="F203">
        <v>-10.294</v>
      </c>
      <c r="G203">
        <v>34.249000000000002</v>
      </c>
      <c r="H203">
        <v>6.3</v>
      </c>
      <c r="I203">
        <v>192</v>
      </c>
      <c r="J203">
        <v>53</v>
      </c>
      <c r="K203" t="str">
        <f>VLOOKUP(C203,Leonard2010!E:P,12,FALSE)</f>
        <v>SW</v>
      </c>
      <c r="L203">
        <f>VLOOKUP(C203,Leonard2010!E:Q,13,FALSE)</f>
        <v>1.5</v>
      </c>
      <c r="M203">
        <f>VLOOKUP(C203,Leonard2010!E:R,14,FALSE)</f>
        <v>0.5</v>
      </c>
      <c r="N203">
        <f t="shared" si="31"/>
        <v>5.9694146669881176</v>
      </c>
      <c r="O203">
        <f>VLOOKUP(B203,Leonard2010!D:CC,78,FALSE)</f>
        <v>417</v>
      </c>
      <c r="P203">
        <f>VLOOKUP(B203,FaultGeometry!B:G,6,FALSE)</f>
        <v>165</v>
      </c>
      <c r="Q203">
        <f>VLOOKUP(B203,FaultGeometry!B:L,11,FALSE)</f>
        <v>21.545696928126397</v>
      </c>
      <c r="R203">
        <f>VLOOKUP(C203,Leonard2010!E:CE,79,FALSE)</f>
        <v>626</v>
      </c>
      <c r="S203">
        <f>VLOOKUP(R203,FaultGeometry!W:X,2,FALSE)</f>
        <v>25.094079434961241</v>
      </c>
      <c r="T203">
        <f>VLOOKUP(C203,Leonard2010!E:BA,44,FALSE)</f>
        <v>5.1478189610926393</v>
      </c>
      <c r="U203">
        <f>VLOOKUP(C203,Leonard2010!E:BA,45,FALSE)</f>
        <v>5.5808039887720611</v>
      </c>
      <c r="V203">
        <f>VLOOKUP(C203,Leonard2010!E:BB,46,FALSE)</f>
        <v>6.0686377150450141</v>
      </c>
      <c r="W203">
        <v>87.891458197414281</v>
      </c>
      <c r="X203">
        <v>844.61053849625944</v>
      </c>
      <c r="Y203">
        <v>8116.4538212193274</v>
      </c>
      <c r="Z203">
        <f t="shared" ref="Z203:Z208" si="34">IF(U203="NA",0,E203*10^(U203*1.5+9.05)/X203)</f>
        <v>156141911430136.88</v>
      </c>
      <c r="AA203">
        <v>0.26299032928667876</v>
      </c>
      <c r="AB203">
        <v>0.16232946146808888</v>
      </c>
      <c r="AC203">
        <f t="shared" si="30"/>
        <v>37.607312402025137</v>
      </c>
    </row>
    <row r="204" spans="1:29" x14ac:dyDescent="0.2">
      <c r="A204">
        <f>VLOOKUP(C204,Leonard2010!E:CD,78,FALSE)</f>
        <v>203</v>
      </c>
      <c r="B204" s="29" t="s">
        <v>480</v>
      </c>
      <c r="C204" s="29" t="s">
        <v>484</v>
      </c>
      <c r="D204" s="65" t="s">
        <v>489</v>
      </c>
      <c r="E204">
        <v>0.5</v>
      </c>
      <c r="F204">
        <v>-10.234999999999999</v>
      </c>
      <c r="G204">
        <v>34.206000000000003</v>
      </c>
      <c r="H204">
        <v>8.1</v>
      </c>
      <c r="I204">
        <v>144</v>
      </c>
      <c r="J204">
        <v>53</v>
      </c>
      <c r="K204" t="str">
        <f>VLOOKUP(C204,Leonard2010!E:P,12,FALSE)</f>
        <v>SW</v>
      </c>
      <c r="L204">
        <f>VLOOKUP(C204,Leonard2010!E:Q,13,FALSE)</f>
        <v>1.5</v>
      </c>
      <c r="M204">
        <f>VLOOKUP(C204,Leonard2010!E:R,14,FALSE)</f>
        <v>0.5</v>
      </c>
      <c r="N204">
        <f t="shared" si="31"/>
        <v>7.0582124758275295</v>
      </c>
      <c r="O204">
        <f>VLOOKUP(B204,Leonard2010!D:CC,78,FALSE)</f>
        <v>417</v>
      </c>
      <c r="P204">
        <f>VLOOKUP(B204,FaultGeometry!B:G,6,FALSE)</f>
        <v>165</v>
      </c>
      <c r="Q204">
        <f>VLOOKUP(B204,FaultGeometry!B:L,11,FALSE)</f>
        <v>21.545696928126397</v>
      </c>
      <c r="R204">
        <f>VLOOKUP(C204,Leonard2010!E:CE,79,FALSE)</f>
        <v>626</v>
      </c>
      <c r="S204">
        <f>VLOOKUP(R204,FaultGeometry!W:X,2,FALSE)</f>
        <v>25.094079434961241</v>
      </c>
      <c r="T204">
        <f>VLOOKUP(C204,Leonard2010!E:BA,44,FALSE)</f>
        <v>5.3297264101344197</v>
      </c>
      <c r="U204">
        <f>VLOOKUP(C204,Leonard2010!E:BA,45,FALSE)</f>
        <v>5.7627114378138415</v>
      </c>
      <c r="V204">
        <f>VLOOKUP(C204,Leonard2010!E:BB,46,FALSE)</f>
        <v>6.2505451640867946</v>
      </c>
      <c r="W204">
        <v>109.22427118364085</v>
      </c>
      <c r="X204">
        <v>1060.1331765512925</v>
      </c>
      <c r="Y204">
        <v>10289.675910358141</v>
      </c>
      <c r="Z204">
        <f t="shared" si="34"/>
        <v>233172181147938</v>
      </c>
      <c r="AA204">
        <v>0.26500079909629121</v>
      </c>
      <c r="AB204">
        <v>0.16328650220592097</v>
      </c>
      <c r="AC204">
        <f t="shared" si="30"/>
        <v>57.171521054202984</v>
      </c>
    </row>
    <row r="205" spans="1:29" x14ac:dyDescent="0.2">
      <c r="A205">
        <f>VLOOKUP(C205,Leonard2010!E:CD,78,FALSE)</f>
        <v>204</v>
      </c>
      <c r="B205" s="29" t="s">
        <v>480</v>
      </c>
      <c r="C205" s="29" t="s">
        <v>485</v>
      </c>
      <c r="D205" s="65" t="s">
        <v>489</v>
      </c>
      <c r="E205">
        <v>0.5</v>
      </c>
      <c r="F205">
        <v>-9.9830000000000005</v>
      </c>
      <c r="G205">
        <v>34.14</v>
      </c>
      <c r="H205">
        <v>28.8</v>
      </c>
      <c r="I205">
        <v>166</v>
      </c>
      <c r="J205">
        <v>53</v>
      </c>
      <c r="K205" t="str">
        <f>VLOOKUP(C205,Leonard2010!E:P,12,FALSE)</f>
        <v>SW</v>
      </c>
      <c r="L205">
        <f>VLOOKUP(C205,Leonard2010!E:Q,13,FALSE)</f>
        <v>1.5</v>
      </c>
      <c r="M205">
        <f>VLOOKUP(C205,Leonard2010!E:R,14,FALSE)</f>
        <v>0.5</v>
      </c>
      <c r="N205">
        <f t="shared" si="31"/>
        <v>16.442444092909223</v>
      </c>
      <c r="O205">
        <f>VLOOKUP(B205,Leonard2010!D:CC,78,FALSE)</f>
        <v>417</v>
      </c>
      <c r="P205">
        <f>VLOOKUP(B205,FaultGeometry!B:G,6,FALSE)</f>
        <v>165</v>
      </c>
      <c r="Q205">
        <f>VLOOKUP(B205,FaultGeometry!B:L,11,FALSE)</f>
        <v>21.545696928126397</v>
      </c>
      <c r="R205">
        <f>VLOOKUP(C205,Leonard2010!E:CE,79,FALSE)</f>
        <v>626</v>
      </c>
      <c r="S205">
        <f>VLOOKUP(R205,FaultGeometry!W:X,2,FALSE)</f>
        <v>25.094079434961241</v>
      </c>
      <c r="T205">
        <f>VLOOKUP(C205,Leonard2010!E:BA,44,FALSE)</f>
        <v>6.2479055249353879</v>
      </c>
      <c r="U205">
        <f>VLOOKUP(C205,Leonard2010!E:BA,45,FALSE)</f>
        <v>6.6808905526148097</v>
      </c>
      <c r="V205">
        <f>VLOOKUP(C205,Leonard2010!E:BB,46,FALSE)</f>
        <v>7.1687242788877628</v>
      </c>
      <c r="W205">
        <v>306.91041142479855</v>
      </c>
      <c r="X205">
        <v>3046.1270611694495</v>
      </c>
      <c r="Y205">
        <v>30233.220273344847</v>
      </c>
      <c r="Z205">
        <f t="shared" si="34"/>
        <v>1934451378575680</v>
      </c>
      <c r="AA205">
        <v>0.26143830265451939</v>
      </c>
      <c r="AB205">
        <v>0.16407465433359378</v>
      </c>
      <c r="AC205">
        <f t="shared" si="30"/>
        <v>473.54238987578566</v>
      </c>
    </row>
    <row r="206" spans="1:29" x14ac:dyDescent="0.2">
      <c r="A206">
        <f>VLOOKUP(C206,Leonard2010!E:CD,78,FALSE)</f>
        <v>205</v>
      </c>
      <c r="B206" s="29" t="s">
        <v>421</v>
      </c>
      <c r="C206" s="29" t="s">
        <v>486</v>
      </c>
      <c r="D206" s="65" t="s">
        <v>490</v>
      </c>
      <c r="E206">
        <v>0.5</v>
      </c>
      <c r="F206">
        <v>-10.321999999999999</v>
      </c>
      <c r="G206">
        <v>34.268999999999998</v>
      </c>
      <c r="H206">
        <v>11</v>
      </c>
      <c r="I206">
        <v>189</v>
      </c>
      <c r="J206">
        <v>53</v>
      </c>
      <c r="K206" t="str">
        <f>VLOOKUP(C206,Leonard2010!E:P,12,FALSE)</f>
        <v>SW</v>
      </c>
      <c r="L206">
        <f>VLOOKUP(C206,Leonard2010!E:Q,13,FALSE)</f>
        <v>1.5</v>
      </c>
      <c r="M206">
        <f>VLOOKUP(C206,Leonard2010!E:R,14,FALSE)</f>
        <v>0.5</v>
      </c>
      <c r="N206">
        <f t="shared" si="31"/>
        <v>8.6556530256852202</v>
      </c>
      <c r="O206">
        <f>VLOOKUP(B206,Leonard2010!D:CC,78,FALSE)</f>
        <v>418</v>
      </c>
      <c r="P206">
        <f>VLOOKUP(B206,FaultGeometry!B:G,6,FALSE)</f>
        <v>166</v>
      </c>
      <c r="Q206">
        <f>VLOOKUP(B206,FaultGeometry!B:L,11,FALSE)</f>
        <v>24.255180811105657</v>
      </c>
      <c r="R206">
        <f>VLOOKUP(C206,Leonard2010!E:CE,79,FALSE)</f>
        <v>627</v>
      </c>
      <c r="S206">
        <f>VLOOKUP(R206,FaultGeometry!W:X,2,FALSE)</f>
        <v>27.619537968592098</v>
      </c>
      <c r="T206">
        <f>VLOOKUP(C206,Leonard2010!E:BA,44,FALSE)</f>
        <v>5.5512391872670461</v>
      </c>
      <c r="U206">
        <f>VLOOKUP(C206,Leonard2010!E:BA,45,FALSE)</f>
        <v>5.9842242149464679</v>
      </c>
      <c r="V206">
        <f>VLOOKUP(C206,Leonard2010!E:BB,46,FALSE)</f>
        <v>6.472057941219421</v>
      </c>
      <c r="W206">
        <v>141.76216575733682</v>
      </c>
      <c r="X206">
        <v>1372.8539955798446</v>
      </c>
      <c r="Y206">
        <v>13295.000701426579</v>
      </c>
      <c r="Z206">
        <f t="shared" si="34"/>
        <v>386974167597377.06</v>
      </c>
      <c r="AA206">
        <v>0.26227865176063786</v>
      </c>
      <c r="AB206">
        <v>0.16324989403222687</v>
      </c>
      <c r="AC206">
        <f t="shared" si="30"/>
        <v>95.212183282537424</v>
      </c>
    </row>
    <row r="207" spans="1:29" x14ac:dyDescent="0.2">
      <c r="A207">
        <f>VLOOKUP(C207,Leonard2010!E:CD,78,FALSE)</f>
        <v>206</v>
      </c>
      <c r="B207" s="29" t="s">
        <v>421</v>
      </c>
      <c r="C207" s="29" t="s">
        <v>487</v>
      </c>
      <c r="D207" s="65" t="s">
        <v>490</v>
      </c>
      <c r="E207">
        <v>0.5</v>
      </c>
      <c r="F207">
        <v>-10.234999999999999</v>
      </c>
      <c r="G207">
        <v>34.206000000000003</v>
      </c>
      <c r="H207">
        <v>11.8</v>
      </c>
      <c r="I207">
        <v>144</v>
      </c>
      <c r="J207">
        <v>53</v>
      </c>
      <c r="K207" t="str">
        <f>VLOOKUP(C207,Leonard2010!E:P,12,FALSE)</f>
        <v>SW</v>
      </c>
      <c r="L207">
        <f>VLOOKUP(C207,Leonard2010!E:Q,13,FALSE)</f>
        <v>1.5</v>
      </c>
      <c r="M207">
        <f>VLOOKUP(C207,Leonard2010!E:R,14,FALSE)</f>
        <v>0.5</v>
      </c>
      <c r="N207">
        <f t="shared" si="31"/>
        <v>9.0703919363750458</v>
      </c>
      <c r="O207">
        <f>VLOOKUP(B207,Leonard2010!D:CC,78,FALSE)</f>
        <v>418</v>
      </c>
      <c r="P207">
        <f>VLOOKUP(B207,FaultGeometry!B:G,6,FALSE)</f>
        <v>166</v>
      </c>
      <c r="Q207">
        <f>VLOOKUP(B207,FaultGeometry!B:L,11,FALSE)</f>
        <v>24.255180811105657</v>
      </c>
      <c r="R207">
        <f>VLOOKUP(C207,Leonard2010!E:CE,79,FALSE)</f>
        <v>627</v>
      </c>
      <c r="S207">
        <f>VLOOKUP(R207,FaultGeometry!W:X,2,FALSE)</f>
        <v>27.619537968592098</v>
      </c>
      <c r="T207">
        <f>VLOOKUP(C207,Leonard2010!E:BA,44,FALSE)</f>
        <v>5.6020547241802134</v>
      </c>
      <c r="U207">
        <f>VLOOKUP(C207,Leonard2010!E:BA,45,FALSE)</f>
        <v>6.0350397518596353</v>
      </c>
      <c r="V207">
        <f>VLOOKUP(C207,Leonard2010!E:BB,46,FALSE)</f>
        <v>6.5228734781325883</v>
      </c>
      <c r="W207">
        <v>148.29281190056804</v>
      </c>
      <c r="X207">
        <v>1438.2522744201037</v>
      </c>
      <c r="Y207">
        <v>13949.223690367406</v>
      </c>
      <c r="Z207">
        <f t="shared" si="34"/>
        <v>440245132181189.81</v>
      </c>
      <c r="AA207">
        <v>0.26277808780108719</v>
      </c>
      <c r="AB207">
        <v>0.16534002612587881</v>
      </c>
      <c r="AC207">
        <f t="shared" si="30"/>
        <v>107.03062484922555</v>
      </c>
    </row>
    <row r="208" spans="1:29" x14ac:dyDescent="0.2">
      <c r="A208">
        <f>VLOOKUP(C208,Leonard2010!E:CD,78,FALSE)</f>
        <v>207</v>
      </c>
      <c r="B208" s="29" t="s">
        <v>421</v>
      </c>
      <c r="C208" s="29" t="s">
        <v>488</v>
      </c>
      <c r="D208" s="65" t="s">
        <v>490</v>
      </c>
      <c r="E208">
        <v>0.5</v>
      </c>
      <c r="F208">
        <v>-9.9830000000000005</v>
      </c>
      <c r="G208">
        <v>34.14</v>
      </c>
      <c r="H208">
        <v>28.8</v>
      </c>
      <c r="I208">
        <v>166</v>
      </c>
      <c r="J208">
        <v>53</v>
      </c>
      <c r="K208" t="str">
        <f>VLOOKUP(C208,Leonard2010!E:P,12,FALSE)</f>
        <v>SW</v>
      </c>
      <c r="L208">
        <f>VLOOKUP(C208,Leonard2010!E:Q,13,FALSE)</f>
        <v>1.5</v>
      </c>
      <c r="M208">
        <f>VLOOKUP(C208,Leonard2010!E:R,14,FALSE)</f>
        <v>0.5</v>
      </c>
      <c r="N208">
        <f t="shared" si="31"/>
        <v>16.442444092909223</v>
      </c>
      <c r="O208">
        <f>VLOOKUP(B208,Leonard2010!D:CC,78,FALSE)</f>
        <v>418</v>
      </c>
      <c r="P208">
        <f>VLOOKUP(B208,FaultGeometry!B:G,6,FALSE)</f>
        <v>166</v>
      </c>
      <c r="Q208">
        <f>VLOOKUP(B208,FaultGeometry!B:L,11,FALSE)</f>
        <v>24.255180811105657</v>
      </c>
      <c r="R208">
        <f>VLOOKUP(C208,Leonard2010!E:CE,79,FALSE)</f>
        <v>627</v>
      </c>
      <c r="S208">
        <f>VLOOKUP(R208,FaultGeometry!W:X,2,FALSE)</f>
        <v>27.619537968592098</v>
      </c>
      <c r="T208">
        <f>VLOOKUP(C208,Leonard2010!E:BA,44,FALSE)</f>
        <v>6.2479055249353879</v>
      </c>
      <c r="U208">
        <f>VLOOKUP(C208,Leonard2010!E:BA,45,FALSE)</f>
        <v>6.6808905526148097</v>
      </c>
      <c r="V208">
        <f>VLOOKUP(C208,Leonard2010!E:BB,46,FALSE)</f>
        <v>7.1687242788877628</v>
      </c>
      <c r="W208">
        <v>312.34858672999428</v>
      </c>
      <c r="X208">
        <v>2983.7585371734208</v>
      </c>
      <c r="Y208">
        <v>28502.818281842254</v>
      </c>
      <c r="Z208">
        <f t="shared" si="34"/>
        <v>1974886579923488</v>
      </c>
      <c r="AA208">
        <v>0.26506650067615167</v>
      </c>
      <c r="AB208">
        <v>0.16356142033052556</v>
      </c>
      <c r="AC208">
        <f t="shared" si="30"/>
        <v>473.54238987578566</v>
      </c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4BD7-113E-504D-88BE-C769CDDB0CE6}">
  <dimension ref="A1:Z119"/>
  <sheetViews>
    <sheetView workbookViewId="0">
      <selection activeCell="G37" sqref="G37"/>
    </sheetView>
  </sheetViews>
  <sheetFormatPr baseColWidth="10" defaultRowHeight="16" x14ac:dyDescent="0.2"/>
  <cols>
    <col min="2" max="2" width="19.33203125" bestFit="1" customWidth="1"/>
    <col min="3" max="3" width="12.1640625" bestFit="1" customWidth="1"/>
    <col min="15" max="16" width="15.5" customWidth="1"/>
    <col min="20" max="22" width="13.33203125" customWidth="1"/>
    <col min="23" max="23" width="12.1640625" bestFit="1" customWidth="1"/>
    <col min="25" max="26" width="12.1640625" bestFit="1" customWidth="1"/>
    <col min="29" max="32" width="12.1640625" bestFit="1" customWidth="1"/>
  </cols>
  <sheetData>
    <row r="1" spans="1:26" x14ac:dyDescent="0.2">
      <c r="A1" t="s">
        <v>134</v>
      </c>
      <c r="B1" t="s">
        <v>125</v>
      </c>
      <c r="C1" t="s">
        <v>260</v>
      </c>
      <c r="D1" t="s">
        <v>128</v>
      </c>
      <c r="E1" t="s">
        <v>129</v>
      </c>
      <c r="F1" t="s">
        <v>127</v>
      </c>
      <c r="G1" t="s">
        <v>126</v>
      </c>
      <c r="H1" t="s">
        <v>131</v>
      </c>
      <c r="I1" t="s">
        <v>46</v>
      </c>
      <c r="J1" t="s">
        <v>319</v>
      </c>
      <c r="K1" t="s">
        <v>320</v>
      </c>
      <c r="L1" t="s">
        <v>132</v>
      </c>
      <c r="M1" t="s">
        <v>133</v>
      </c>
      <c r="N1" t="s">
        <v>199</v>
      </c>
      <c r="O1" t="s">
        <v>198</v>
      </c>
      <c r="P1" t="s">
        <v>473</v>
      </c>
      <c r="Q1" t="s">
        <v>321</v>
      </c>
      <c r="R1" t="s">
        <v>322</v>
      </c>
      <c r="S1" t="s">
        <v>323</v>
      </c>
      <c r="T1" t="s">
        <v>324</v>
      </c>
      <c r="U1" t="s">
        <v>325</v>
      </c>
      <c r="V1" t="s">
        <v>326</v>
      </c>
      <c r="W1" t="s">
        <v>227</v>
      </c>
      <c r="X1" t="s">
        <v>197</v>
      </c>
      <c r="Y1" t="s">
        <v>327</v>
      </c>
      <c r="Z1" t="s">
        <v>565</v>
      </c>
    </row>
    <row r="2" spans="1:26" x14ac:dyDescent="0.2">
      <c r="A2">
        <f>VLOOKUP(B2,Leonard2010!D:CC,78,FALSE)</f>
        <v>301</v>
      </c>
      <c r="B2" t="s">
        <v>1</v>
      </c>
      <c r="C2">
        <v>1</v>
      </c>
      <c r="D2">
        <v>-17.164999999999999</v>
      </c>
      <c r="E2">
        <v>35.134999999999998</v>
      </c>
      <c r="F2">
        <v>33.200000000000003</v>
      </c>
      <c r="G2">
        <v>22</v>
      </c>
      <c r="H2">
        <f>VLOOKUP(B2,Leonard2010!D:N,11,FALSE)</f>
        <v>53</v>
      </c>
      <c r="I2" t="str">
        <f>VLOOKUP(B2,Leonard2010!D:P,13,FALSE)</f>
        <v>E</v>
      </c>
      <c r="J2">
        <f>VLOOKUP(B2,Leonard2010!D:Q,14,FALSE)</f>
        <v>0</v>
      </c>
      <c r="K2">
        <f>VLOOKUP(B2,Leonard2010!D:R,15,FALSE)</f>
        <v>0</v>
      </c>
      <c r="L2">
        <f t="shared" ref="L2:L33" si="0">MIN((((F2*1000)^(2/3)*17.5)/1000),((35-K2)/SIN(RADIANS(H2))))</f>
        <v>18.077155942955567</v>
      </c>
      <c r="M2">
        <f>COUNTIF(SectionGeometry!B:B,FaultGeometry!B2)</f>
        <v>0</v>
      </c>
      <c r="N2">
        <f>VLOOKUP(B2,Leonard2010!D:AO,38,FALSE)</f>
        <v>4.2699836733571294E-3</v>
      </c>
      <c r="O2">
        <v>0.18306490950828774</v>
      </c>
      <c r="P2">
        <v>0.14850193969402931</v>
      </c>
      <c r="Q2">
        <f>VLOOKUP(B2,Leonard2010!D:BG,56,FALSE)</f>
        <v>6.3774815181767295</v>
      </c>
      <c r="R2">
        <f>VLOOKUP(B2,Leonard2010!D:BH,57,FALSE)</f>
        <v>6.8104665458561513</v>
      </c>
      <c r="S2">
        <f>VLOOKUP(B2,Leonard2010!D:BI,58,FALSE)</f>
        <v>7.2983002721291044</v>
      </c>
      <c r="T2">
        <v>1145.1415765335055</v>
      </c>
      <c r="U2">
        <v>5198.496141216945</v>
      </c>
      <c r="V2">
        <v>23599.145017556519</v>
      </c>
      <c r="W2">
        <f>VLOOKUP(B2,Leonard2010!D:CE,80,FALSE)</f>
        <v>0</v>
      </c>
      <c r="X2" t="str">
        <f>IF(W2=0,"NA",MIN(((17.5*(VLOOKUP(B2,Leonard2010!D:K,8,FALSE)*1000)^(2/3))/1000),(35-FaultGeometry!K12)/SIN(RADIANS(FaultGeometry!H12))))</f>
        <v>NA</v>
      </c>
      <c r="Y2">
        <f t="shared" ref="Y2:Y33" si="1">C2*10^(R2*1.5+9.05)/U2</f>
        <v>3546680709879370</v>
      </c>
      <c r="Z2">
        <f>VLOOKUP(A2,Leonard2010!A:U,21,FALSE)</f>
        <v>600.16157730612485</v>
      </c>
    </row>
    <row r="3" spans="1:26" x14ac:dyDescent="0.2">
      <c r="A3">
        <f>VLOOKUP(B3,Leonard2010!D:CC,78,FALSE)</f>
        <v>302</v>
      </c>
      <c r="B3" t="s">
        <v>3</v>
      </c>
      <c r="C3">
        <v>1</v>
      </c>
      <c r="D3">
        <v>-15.5</v>
      </c>
      <c r="E3">
        <v>33.802</v>
      </c>
      <c r="F3">
        <v>143.99999999999997</v>
      </c>
      <c r="G3">
        <v>127</v>
      </c>
      <c r="H3">
        <f>VLOOKUP(B3,Leonard2010!D:N,11,FALSE)</f>
        <v>53</v>
      </c>
      <c r="I3" t="str">
        <f>VLOOKUP(B3,Leonard2010!D:P,13,FALSE)</f>
        <v>SW</v>
      </c>
      <c r="J3">
        <f>VLOOKUP(B3,Leonard2010!D:Q,14,FALSE)</f>
        <v>0</v>
      </c>
      <c r="K3">
        <f>VLOOKUP(B3,Leonard2010!D:R,15,FALSE)</f>
        <v>0</v>
      </c>
      <c r="L3">
        <f t="shared" si="0"/>
        <v>43.824748035467898</v>
      </c>
      <c r="M3">
        <f>COUNTIF(SectionGeometry!B:B,FaultGeometry!B3)</f>
        <v>7</v>
      </c>
      <c r="N3">
        <f>VLOOKUP(B3,Leonard2010!D:AO,38,FALSE)</f>
        <v>0.24826003176656056</v>
      </c>
      <c r="O3">
        <v>0.80550693463341816</v>
      </c>
      <c r="P3">
        <v>0.43207842206346375</v>
      </c>
      <c r="Q3">
        <f>VLOOKUP(B3,Leonard2010!D:BG,56,FALSE)</f>
        <v>7.4395221988287519</v>
      </c>
      <c r="R3">
        <f>VLOOKUP(B3,Leonard2010!D:BH,57,FALSE)</f>
        <v>7.8322802776133074</v>
      </c>
      <c r="S3">
        <f>VLOOKUP(B3,Leonard2010!D:BI,58,FALSE)</f>
        <v>8.1652120439005174</v>
      </c>
      <c r="T3">
        <v>1141.7581264846201</v>
      </c>
      <c r="U3">
        <v>3739.3646905975602</v>
      </c>
      <c r="V3">
        <v>12246.769228032415</v>
      </c>
      <c r="W3">
        <f>VLOOKUP(B3,Leonard2010!D:CE,80,FALSE)</f>
        <v>0</v>
      </c>
      <c r="X3" t="str">
        <f>IF(W3=0,"NA",MIN(((17.5*(VLOOKUP(B3,Leonard2010!D:K,8,FALSE)*1000)^(2/3))/1000),(35-FaultGeometry!K11)/SIN(RADIANS(FaultGeometry!H11))))</f>
        <v>NA</v>
      </c>
      <c r="Y3">
        <f>C3*10^(R3*1.5+9.05)/U3</f>
        <v>1.6812124349896186E+17</v>
      </c>
      <c r="Z3">
        <f>VLOOKUP(A3,Leonard2010!A:U,21,FALSE)</f>
        <v>6310.7637171073766</v>
      </c>
    </row>
    <row r="4" spans="1:26" x14ac:dyDescent="0.2">
      <c r="A4">
        <f>VLOOKUP(B4,Leonard2010!D:CC,78,FALSE)</f>
        <v>303</v>
      </c>
      <c r="B4" t="s">
        <v>151</v>
      </c>
      <c r="C4">
        <v>1</v>
      </c>
      <c r="D4">
        <v>-16.606000000000002</v>
      </c>
      <c r="E4">
        <v>34.945999999999998</v>
      </c>
      <c r="F4">
        <v>6.2</v>
      </c>
      <c r="G4">
        <v>305</v>
      </c>
      <c r="H4">
        <f>VLOOKUP(B4,Leonard2010!D:N,11,FALSE)</f>
        <v>53</v>
      </c>
      <c r="I4" t="str">
        <f>VLOOKUP(B4,Leonard2010!D:P,13,FALSE)</f>
        <v>NE</v>
      </c>
      <c r="J4">
        <f>VLOOKUP(B4,Leonard2010!D:Q,14,FALSE)</f>
        <v>0</v>
      </c>
      <c r="K4">
        <f>VLOOKUP(B4,Leonard2010!D:R,15,FALSE)</f>
        <v>0</v>
      </c>
      <c r="L4">
        <f t="shared" si="0"/>
        <v>5.9060779556652578</v>
      </c>
      <c r="M4">
        <f>COUNTIF(SectionGeometry!B:B,FaultGeometry!B4)</f>
        <v>0</v>
      </c>
      <c r="N4">
        <f>VLOOKUP(B4,Leonard2010!D:AO,38,FALSE)</f>
        <v>5.2441094807999019E-3</v>
      </c>
      <c r="O4">
        <v>7.0430676464725089E-2</v>
      </c>
      <c r="P4">
        <v>6.2165769423146035E-2</v>
      </c>
      <c r="Q4">
        <f>VLOOKUP(B4,Leonard2010!D:BG,56,FALSE)</f>
        <v>5.1629041945004275</v>
      </c>
      <c r="R4">
        <f>VLOOKUP(B4,Leonard2010!D:BH,57,FALSE)</f>
        <v>5.5958892221798493</v>
      </c>
      <c r="S4">
        <f>VLOOKUP(B4,Leonard2010!D:BI,58,FALSE)</f>
        <v>6.0837229484528024</v>
      </c>
      <c r="T4">
        <v>789.6653167232945</v>
      </c>
      <c r="U4">
        <v>3290.3028767697515</v>
      </c>
      <c r="V4">
        <v>13709.723336719444</v>
      </c>
      <c r="W4">
        <f>VLOOKUP(B4,Leonard2010!D:CE,80,FALSE)</f>
        <v>601</v>
      </c>
      <c r="X4">
        <f>IF(W4=0,"NA",MIN(((17.5*(VLOOKUP(B4,Leonard2010!D:K,8,FALSE)*1000)^(2/3))/1000),(35-FaultGeometry!K21)/SIN(RADIANS(FaultGeometry!H21))))</f>
        <v>27.912431497819</v>
      </c>
      <c r="Y4">
        <f t="shared" si="1"/>
        <v>84449669855125.75</v>
      </c>
      <c r="Z4">
        <f>VLOOKUP(A4,Leonard2010!A:U,21,FALSE)</f>
        <v>36.617683325124602</v>
      </c>
    </row>
    <row r="5" spans="1:26" x14ac:dyDescent="0.2">
      <c r="A5">
        <f>VLOOKUP(B5,Leonard2010!D:CC,78,FALSE)</f>
        <v>304</v>
      </c>
      <c r="B5" t="s">
        <v>152</v>
      </c>
      <c r="C5">
        <v>1</v>
      </c>
      <c r="D5">
        <v>-16.553999999999998</v>
      </c>
      <c r="E5">
        <v>34.911000000000001</v>
      </c>
      <c r="F5">
        <v>11.9</v>
      </c>
      <c r="G5">
        <v>300</v>
      </c>
      <c r="H5">
        <f>VLOOKUP(B5,Leonard2010!D:N,11,FALSE)</f>
        <v>53</v>
      </c>
      <c r="I5" t="str">
        <f>VLOOKUP(B5,Leonard2010!D:P,13,FALSE)</f>
        <v>NE</v>
      </c>
      <c r="J5">
        <f>VLOOKUP(B5,Leonard2010!D:Q,14,FALSE)</f>
        <v>0</v>
      </c>
      <c r="K5">
        <f>VLOOKUP(B5,Leonard2010!D:R,15,FALSE)</f>
        <v>0</v>
      </c>
      <c r="L5">
        <f t="shared" si="0"/>
        <v>9.1215649796776859</v>
      </c>
      <c r="M5">
        <f>COUNTIF(SectionGeometry!B:B,FaultGeometry!B5)</f>
        <v>0</v>
      </c>
      <c r="N5">
        <f>VLOOKUP(B5,Leonard2010!D:AO,38,FALSE)</f>
        <v>3.8174856990850158E-3</v>
      </c>
      <c r="O5">
        <v>6.7440805829578371E-2</v>
      </c>
      <c r="P5">
        <v>6.0170663296937175E-2</v>
      </c>
      <c r="Q5">
        <f>VLOOKUP(B5,Leonard2010!D:BG,56,FALSE)</f>
        <v>5.6348296476575541</v>
      </c>
      <c r="R5">
        <f>VLOOKUP(B5,Leonard2010!D:BH,57,FALSE)</f>
        <v>6.0678146753369759</v>
      </c>
      <c r="S5">
        <f>VLOOKUP(B5,Leonard2010!D:BI,58,FALSE)</f>
        <v>6.555648401609929</v>
      </c>
      <c r="T5">
        <v>1365.1332423743888</v>
      </c>
      <c r="U5">
        <v>5703.9267335019158</v>
      </c>
      <c r="V5">
        <v>23832.677405591414</v>
      </c>
      <c r="W5">
        <f>VLOOKUP(B5,Leonard2010!D:CE,80,FALSE)</f>
        <v>601</v>
      </c>
      <c r="X5">
        <f>IF(W5=0,"NA",MIN(((17.5*(VLOOKUP(B5,Leonard2010!D:K,8,FALSE)*1000)^(2/3))/1000),(35-FaultGeometry!K22)/SIN(RADIANS(FaultGeometry!H22))))</f>
        <v>27.912431497819</v>
      </c>
      <c r="Y5">
        <f t="shared" si="1"/>
        <v>248626876867677.84</v>
      </c>
      <c r="Z5">
        <f>VLOOKUP(A5,Leonard2010!A:U,21,FALSE)</f>
        <v>108.54662325816446</v>
      </c>
    </row>
    <row r="6" spans="1:26" x14ac:dyDescent="0.2">
      <c r="A6">
        <f>VLOOKUP(B6,Leonard2010!D:CC,78,FALSE)</f>
        <v>305</v>
      </c>
      <c r="B6" t="s">
        <v>153</v>
      </c>
      <c r="C6">
        <v>1</v>
      </c>
      <c r="D6">
        <v>-16.481999999999999</v>
      </c>
      <c r="E6">
        <v>34.825000000000003</v>
      </c>
      <c r="F6">
        <v>17.399999999999999</v>
      </c>
      <c r="G6">
        <v>305</v>
      </c>
      <c r="H6">
        <f>VLOOKUP(B6,Leonard2010!D:N,11,FALSE)</f>
        <v>53</v>
      </c>
      <c r="I6" t="str">
        <f>VLOOKUP(B6,Leonard2010!D:P,13,FALSE)</f>
        <v>NE</v>
      </c>
      <c r="J6">
        <f>VLOOKUP(B6,Leonard2010!D:Q,14,FALSE)</f>
        <v>0</v>
      </c>
      <c r="K6">
        <f>VLOOKUP(B6,Leonard2010!D:R,15,FALSE)</f>
        <v>0</v>
      </c>
      <c r="L6">
        <f t="shared" si="0"/>
        <v>11.750893247318272</v>
      </c>
      <c r="M6">
        <f>COUNTIF(SectionGeometry!B:B,FaultGeometry!B6)</f>
        <v>0</v>
      </c>
      <c r="N6">
        <f>VLOOKUP(B6,Leonard2010!D:AO,38,FALSE)</f>
        <v>5.2441094807999019E-3</v>
      </c>
      <c r="O6">
        <v>7.035986228696095E-2</v>
      </c>
      <c r="P6">
        <v>6.1529429911753031E-2</v>
      </c>
      <c r="Q6">
        <f>VLOOKUP(B6,Leonard2010!D:BG,56,FALSE)</f>
        <v>5.9098334591410024</v>
      </c>
      <c r="R6">
        <f>VLOOKUP(B6,Leonard2010!D:BH,57,FALSE)</f>
        <v>6.3428184868204269</v>
      </c>
      <c r="S6">
        <f>VLOOKUP(B6,Leonard2010!D:BI,58,FALSE)</f>
        <v>6.83065221309338</v>
      </c>
      <c r="T6">
        <v>1726.7991883250154</v>
      </c>
      <c r="U6">
        <v>7353.6851081952609</v>
      </c>
      <c r="V6">
        <v>31316.139731885531</v>
      </c>
      <c r="W6">
        <f>VLOOKUP(B6,Leonard2010!D:CE,80,FALSE)</f>
        <v>601</v>
      </c>
      <c r="X6">
        <f>IF(W6=0,"NA",MIN(((17.5*(VLOOKUP(B6,Leonard2010!D:K,8,FALSE)*1000)^(2/3))/1000),(35-FaultGeometry!K23)/SIN(RADIANS(FaultGeometry!H23))))</f>
        <v>27.912431497819</v>
      </c>
      <c r="Y6">
        <f t="shared" si="1"/>
        <v>498566049354310.56</v>
      </c>
      <c r="Z6">
        <f>VLOOKUP(A6,Leonard2010!A:U,21,FALSE)</f>
        <v>204.46554250333793</v>
      </c>
    </row>
    <row r="7" spans="1:26" x14ac:dyDescent="0.2">
      <c r="A7">
        <f>VLOOKUP(B7,Leonard2010!D:CC,78,FALSE)</f>
        <v>306</v>
      </c>
      <c r="B7" t="s">
        <v>154</v>
      </c>
      <c r="C7">
        <v>1</v>
      </c>
      <c r="D7">
        <v>-16.41</v>
      </c>
      <c r="E7">
        <v>34.829000000000001</v>
      </c>
      <c r="F7">
        <v>28.2</v>
      </c>
      <c r="G7">
        <v>309</v>
      </c>
      <c r="H7">
        <f>VLOOKUP(B7,Leonard2010!D:N,11,FALSE)</f>
        <v>53</v>
      </c>
      <c r="I7" t="str">
        <f>VLOOKUP(B7,Leonard2010!D:P,13,FALSE)</f>
        <v>NE</v>
      </c>
      <c r="J7">
        <f>VLOOKUP(B7,Leonard2010!D:Q,14,FALSE)</f>
        <v>0</v>
      </c>
      <c r="K7">
        <f>VLOOKUP(B7,Leonard2010!D:R,15,FALSE)</f>
        <v>0</v>
      </c>
      <c r="L7">
        <f t="shared" si="0"/>
        <v>16.213276439360268</v>
      </c>
      <c r="M7">
        <f>COUNTIF(SectionGeometry!B:B,FaultGeometry!B7)</f>
        <v>0</v>
      </c>
      <c r="N7">
        <f>VLOOKUP(B7,Leonard2010!D:AO,38,FALSE)</f>
        <v>6.3571843098018397E-3</v>
      </c>
      <c r="O7">
        <v>7.357604907439895E-2</v>
      </c>
      <c r="P7">
        <v>6.266690628852277E-2</v>
      </c>
      <c r="Q7">
        <f>VLOOKUP(B7,Leonard2010!D:BG,56,FALSE)</f>
        <v>6.2593332258689385</v>
      </c>
      <c r="R7">
        <f>VLOOKUP(B7,Leonard2010!D:BH,57,FALSE)</f>
        <v>6.6575108086248065</v>
      </c>
      <c r="S7">
        <f>VLOOKUP(B7,Leonard2010!D:BI,58,FALSE)</f>
        <v>6.9904425749120165</v>
      </c>
      <c r="T7">
        <v>2739.3153256157989</v>
      </c>
      <c r="U7">
        <v>10610.509262590373</v>
      </c>
      <c r="V7">
        <v>41098.921967374292</v>
      </c>
      <c r="W7">
        <f>VLOOKUP(B7,Leonard2010!D:CE,80,FALSE)</f>
        <v>601</v>
      </c>
      <c r="X7">
        <f>IF(W7=0,"NA",MIN(((17.5*(VLOOKUP(B7,Leonard2010!D:K,8,FALSE)*1000)^(2/3))/1000),(35-FaultGeometry!K24)/SIN(RADIANS(FaultGeometry!H24))))</f>
        <v>27.912431497819</v>
      </c>
      <c r="Y7">
        <f t="shared" si="1"/>
        <v>1024542513280660.6</v>
      </c>
      <c r="Z7">
        <f>VLOOKUP(A7,Leonard2010!A:U,21,FALSE)</f>
        <v>422</v>
      </c>
    </row>
    <row r="8" spans="1:26" x14ac:dyDescent="0.2">
      <c r="A8">
        <f>VLOOKUP(B8,Leonard2010!D:CC,78,FALSE)</f>
        <v>307</v>
      </c>
      <c r="B8" t="s">
        <v>428</v>
      </c>
      <c r="C8">
        <v>1</v>
      </c>
      <c r="D8">
        <v>-15.897</v>
      </c>
      <c r="E8">
        <v>34.652999999999999</v>
      </c>
      <c r="F8">
        <v>39.5</v>
      </c>
      <c r="G8">
        <v>141</v>
      </c>
      <c r="H8">
        <f>VLOOKUP(B8,Leonard2010!D:N,11,FALSE)</f>
        <v>53</v>
      </c>
      <c r="I8" t="str">
        <f>VLOOKUP(B8,Leonard2010!D:P,13,FALSE)</f>
        <v>SW</v>
      </c>
      <c r="J8">
        <f>VLOOKUP(B8,Leonard2010!D:Q,14,FALSE)</f>
        <v>0</v>
      </c>
      <c r="K8">
        <f>VLOOKUP(B8,Leonard2010!D:R,15,FALSE)</f>
        <v>0</v>
      </c>
      <c r="L8">
        <f t="shared" si="0"/>
        <v>20.29719912803721</v>
      </c>
      <c r="M8">
        <f>COUNTIF(SectionGeometry!B:B,FaultGeometry!B8)</f>
        <v>0</v>
      </c>
      <c r="N8">
        <f>VLOOKUP(B8,Leonard2010!D:AO,38,FALSE)</f>
        <v>9.4896684003367201E-3</v>
      </c>
      <c r="O8">
        <v>7.8473487797667579E-2</v>
      </c>
      <c r="P8">
        <v>6.3808510567592597E-2</v>
      </c>
      <c r="Q8">
        <f>VLOOKUP(B8,Leonard2010!D:BG,56,FALSE)</f>
        <v>6.5032465380474376</v>
      </c>
      <c r="R8">
        <f>VLOOKUP(B8,Leonard2010!D:BH,57,FALSE)</f>
        <v>6.9362315657268594</v>
      </c>
      <c r="S8">
        <f>VLOOKUP(B8,Leonard2010!D:BI,58,FALSE)</f>
        <v>7.4240652919998125</v>
      </c>
      <c r="T8">
        <v>3432.901731923173</v>
      </c>
      <c r="U8">
        <v>13370.868735803902</v>
      </c>
      <c r="V8">
        <v>52078.429477776641</v>
      </c>
      <c r="W8">
        <f>VLOOKUP(B8,Leonard2010!D:CE,80,FALSE)</f>
        <v>602</v>
      </c>
      <c r="X8">
        <f>IF(W8=0,"NA",MIN(((17.5*(VLOOKUP(B8,Leonard2010!D:K,8,FALSE)*1000)^(2/3))/1000),(35-FaultGeometry!K13)/SIN(RADIANS(FaultGeometry!H13))))</f>
        <v>30.455270589841014</v>
      </c>
      <c r="Y8">
        <f t="shared" si="1"/>
        <v>2129059130571099.8</v>
      </c>
      <c r="Z8">
        <f>VLOOKUP(A8,Leonard2010!A:U,21,FALSE)</f>
        <v>801.7393655574698</v>
      </c>
    </row>
    <row r="9" spans="1:26" x14ac:dyDescent="0.2">
      <c r="A9">
        <f>VLOOKUP(B9,Leonard2010!D:CC,78,FALSE)</f>
        <v>308</v>
      </c>
      <c r="B9" t="s">
        <v>429</v>
      </c>
      <c r="C9">
        <v>1</v>
      </c>
      <c r="D9">
        <v>-16.206</v>
      </c>
      <c r="E9">
        <v>34.89</v>
      </c>
      <c r="F9">
        <v>33.1</v>
      </c>
      <c r="G9">
        <v>137</v>
      </c>
      <c r="H9">
        <f>VLOOKUP(B9,Leonard2010!D:N,11,FALSE)</f>
        <v>53</v>
      </c>
      <c r="I9" t="str">
        <f>VLOOKUP(B9,Leonard2010!D:P,13,FALSE)</f>
        <v>SW</v>
      </c>
      <c r="J9">
        <f>VLOOKUP(B9,Leonard2010!D:Q,14,FALSE)</f>
        <v>0</v>
      </c>
      <c r="K9">
        <f>VLOOKUP(B9,Leonard2010!D:R,15,FALSE)</f>
        <v>0</v>
      </c>
      <c r="L9">
        <f t="shared" si="0"/>
        <v>18.040838185947027</v>
      </c>
      <c r="M9">
        <f>COUNTIF(SectionGeometry!B:B,FaultGeometry!B9)</f>
        <v>0</v>
      </c>
      <c r="N9">
        <f>VLOOKUP(B9,Leonard2010!D:AO,38,FALSE)</f>
        <v>8.4851473806598077E-3</v>
      </c>
      <c r="O9">
        <v>7.7766816265387451E-2</v>
      </c>
      <c r="P9">
        <v>6.5446388234967304E-2</v>
      </c>
      <c r="Q9">
        <f>VLOOKUP(B9,Leonard2010!D:BG,56,FALSE)</f>
        <v>6.3752980349628672</v>
      </c>
      <c r="R9">
        <f>VLOOKUP(B9,Leonard2010!D:BH,57,FALSE)</f>
        <v>6.808283062642289</v>
      </c>
      <c r="S9">
        <f>VLOOKUP(B9,Leonard2010!D:BI,58,FALSE)</f>
        <v>7.2961167889152421</v>
      </c>
      <c r="T9">
        <v>2981.9842521555265</v>
      </c>
      <c r="U9">
        <v>11617.239471813376</v>
      </c>
      <c r="V9">
        <v>45258.539795407283</v>
      </c>
      <c r="W9">
        <f>VLOOKUP(B9,Leonard2010!D:CE,80,FALSE)</f>
        <v>602</v>
      </c>
      <c r="X9">
        <f>IF(W9=0,"NA",MIN(((17.5*(VLOOKUP(B9,Leonard2010!D:K,8,FALSE)*1000)^(2/3))/1000),(35-FaultGeometry!K29)/SIN(RADIANS(FaultGeometry!H29))))</f>
        <v>30.455270589841014</v>
      </c>
      <c r="Y9">
        <f t="shared" si="1"/>
        <v>1575149037616121.2</v>
      </c>
      <c r="Z9">
        <f>VLOOKUP(A9,Leonard2010!A:U,21,FALSE)</f>
        <v>597.15174395484667</v>
      </c>
    </row>
    <row r="10" spans="1:26" x14ac:dyDescent="0.2">
      <c r="A10">
        <f>VLOOKUP(B10,Leonard2010!D:CC,78,FALSE)</f>
        <v>309</v>
      </c>
      <c r="B10" t="s">
        <v>53</v>
      </c>
      <c r="C10">
        <v>1</v>
      </c>
      <c r="D10">
        <v>-16.420000000000002</v>
      </c>
      <c r="E10">
        <v>35.295999999999999</v>
      </c>
      <c r="F10">
        <v>36</v>
      </c>
      <c r="G10">
        <v>135</v>
      </c>
      <c r="H10">
        <f>VLOOKUP(B10,Leonard2010!D:N,11,FALSE)</f>
        <v>53</v>
      </c>
      <c r="I10" t="str">
        <f>VLOOKUP(B10,Leonard2010!D:P,13,FALSE)</f>
        <v>SW</v>
      </c>
      <c r="J10">
        <f>VLOOKUP(B10,Leonard2010!D:Q,14,FALSE)</f>
        <v>0</v>
      </c>
      <c r="K10">
        <f>VLOOKUP(B10,Leonard2010!D:R,15,FALSE)</f>
        <v>0</v>
      </c>
      <c r="L10">
        <f t="shared" si="0"/>
        <v>19.079766224737462</v>
      </c>
      <c r="M10">
        <f>COUNTIF(SectionGeometry!B:B,FaultGeometry!B10)</f>
        <v>3</v>
      </c>
      <c r="N10">
        <f>VLOOKUP(B10,Leonard2010!D:AO,38,FALSE)</f>
        <v>7.9670708025339401E-3</v>
      </c>
      <c r="O10">
        <v>7.7196851564620125E-2</v>
      </c>
      <c r="P10">
        <v>6.2864210413160787E-2</v>
      </c>
      <c r="Q10">
        <f>VLOOKUP(B10,Leonard2010!D:BG,56,FALSE)</f>
        <v>6.436088879948815</v>
      </c>
      <c r="R10">
        <f>VLOOKUP(B10,Leonard2010!D:BH,57,FALSE)</f>
        <v>6.8690739076282386</v>
      </c>
      <c r="S10">
        <f>VLOOKUP(B10,Leonard2010!D:BI,58,FALSE)</f>
        <v>7.3569076339011916</v>
      </c>
      <c r="T10">
        <v>3110.9740035285754</v>
      </c>
      <c r="U10">
        <v>12384.1982786347</v>
      </c>
      <c r="V10">
        <v>49299.147736555475</v>
      </c>
      <c r="W10">
        <f>VLOOKUP(B10,Leonard2010!D:CE,80,FALSE)</f>
        <v>0</v>
      </c>
      <c r="X10" t="str">
        <f>IF(W10=0,"NA",MIN(((17.5*(VLOOKUP(B10,Leonard2010!D:K,8,FALSE)*1000)^(2/3))/1000),(35-FaultGeometry!K8)/SIN(RADIANS(FaultGeometry!H8))))</f>
        <v>NA</v>
      </c>
      <c r="Y10">
        <f t="shared" si="1"/>
        <v>1822816557066231</v>
      </c>
      <c r="Z10">
        <f>VLOOKUP(A10,Leonard2010!A:U,21,FALSE)</f>
        <v>686.87158409054859</v>
      </c>
    </row>
    <row r="11" spans="1:26" x14ac:dyDescent="0.2">
      <c r="A11">
        <f>VLOOKUP(B11,Leonard2010!D:CC,78,FALSE)</f>
        <v>310</v>
      </c>
      <c r="B11" t="s">
        <v>433</v>
      </c>
      <c r="C11">
        <v>0.25</v>
      </c>
      <c r="D11">
        <v>-15.813000000000001</v>
      </c>
      <c r="E11">
        <v>34.735999999999997</v>
      </c>
      <c r="F11">
        <v>95.1</v>
      </c>
      <c r="G11">
        <v>146</v>
      </c>
      <c r="H11">
        <f>VLOOKUP(B11,Leonard2010!D:N,11,FALSE)</f>
        <v>53</v>
      </c>
      <c r="I11" t="str">
        <f>VLOOKUP(B11,Leonard2010!D:P,13,FALSE)</f>
        <v>SW</v>
      </c>
      <c r="J11">
        <f>VLOOKUP(B11,Leonard2010!D:Q,14,FALSE)</f>
        <v>0</v>
      </c>
      <c r="K11">
        <f>VLOOKUP(B11,Leonard2010!D:R,15,FALSE)</f>
        <v>0</v>
      </c>
      <c r="L11">
        <f t="shared" si="0"/>
        <v>36.460704841292539</v>
      </c>
      <c r="M11">
        <f>COUNTIF(SectionGeometry!B:B,FaultGeometry!B11)</f>
        <v>5</v>
      </c>
      <c r="N11">
        <f>VLOOKUP(B11,Leonard2010!D:AO,38,FALSE)</f>
        <v>0.16019628803137001</v>
      </c>
      <c r="O11">
        <v>0.56971854103203423</v>
      </c>
      <c r="P11">
        <v>0.33123320733603856</v>
      </c>
      <c r="Q11">
        <f>VLOOKUP(B11,Leonard2010!D:BG,56,FALSE)</f>
        <v>7.1392189068990275</v>
      </c>
      <c r="R11">
        <f>VLOOKUP(B11,Leonard2010!D:BH,57,FALSE)</f>
        <v>7.5722039345784493</v>
      </c>
      <c r="S11">
        <f>VLOOKUP(B11,Leonard2010!D:BI,58,FALSE)</f>
        <v>7.985030068742681</v>
      </c>
      <c r="T11">
        <v>1173.6235469569745</v>
      </c>
      <c r="U11">
        <v>3770.2052660278787</v>
      </c>
      <c r="V11">
        <v>12111.590454060173</v>
      </c>
      <c r="W11">
        <f>VLOOKUP(B11,Leonard2010!D:CE,80,FALSE)</f>
        <v>0</v>
      </c>
      <c r="X11" t="str">
        <f>IF(W11=0,"NA",MIN(((17.5*(VLOOKUP(B11,Leonard2010!D:K,8,FALSE)*1000)^(2/3))/1000),(35-FaultGeometry!K25)/SIN(RADIANS(FaultGeometry!H25))))</f>
        <v>NA</v>
      </c>
      <c r="Y11">
        <f t="shared" si="1"/>
        <v>1.6977780516192224E+16</v>
      </c>
      <c r="Z11">
        <f>VLOOKUP(A11,Leonard2010!A:U,21,FALSE)</f>
        <v>3467.4130304069204</v>
      </c>
    </row>
    <row r="12" spans="1:26" x14ac:dyDescent="0.2">
      <c r="A12">
        <f>VLOOKUP(B12,Leonard2010!D:CC,78,FALSE)</f>
        <v>311</v>
      </c>
      <c r="B12" t="s">
        <v>434</v>
      </c>
      <c r="C12">
        <v>0.25</v>
      </c>
      <c r="D12">
        <v>-16.212</v>
      </c>
      <c r="E12">
        <v>34.966999999999999</v>
      </c>
      <c r="F12">
        <v>41.3</v>
      </c>
      <c r="G12">
        <v>139</v>
      </c>
      <c r="H12">
        <f>VLOOKUP(B12,Leonard2010!D:N,11,FALSE)</f>
        <v>53</v>
      </c>
      <c r="I12" t="str">
        <f>VLOOKUP(B12,Leonard2010!D:P,13,FALSE)</f>
        <v>SW</v>
      </c>
      <c r="J12">
        <f>VLOOKUP(B12,Leonard2010!D:Q,14,FALSE)</f>
        <v>0</v>
      </c>
      <c r="K12">
        <f>VLOOKUP(B12,Leonard2010!D:R,15,FALSE)</f>
        <v>0</v>
      </c>
      <c r="L12">
        <f t="shared" si="0"/>
        <v>20.909232083328909</v>
      </c>
      <c r="M12">
        <f>COUNTIF(SectionGeometry!B:B,FaultGeometry!B12)</f>
        <v>0</v>
      </c>
      <c r="N12">
        <f>VLOOKUP(B12,Leonard2010!D:AO,38,FALSE)</f>
        <v>0.13489329170608655</v>
      </c>
      <c r="O12">
        <v>0.5484177316712513</v>
      </c>
      <c r="P12">
        <v>0.3286883217415093</v>
      </c>
      <c r="Q12">
        <f>VLOOKUP(B12,Leonard2010!D:BG,56,FALSE)</f>
        <v>6.535501464764006</v>
      </c>
      <c r="R12">
        <f>VLOOKUP(B12,Leonard2010!D:BH,57,FALSE)</f>
        <v>6.9684864924434278</v>
      </c>
      <c r="S12">
        <f>VLOOKUP(B12,Leonard2010!D:BI,58,FALSE)</f>
        <v>7.4563202187163808</v>
      </c>
      <c r="T12">
        <v>578.05028498401407</v>
      </c>
      <c r="U12">
        <v>1950.2390642920582</v>
      </c>
      <c r="V12">
        <v>6579.7604580299612</v>
      </c>
      <c r="W12">
        <f>VLOOKUP(B12,Leonard2010!D:CE,80,FALSE)</f>
        <v>0</v>
      </c>
      <c r="X12" t="str">
        <f>IF(W12=0,"NA",MIN(((17.5*(VLOOKUP(B12,Leonard2010!D:K,8,FALSE)*1000)^(2/3))/1000),(35-FaultGeometry!K26)/SIN(RADIANS(FaultGeometry!H26))))</f>
        <v>NA</v>
      </c>
      <c r="Y12">
        <f t="shared" si="1"/>
        <v>4079264782438075</v>
      </c>
      <c r="Z12">
        <f>VLOOKUP(A12,Leonard2010!A:U,21,FALSE)</f>
        <v>863.55128504148388</v>
      </c>
    </row>
    <row r="13" spans="1:26" x14ac:dyDescent="0.2">
      <c r="A13">
        <f>VLOOKUP(B13,Leonard2010!D:CC,78,FALSE)</f>
        <v>312</v>
      </c>
      <c r="B13" t="s">
        <v>245</v>
      </c>
      <c r="C13">
        <v>0.5</v>
      </c>
      <c r="D13">
        <v>-15.813000000000001</v>
      </c>
      <c r="E13">
        <v>34.735999999999997</v>
      </c>
      <c r="F13">
        <v>73.099999999999994</v>
      </c>
      <c r="G13">
        <v>142</v>
      </c>
      <c r="H13">
        <f>VLOOKUP(B13,Leonard2010!D:N,11,FALSE)</f>
        <v>53</v>
      </c>
      <c r="I13" t="str">
        <f>VLOOKUP(B13,Leonard2010!D:P,13,FALSE)</f>
        <v>SW</v>
      </c>
      <c r="J13">
        <f>VLOOKUP(B13,Leonard2010!D:Q,14,FALSE)</f>
        <v>0</v>
      </c>
      <c r="K13">
        <f>VLOOKUP(B13,Leonard2010!D:R,15,FALSE)</f>
        <v>0</v>
      </c>
      <c r="L13">
        <f t="shared" si="0"/>
        <v>30.594941936601185</v>
      </c>
      <c r="M13">
        <f>COUNTIF(SectionGeometry!B:B,FaultGeometry!B13)</f>
        <v>3</v>
      </c>
      <c r="N13">
        <f>VLOOKUP(B13,Leonard2010!D:AO,38,FALSE)</f>
        <v>0.14600641789536803</v>
      </c>
      <c r="O13">
        <v>0.55557845276781259</v>
      </c>
      <c r="P13">
        <v>0.3252423541215107</v>
      </c>
      <c r="Q13">
        <f>VLOOKUP(B13,Leonard2010!D:BG,56,FALSE)</f>
        <v>6.9487803402664383</v>
      </c>
      <c r="R13">
        <f>VLOOKUP(B13,Leonard2010!D:BH,57,FALSE)</f>
        <v>7.3817653679458601</v>
      </c>
      <c r="S13">
        <f>VLOOKUP(B13,Leonard2010!D:BI,58,FALSE)</f>
        <v>7.8695990942188132</v>
      </c>
      <c r="T13">
        <v>1007.7708841374591</v>
      </c>
      <c r="U13">
        <v>3172.3014818893153</v>
      </c>
      <c r="V13">
        <v>9985.8974399824911</v>
      </c>
      <c r="W13">
        <f>VLOOKUP(B13,Leonard2010!D:CE,80,FALSE)</f>
        <v>0</v>
      </c>
      <c r="X13" t="str">
        <f>IF(W13=0,"NA",MIN(((17.5*(VLOOKUP(B13,Leonard2010!D:K,8,FALSE)*1000)^(2/3))/1000),(35-FaultGeometry!K27)/SIN(RADIANS(FaultGeometry!H27))))</f>
        <v>NA</v>
      </c>
      <c r="Y13">
        <f t="shared" si="1"/>
        <v>2.0904683765446204E+16</v>
      </c>
      <c r="Z13">
        <f>VLOOKUP(A13,Leonard2010!A:U,21,FALSE)</f>
        <v>2236.4902555655462</v>
      </c>
    </row>
    <row r="14" spans="1:26" x14ac:dyDescent="0.2">
      <c r="A14">
        <f>VLOOKUP(B14,Leonard2010!D:CC,78,FALSE)</f>
        <v>313</v>
      </c>
      <c r="B14" t="s">
        <v>4</v>
      </c>
      <c r="C14">
        <v>1</v>
      </c>
      <c r="D14">
        <v>-15.194000000000001</v>
      </c>
      <c r="E14">
        <v>35.298999999999999</v>
      </c>
      <c r="F14">
        <v>70.400000000000006</v>
      </c>
      <c r="G14">
        <v>205</v>
      </c>
      <c r="H14">
        <f>VLOOKUP(B14,Leonard2010!D:N,11,FALSE)</f>
        <v>53</v>
      </c>
      <c r="I14" t="str">
        <f>VLOOKUP(B14,Leonard2010!D:P,13,FALSE)</f>
        <v>NW</v>
      </c>
      <c r="J14">
        <f>VLOOKUP(B14,Leonard2010!D:Q,14,FALSE)</f>
        <v>0</v>
      </c>
      <c r="K14">
        <f>VLOOKUP(B14,Leonard2010!D:R,15,FALSE)</f>
        <v>0</v>
      </c>
      <c r="L14">
        <f t="shared" si="0"/>
        <v>29.836862629465084</v>
      </c>
      <c r="M14">
        <f>COUNTIF(SectionGeometry!B:B,FaultGeometry!B14)</f>
        <v>4</v>
      </c>
      <c r="N14">
        <f>VLOOKUP(B14,Leonard2010!D:AO,38,FALSE)</f>
        <v>7.7372618461397757E-2</v>
      </c>
      <c r="O14">
        <v>0.531749897333336</v>
      </c>
      <c r="P14">
        <v>0.35045279680560676</v>
      </c>
      <c r="Q14">
        <f>VLOOKUP(B14,Leonard2010!D:BG,56,FALSE)</f>
        <v>6.9215391439068554</v>
      </c>
      <c r="R14">
        <f>VLOOKUP(B14,Leonard2010!D:BH,57,FALSE)</f>
        <v>7.3545241715862799</v>
      </c>
      <c r="S14">
        <f>VLOOKUP(B14,Leonard2010!D:BI,58,FALSE)</f>
        <v>7.842357897859233</v>
      </c>
      <c r="T14">
        <v>941.85078309666574</v>
      </c>
      <c r="U14">
        <v>3302.3043972111655</v>
      </c>
      <c r="V14">
        <v>11578.494733513384</v>
      </c>
      <c r="W14">
        <f>VLOOKUP(B14,Leonard2010!D:CE,80,FALSE)</f>
        <v>0</v>
      </c>
      <c r="X14" t="str">
        <f>IF(W14=0,"NA",MIN(((17.5*(VLOOKUP(B14,Leonard2010!D:K,8,FALSE)*1000)^(2/3))/1000),(35-FaultGeometry!K6)/SIN(RADIANS(FaultGeometry!H6))))</f>
        <v>NA</v>
      </c>
      <c r="Y14">
        <f t="shared" si="1"/>
        <v>3.6556882643345824E+16</v>
      </c>
      <c r="Z14">
        <f>VLOOKUP(A14,Leonard2010!A:U,21,FALSE)</f>
        <v>2100.515129114342</v>
      </c>
    </row>
    <row r="15" spans="1:26" x14ac:dyDescent="0.2">
      <c r="A15">
        <f>VLOOKUP(B15,Leonard2010!D:CC,78,FALSE)</f>
        <v>314</v>
      </c>
      <c r="B15" t="s">
        <v>31</v>
      </c>
      <c r="C15">
        <v>1</v>
      </c>
      <c r="D15">
        <v>-15.057</v>
      </c>
      <c r="E15">
        <v>35.226999999999997</v>
      </c>
      <c r="F15">
        <v>80</v>
      </c>
      <c r="G15">
        <v>205</v>
      </c>
      <c r="H15">
        <f>VLOOKUP(B15,Leonard2010!D:N,11,FALSE)</f>
        <v>53</v>
      </c>
      <c r="I15" t="str">
        <f>VLOOKUP(B15,Leonard2010!D:P,13,FALSE)</f>
        <v>NW</v>
      </c>
      <c r="J15">
        <f>VLOOKUP(B15,Leonard2010!D:Q,14,FALSE)</f>
        <v>0</v>
      </c>
      <c r="K15">
        <f>VLOOKUP(B15,Leonard2010!D:R,15,FALSE)</f>
        <v>0</v>
      </c>
      <c r="L15">
        <f t="shared" si="0"/>
        <v>32.49112183528942</v>
      </c>
      <c r="M15">
        <f>COUNTIF(SectionGeometry!B:B,FaultGeometry!B15)</f>
        <v>5</v>
      </c>
      <c r="N15">
        <f>VLOOKUP(B15,Leonard2010!D:AO,38,FALSE)</f>
        <v>3.3612539154819483E-3</v>
      </c>
      <c r="O15">
        <v>4.0267063853132661E-2</v>
      </c>
      <c r="P15">
        <v>3.426780264833592E-2</v>
      </c>
      <c r="Q15">
        <f>VLOOKUP(B15,Leonard2010!D:BG,56,FALSE)</f>
        <v>7.0140680236565771</v>
      </c>
      <c r="R15">
        <f>VLOOKUP(B15,Leonard2010!D:BH,57,FALSE)</f>
        <v>7.4470530513359989</v>
      </c>
      <c r="S15">
        <f>VLOOKUP(B15,Leonard2010!D:BI,58,FALSE)</f>
        <v>7.9099395387972109</v>
      </c>
      <c r="T15">
        <v>11749.01352260054</v>
      </c>
      <c r="U15">
        <v>47905.436452085509</v>
      </c>
      <c r="V15">
        <v>195329.66212441982</v>
      </c>
      <c r="W15">
        <f>VLOOKUP(B15,Leonard2010!D:CE,80,FALSE)</f>
        <v>0</v>
      </c>
      <c r="X15" t="str">
        <f>IF(W15=0,"NA",MIN(((17.5*(VLOOKUP(B15,Leonard2010!D:K,8,FALSE)*1000)^(2/3))/1000),(35-FaultGeometry!K28)/SIN(RADIANS(FaultGeometry!H28))))</f>
        <v>NA</v>
      </c>
      <c r="Y15">
        <f t="shared" si="1"/>
        <v>3468923925608483</v>
      </c>
      <c r="Z15">
        <f>VLOOKUP(A15,Leonard2010!A:U,21,FALSE)</f>
        <v>2599.2897468231536</v>
      </c>
    </row>
    <row r="16" spans="1:26" x14ac:dyDescent="0.2">
      <c r="A16">
        <f>VLOOKUP(B16,Leonard2010!D:CC,78,FALSE)</f>
        <v>315</v>
      </c>
      <c r="B16" t="s">
        <v>283</v>
      </c>
      <c r="C16">
        <v>1</v>
      </c>
      <c r="D16">
        <v>-15.377000000000001</v>
      </c>
      <c r="E16">
        <v>35.002000000000002</v>
      </c>
      <c r="F16">
        <v>33.900000000000006</v>
      </c>
      <c r="G16">
        <v>2</v>
      </c>
      <c r="H16">
        <f>VLOOKUP(B16,Leonard2010!D:N,11,FALSE)</f>
        <v>53</v>
      </c>
      <c r="I16" t="str">
        <f>VLOOKUP(B16,Leonard2010!D:P,13,FALSE)</f>
        <v>E</v>
      </c>
      <c r="J16">
        <f>VLOOKUP(B16,Leonard2010!D:Q,14,FALSE)</f>
        <v>0</v>
      </c>
      <c r="K16">
        <f>VLOOKUP(B16,Leonard2010!D:R,15,FALSE)</f>
        <v>0</v>
      </c>
      <c r="L16">
        <f t="shared" si="0"/>
        <v>18.330367868609443</v>
      </c>
      <c r="M16">
        <f>COUNTIF(SectionGeometry!B:B,FaultGeometry!B16)</f>
        <v>3</v>
      </c>
      <c r="N16">
        <f>VLOOKUP(B16,Leonard2010!D:AO,38,FALSE)</f>
        <v>6.4158453640942546E-3</v>
      </c>
      <c r="O16">
        <v>4.8013656883190044E-2</v>
      </c>
      <c r="P16">
        <v>3.6049959761355048E-2</v>
      </c>
      <c r="Q16">
        <f>VLOOKUP(B16,Leonard2010!D:BG,56,FALSE)</f>
        <v>6.392584209008473</v>
      </c>
      <c r="R16">
        <f>VLOOKUP(B16,Leonard2010!D:BH,57,FALSE)</f>
        <v>6.6844446986664536</v>
      </c>
      <c r="S16">
        <f>VLOOKUP(B16,Leonard2010!D:BI,58,FALSE)</f>
        <v>7.0173764649536636</v>
      </c>
      <c r="T16">
        <v>4798.3273354706898</v>
      </c>
      <c r="U16">
        <v>16776.690013421954</v>
      </c>
      <c r="V16">
        <v>58657.383735751835</v>
      </c>
      <c r="W16">
        <f>VLOOKUP(B16,Leonard2010!D:CE,80,FALSE)</f>
        <v>603</v>
      </c>
      <c r="X16">
        <f>IF(W16=0,"NA",MIN(((17.5*(VLOOKUP(B16,Leonard2010!D:K,8,FALSE)*1000)^(2/3))/1000),(35-FaultGeometry!K30)/SIN(RADIANS(FaultGeometry!H30))))</f>
        <v>41.288375307262264</v>
      </c>
      <c r="Y16">
        <f t="shared" si="1"/>
        <v>711149268986581</v>
      </c>
      <c r="Z16">
        <f>VLOOKUP(A16,Leonard2010!A:U,21,FALSE)</f>
        <v>449</v>
      </c>
    </row>
    <row r="17" spans="1:26" x14ac:dyDescent="0.2">
      <c r="A17">
        <f>VLOOKUP(B17,Leonard2010!D:CC,78,FALSE)</f>
        <v>316</v>
      </c>
      <c r="B17" t="s">
        <v>6</v>
      </c>
      <c r="C17">
        <v>1</v>
      </c>
      <c r="D17">
        <v>-15.446</v>
      </c>
      <c r="E17">
        <v>34.954999999999998</v>
      </c>
      <c r="F17">
        <v>38.199999999999996</v>
      </c>
      <c r="G17">
        <v>1</v>
      </c>
      <c r="H17">
        <f>VLOOKUP(B17,Leonard2010!D:N,11,FALSE)</f>
        <v>53</v>
      </c>
      <c r="I17" t="str">
        <f>VLOOKUP(B17,Leonard2010!D:P,13,FALSE)</f>
        <v>E</v>
      </c>
      <c r="J17">
        <f>VLOOKUP(B17,Leonard2010!D:Q,14,FALSE)</f>
        <v>0</v>
      </c>
      <c r="K17">
        <f>VLOOKUP(B17,Leonard2010!D:R,15,FALSE)</f>
        <v>0</v>
      </c>
      <c r="L17">
        <f t="shared" si="0"/>
        <v>19.849380515196682</v>
      </c>
      <c r="M17">
        <f>COUNTIF(SectionGeometry!B:B,FaultGeometry!B17)</f>
        <v>6</v>
      </c>
      <c r="N17">
        <f>VLOOKUP(B17,Leonard2010!D:AO,38,FALSE)</f>
        <v>6.5634599841512958E-3</v>
      </c>
      <c r="O17">
        <v>4.787358236550928E-2</v>
      </c>
      <c r="P17">
        <v>3.6225835200355778E-2</v>
      </c>
      <c r="Q17">
        <f>VLOOKUP(B17,Leonard2010!D:BG,56,FALSE)</f>
        <v>6.479023650189518</v>
      </c>
      <c r="R17">
        <f>VLOOKUP(B17,Leonard2010!D:BH,57,FALSE)</f>
        <v>6.8146709818294182</v>
      </c>
      <c r="S17">
        <f>VLOOKUP(B17,Leonard2010!D:BI,58,FALSE)</f>
        <v>7.1476027481166282</v>
      </c>
      <c r="T17">
        <v>5561.2731795070567</v>
      </c>
      <c r="U17">
        <v>19376.79317916451</v>
      </c>
      <c r="V17">
        <v>67513.337645714535</v>
      </c>
      <c r="W17">
        <f>VLOOKUP(B17,Leonard2010!D:CE,80,FALSE)</f>
        <v>0</v>
      </c>
      <c r="X17" t="str">
        <f>IF(W17=0,"NA",MIN(((17.5*(VLOOKUP(B17,Leonard2010!D:K,8,FALSE)*1000)^(2/3))/1000),(35-FaultGeometry!K2)/SIN(RADIANS(FaultGeometry!H2))))</f>
        <v>NA</v>
      </c>
      <c r="Y17">
        <f t="shared" si="1"/>
        <v>965438400464690.25</v>
      </c>
      <c r="Z17">
        <f>VLOOKUP(A17,Leonard2010!A:U,21,FALSE)</f>
        <v>606</v>
      </c>
    </row>
    <row r="18" spans="1:26" x14ac:dyDescent="0.2">
      <c r="A18">
        <f>VLOOKUP(B18,Leonard2010!D:CC,78,FALSE)</f>
        <v>317</v>
      </c>
      <c r="B18" t="s">
        <v>7</v>
      </c>
      <c r="C18">
        <v>1</v>
      </c>
      <c r="D18">
        <v>-15.345000000000001</v>
      </c>
      <c r="E18">
        <v>34.902999999999999</v>
      </c>
      <c r="F18">
        <v>14.1</v>
      </c>
      <c r="G18">
        <v>360</v>
      </c>
      <c r="H18">
        <f>VLOOKUP(B18,Leonard2010!D:N,11,FALSE)</f>
        <v>53</v>
      </c>
      <c r="I18" t="str">
        <f>VLOOKUP(B18,Leonard2010!D:P,13,FALSE)</f>
        <v>E</v>
      </c>
      <c r="J18">
        <f>VLOOKUP(B18,Leonard2010!D:Q,14,FALSE)</f>
        <v>0</v>
      </c>
      <c r="K18">
        <f>VLOOKUP(B18,Leonard2010!D:R,15,FALSE)</f>
        <v>0</v>
      </c>
      <c r="L18">
        <f t="shared" si="0"/>
        <v>10.213724136857296</v>
      </c>
      <c r="M18">
        <f>COUNTIF(SectionGeometry!B:B,FaultGeometry!B18)</f>
        <v>0</v>
      </c>
      <c r="N18">
        <f>VLOOKUP(B18,Leonard2010!D:AO,38,FALSE)</f>
        <v>6.709075310715496E-3</v>
      </c>
      <c r="O18">
        <v>4.7943014128407603E-2</v>
      </c>
      <c r="P18">
        <v>3.6269781121626085E-2</v>
      </c>
      <c r="Q18">
        <f>VLOOKUP(B18,Leonard2010!D:BG,56,FALSE)</f>
        <v>5.7576165664289691</v>
      </c>
      <c r="R18">
        <f>VLOOKUP(B18,Leonard2010!D:BH,57,FALSE)</f>
        <v>6.1906015941083936</v>
      </c>
      <c r="S18">
        <f>VLOOKUP(B18,Leonard2010!D:BI,58,FALSE)</f>
        <v>6.6784353203813467</v>
      </c>
      <c r="T18">
        <v>2615.3546581840728</v>
      </c>
      <c r="U18">
        <v>9316.1641086742457</v>
      </c>
      <c r="V18">
        <v>33185.141230525143</v>
      </c>
      <c r="W18">
        <f>VLOOKUP(B18,Leonard2010!D:CE,80,FALSE)</f>
        <v>0</v>
      </c>
      <c r="X18" t="str">
        <f>IF(W18=0,"NA",MIN(((17.5*(VLOOKUP(B18,Leonard2010!D:K,8,FALSE)*1000)^(2/3))/1000),(35-FaultGeometry!K15)/SIN(RADIANS(FaultGeometry!H15))))</f>
        <v>NA</v>
      </c>
      <c r="Y18">
        <f t="shared" si="1"/>
        <v>232629753730571.59</v>
      </c>
      <c r="Z18">
        <f>VLOOKUP(A18,Leonard2010!A:U,21,FALSE)</f>
        <v>144.01351032968788</v>
      </c>
    </row>
    <row r="19" spans="1:26" x14ac:dyDescent="0.2">
      <c r="A19">
        <f>VLOOKUP(B19,Leonard2010!D:CC,78,FALSE)</f>
        <v>318</v>
      </c>
      <c r="B19" t="s">
        <v>246</v>
      </c>
      <c r="C19">
        <v>0.5</v>
      </c>
      <c r="D19">
        <v>-15.704000000000001</v>
      </c>
      <c r="E19">
        <v>34.667999999999999</v>
      </c>
      <c r="F19">
        <v>43.699999999999996</v>
      </c>
      <c r="G19">
        <v>16</v>
      </c>
      <c r="H19">
        <f>VLOOKUP(B19,Leonard2010!D:N,11,FALSE)</f>
        <v>53</v>
      </c>
      <c r="I19" t="str">
        <f>VLOOKUP(B19,Leonard2010!D:P,13,FALSE)</f>
        <v>E</v>
      </c>
      <c r="J19">
        <f>VLOOKUP(B19,Leonard2010!D:Q,14,FALSE)</f>
        <v>0</v>
      </c>
      <c r="K19">
        <f>VLOOKUP(B19,Leonard2010!D:R,15,FALSE)</f>
        <v>0</v>
      </c>
      <c r="L19">
        <f t="shared" si="0"/>
        <v>21.711625534424297</v>
      </c>
      <c r="M19">
        <f>COUNTIF(SectionGeometry!B:B,FaultGeometry!B19)</f>
        <v>6</v>
      </c>
      <c r="N19">
        <f>VLOOKUP(B19,Leonard2010!D:AO,38,FALSE)</f>
        <v>4.165516650274554E-3</v>
      </c>
      <c r="O19">
        <v>4.1693021289611776E-2</v>
      </c>
      <c r="P19">
        <v>3.4329274000792193E-2</v>
      </c>
      <c r="Q19">
        <f>VLOOKUP(B19,Leonard2010!D:BG,56,FALSE)</f>
        <v>6.5763871069540398</v>
      </c>
      <c r="R19">
        <f>VLOOKUP(B19,Leonard2010!D:BH,57,FALSE)</f>
        <v>7.0093721346334616</v>
      </c>
      <c r="S19">
        <f>VLOOKUP(B19,Leonard2010!D:BI,58,FALSE)</f>
        <v>7.4972058609064147</v>
      </c>
      <c r="T19">
        <v>6938.9774399522348</v>
      </c>
      <c r="U19">
        <v>27071.023631156891</v>
      </c>
      <c r="V19">
        <v>105612.1491646901</v>
      </c>
      <c r="W19">
        <f>VLOOKUP(B19,Leonard2010!D:CE,80,FALSE)</f>
        <v>0</v>
      </c>
      <c r="X19" t="str">
        <f>IF(W19=0,"NA",MIN(((17.5*(VLOOKUP(B19,Leonard2010!D:K,8,FALSE)*1000)^(2/3))/1000),(35-FaultGeometry!K3)/SIN(RADIANS(FaultGeometry!H3))))</f>
        <v>NA</v>
      </c>
      <c r="Y19">
        <f t="shared" si="1"/>
        <v>676898463542828.62</v>
      </c>
      <c r="Z19">
        <f>VLOOKUP(A19,Leonard2010!A:U,21,FALSE)</f>
        <v>948.79803585434172</v>
      </c>
    </row>
    <row r="20" spans="1:26" x14ac:dyDescent="0.2">
      <c r="A20">
        <f>VLOOKUP(B20,Leonard2010!D:CC,78,FALSE)</f>
        <v>319</v>
      </c>
      <c r="B20" t="s">
        <v>247</v>
      </c>
      <c r="C20">
        <v>0.5</v>
      </c>
      <c r="D20">
        <v>-15.741</v>
      </c>
      <c r="E20">
        <v>34.752000000000002</v>
      </c>
      <c r="F20">
        <v>48</v>
      </c>
      <c r="G20">
        <v>2</v>
      </c>
      <c r="H20">
        <f>VLOOKUP(B20,Leonard2010!D:N,11,FALSE)</f>
        <v>53</v>
      </c>
      <c r="I20" t="str">
        <f>VLOOKUP(B20,Leonard2010!D:P,13,FALSE)</f>
        <v>E</v>
      </c>
      <c r="J20">
        <f>VLOOKUP(B20,Leonard2010!D:Q,14,FALSE)</f>
        <v>0</v>
      </c>
      <c r="K20">
        <f>VLOOKUP(B20,Leonard2010!D:R,15,FALSE)</f>
        <v>0</v>
      </c>
      <c r="L20">
        <f t="shared" si="0"/>
        <v>23.113490742262371</v>
      </c>
      <c r="M20">
        <f>COUNTIF(SectionGeometry!B:B,FaultGeometry!B20)</f>
        <v>5</v>
      </c>
      <c r="N20">
        <f>VLOOKUP(B20,Leonard2010!D:AO,38,FALSE)</f>
        <v>6.4158453640942546E-3</v>
      </c>
      <c r="O20">
        <v>4.6711755229180384E-2</v>
      </c>
      <c r="P20">
        <v>3.5921162734259486E-2</v>
      </c>
      <c r="Q20">
        <f>VLOOKUP(B20,Leonard2010!D:BG,56,FALSE)</f>
        <v>6.6443201076293148</v>
      </c>
      <c r="R20">
        <f>VLOOKUP(B20,Leonard2010!D:BH,57,FALSE)</f>
        <v>7.0773051353087366</v>
      </c>
      <c r="S20">
        <f>VLOOKUP(B20,Leonard2010!D:BI,58,FALSE)</f>
        <v>7.5651388615816915</v>
      </c>
      <c r="T20">
        <v>7720.5416847760098</v>
      </c>
      <c r="U20">
        <v>27156.389924214156</v>
      </c>
      <c r="V20">
        <v>95520.43675512592</v>
      </c>
      <c r="W20">
        <f>VLOOKUP(B20,Leonard2010!D:CE,80,FALSE)</f>
        <v>0</v>
      </c>
      <c r="X20" t="str">
        <f>IF(W20=0,"NA",MIN(((17.5*(VLOOKUP(B20,Leonard2010!D:K,8,FALSE)*1000)^(2/3))/1000),(35-FaultGeometry!K4)/SIN(RADIANS(FaultGeometry!H4))))</f>
        <v>NA</v>
      </c>
      <c r="Y20">
        <f t="shared" si="1"/>
        <v>853209478433875.62</v>
      </c>
      <c r="Z20">
        <f>VLOOKUP(A20,Leonard2010!A:U,21,FALSE)</f>
        <v>1109.4475556285938</v>
      </c>
    </row>
    <row r="21" spans="1:26" x14ac:dyDescent="0.2">
      <c r="A21">
        <f>VLOOKUP(B21,Leonard2010!D:CC,78,FALSE)</f>
        <v>320</v>
      </c>
      <c r="B21" t="s">
        <v>248</v>
      </c>
      <c r="C21">
        <v>0.5</v>
      </c>
      <c r="D21">
        <v>-15.805</v>
      </c>
      <c r="E21">
        <v>34.651000000000003</v>
      </c>
      <c r="F21">
        <v>56.1</v>
      </c>
      <c r="G21">
        <v>358</v>
      </c>
      <c r="H21">
        <f>VLOOKUP(B21,Leonard2010!D:N,11,FALSE)</f>
        <v>53</v>
      </c>
      <c r="I21" t="str">
        <f>VLOOKUP(B21,Leonard2010!D:P,13,FALSE)</f>
        <v>E</v>
      </c>
      <c r="J21">
        <f>VLOOKUP(B21,Leonard2010!D:Q,14,FALSE)</f>
        <v>0</v>
      </c>
      <c r="K21">
        <f>VLOOKUP(B21,Leonard2010!D:R,15,FALSE)</f>
        <v>0</v>
      </c>
      <c r="L21">
        <f t="shared" si="0"/>
        <v>25.645625115947375</v>
      </c>
      <c r="M21">
        <f>COUNTIF(SectionGeometry!B:B,FaultGeometry!B21)</f>
        <v>3</v>
      </c>
      <c r="N21">
        <f>VLOOKUP(B21,Leonard2010!D:AO,38,FALSE)</f>
        <v>6.9941312825244637E-3</v>
      </c>
      <c r="O21">
        <v>4.7872386686597802E-2</v>
      </c>
      <c r="P21">
        <v>3.6531533613971066E-2</v>
      </c>
      <c r="Q21">
        <f>VLOOKUP(B21,Leonard2010!D:BG,56,FALSE)</f>
        <v>6.757189480763607</v>
      </c>
      <c r="R21">
        <f>VLOOKUP(B21,Leonard2010!D:BH,57,FALSE)</f>
        <v>7.1901745084430289</v>
      </c>
      <c r="S21">
        <f>VLOOKUP(B21,Leonard2010!D:BI,58,FALSE)</f>
        <v>7.6780082347159819</v>
      </c>
      <c r="T21">
        <v>8733.6626467051428</v>
      </c>
      <c r="U21">
        <v>30310.21309591932</v>
      </c>
      <c r="V21">
        <v>105191.72254342007</v>
      </c>
      <c r="W21">
        <f>VLOOKUP(B21,Leonard2010!D:CE,80,FALSE)</f>
        <v>0</v>
      </c>
      <c r="X21" t="str">
        <f>IF(W21=0,"NA",MIN(((17.5*(VLOOKUP(B21,Leonard2010!D:K,8,FALSE)*1000)^(2/3))/1000),(35-FaultGeometry!K16)/SIN(RADIANS(FaultGeometry!H16))))</f>
        <v>NA</v>
      </c>
      <c r="Y21">
        <f t="shared" si="1"/>
        <v>1128866999365297.8</v>
      </c>
      <c r="Z21">
        <f>VLOOKUP(A21,Leonard2010!A:U,21,FALSE)</f>
        <v>1438.7195690046478</v>
      </c>
    </row>
    <row r="22" spans="1:26" x14ac:dyDescent="0.2">
      <c r="A22">
        <f>VLOOKUP(B22,Leonard2010!D:CC,78,FALSE)</f>
        <v>321</v>
      </c>
      <c r="B22" t="s">
        <v>251</v>
      </c>
      <c r="C22">
        <v>0.5</v>
      </c>
      <c r="D22">
        <v>-15.782999999999999</v>
      </c>
      <c r="E22">
        <v>34.588000000000001</v>
      </c>
      <c r="F22">
        <v>51.2</v>
      </c>
      <c r="G22">
        <v>6</v>
      </c>
      <c r="H22">
        <f>VLOOKUP(B22,Leonard2010!D:N,11,FALSE)</f>
        <v>53</v>
      </c>
      <c r="I22" t="str">
        <f>VLOOKUP(B22,Leonard2010!D:P,13,FALSE)</f>
        <v>E</v>
      </c>
      <c r="J22">
        <f>VLOOKUP(B22,Leonard2010!D:Q,14,FALSE)</f>
        <v>0</v>
      </c>
      <c r="K22">
        <f>VLOOKUP(B22,Leonard2010!D:R,15,FALSE)</f>
        <v>0</v>
      </c>
      <c r="L22">
        <f t="shared" si="0"/>
        <v>24.129668528357076</v>
      </c>
      <c r="M22">
        <f>COUNTIF(SectionGeometry!B:B,FaultGeometry!B22)</f>
        <v>3</v>
      </c>
      <c r="N22">
        <f>VLOOKUP(B22,Leonard2010!D:AO,38,FALSE)</f>
        <v>5.806302091968701E-3</v>
      </c>
      <c r="O22">
        <v>4.6036352523392297E-2</v>
      </c>
      <c r="P22">
        <v>3.5722367309342473E-2</v>
      </c>
      <c r="Q22">
        <f>VLOOKUP(B22,Leonard2010!D:BG,56,FALSE)</f>
        <v>6.6910346469630539</v>
      </c>
      <c r="R22">
        <f>VLOOKUP(B22,Leonard2010!D:BH,57,FALSE)</f>
        <v>7.1240196746424758</v>
      </c>
      <c r="S22">
        <f>VLOOKUP(B22,Leonard2010!D:BI,58,FALSE)</f>
        <v>7.6118534009154288</v>
      </c>
      <c r="T22">
        <v>7889.469990765183</v>
      </c>
      <c r="U22">
        <v>28573.513624266467</v>
      </c>
      <c r="V22">
        <v>103485.49164795746</v>
      </c>
      <c r="W22">
        <f>VLOOKUP(B22,Leonard2010!D:CE,80,FALSE)</f>
        <v>0</v>
      </c>
      <c r="X22" t="str">
        <f>IF(W22=0,"NA",MIN(((17.5*(VLOOKUP(B22,Leonard2010!D:K,8,FALSE)*1000)^(2/3))/1000),(35-FaultGeometry!K17)/SIN(RADIANS(FaultGeometry!H17))))</f>
        <v>NA</v>
      </c>
      <c r="Y22">
        <f t="shared" si="1"/>
        <v>952874858669365.25</v>
      </c>
      <c r="Z22">
        <f>VLOOKUP(A22,Leonard2010!A:U,21,FALSE)</f>
        <v>1235.4390286518824</v>
      </c>
    </row>
    <row r="23" spans="1:26" x14ac:dyDescent="0.2">
      <c r="A23">
        <f>VLOOKUP(B23,Leonard2010!D:CC,78,FALSE)</f>
        <v>322</v>
      </c>
      <c r="B23" t="s">
        <v>218</v>
      </c>
      <c r="C23">
        <v>1</v>
      </c>
      <c r="D23">
        <v>-15.048</v>
      </c>
      <c r="E23">
        <v>34.799999999999997</v>
      </c>
      <c r="F23">
        <v>14</v>
      </c>
      <c r="G23">
        <v>9</v>
      </c>
      <c r="H23">
        <f>VLOOKUP(B23,Leonard2010!D:N,11,FALSE)</f>
        <v>53</v>
      </c>
      <c r="I23" t="str">
        <f>VLOOKUP(B23,Leonard2010!D:P,13,FALSE)</f>
        <v>E</v>
      </c>
      <c r="J23">
        <f>VLOOKUP(B23,Leonard2010!D:Q,14,FALSE)</f>
        <v>0</v>
      </c>
      <c r="K23">
        <f>VLOOKUP(B23,Leonard2010!D:R,15,FALSE)</f>
        <v>0</v>
      </c>
      <c r="L23">
        <f t="shared" si="0"/>
        <v>10.165375033736478</v>
      </c>
      <c r="M23">
        <f>COUNTIF(SectionGeometry!B:B,FaultGeometry!B23)</f>
        <v>0</v>
      </c>
      <c r="N23">
        <f>VLOOKUP(B23,Leonard2010!D:AO,38,FALSE)</f>
        <v>5.59749774112305E-3</v>
      </c>
      <c r="O23">
        <v>4.0497100421336529E-2</v>
      </c>
      <c r="P23">
        <v>3.0207736536341054E-2</v>
      </c>
      <c r="Q23">
        <f>VLOOKUP(B23,Leonard2010!D:BG,56,FALSE)</f>
        <v>5.7524647714670678</v>
      </c>
      <c r="R23">
        <f>VLOOKUP(B23,Leonard2010!D:BH,57,FALSE)</f>
        <v>6.1854497991464896</v>
      </c>
      <c r="S23">
        <f>VLOOKUP(B23,Leonard2010!D:BI,58,FALSE)</f>
        <v>6.6732835254194427</v>
      </c>
      <c r="T23">
        <v>3352.612341596212</v>
      </c>
      <c r="U23">
        <v>11274.926950422294</v>
      </c>
      <c r="V23">
        <v>37917.887541043288</v>
      </c>
      <c r="W23">
        <f>VLOOKUP(B23,Leonard2010!D:CE,80,FALSE)</f>
        <v>0</v>
      </c>
      <c r="X23" t="str">
        <f>IF(W23=0,"NA",MIN(((17.5*(VLOOKUP(B23,Leonard2010!D:K,8,FALSE)*1000)^(2/3))/1000),(35-FaultGeometry!K18)/SIN(RADIANS(FaultGeometry!H18))))</f>
        <v>NA</v>
      </c>
      <c r="Y23">
        <f t="shared" si="1"/>
        <v>188825638509606.5</v>
      </c>
      <c r="Z23">
        <f>VLOOKUP(A23,Leonard2010!A:U,21,FALSE)</f>
        <v>142.31525047231068</v>
      </c>
    </row>
    <row r="24" spans="1:26" x14ac:dyDescent="0.2">
      <c r="A24">
        <f>VLOOKUP(B24,Leonard2010!D:CC,78,FALSE)</f>
        <v>323</v>
      </c>
      <c r="B24" t="s">
        <v>432</v>
      </c>
      <c r="C24">
        <v>1</v>
      </c>
      <c r="D24">
        <v>-14.756</v>
      </c>
      <c r="E24">
        <v>35.347000000000001</v>
      </c>
      <c r="F24">
        <v>15.8</v>
      </c>
      <c r="G24">
        <v>173</v>
      </c>
      <c r="H24">
        <f>VLOOKUP(B24,Leonard2010!D:N,11,FALSE)</f>
        <v>53</v>
      </c>
      <c r="I24" t="str">
        <f>VLOOKUP(B24,Leonard2010!D:P,13,FALSE)</f>
        <v>W</v>
      </c>
      <c r="J24">
        <f>VLOOKUP(B24,Leonard2010!D:Q,14,FALSE)</f>
        <v>0</v>
      </c>
      <c r="K24">
        <f>VLOOKUP(B24,Leonard2010!D:R,15,FALSE)</f>
        <v>0</v>
      </c>
      <c r="L24">
        <f t="shared" si="0"/>
        <v>11.019014976135782</v>
      </c>
      <c r="M24">
        <f>COUNTIF(SectionGeometry!B:B,FaultGeometry!B24)</f>
        <v>0</v>
      </c>
      <c r="N24">
        <f>VLOOKUP(B24,Leonard2010!D:AO,38,FALSE)</f>
        <v>7.4281303913892862E-3</v>
      </c>
      <c r="O24">
        <v>4.4988342061620452E-2</v>
      </c>
      <c r="P24">
        <v>3.1731778930475907E-2</v>
      </c>
      <c r="Q24">
        <f>VLOOKUP(B24,Leonard2010!D:BG,56,FALSE)</f>
        <v>5.8400131902607084</v>
      </c>
      <c r="R24">
        <f>VLOOKUP(B24,Leonard2010!D:BH,57,FALSE)</f>
        <v>6.2729982179401302</v>
      </c>
      <c r="S24">
        <f>VLOOKUP(B24,Leonard2010!D:BI,58,FALSE)</f>
        <v>6.7608319442130833</v>
      </c>
      <c r="T24">
        <v>3460.7636828246059</v>
      </c>
      <c r="U24">
        <v>11091.953459891443</v>
      </c>
      <c r="V24">
        <v>35550.370621082671</v>
      </c>
      <c r="W24">
        <f>VLOOKUP(B24,Leonard2010!D:CE,80,FALSE)</f>
        <v>604</v>
      </c>
      <c r="X24">
        <f>IF(W24=0,"NA",MIN(((17.5*(VLOOKUP(B24,Leonard2010!D:K,8,FALSE)*1000)^(2/3))/1000),(35-FaultGeometry!K31)/SIN(RADIANS(FaultGeometry!H31))))</f>
        <v>15.437331949194247</v>
      </c>
      <c r="Y24">
        <f t="shared" si="1"/>
        <v>259710368368312.78</v>
      </c>
      <c r="Z24">
        <f>VLOOKUP(A24,Leonard2010!A:U,21,FALSE)</f>
        <v>174.10043662294538</v>
      </c>
    </row>
    <row r="25" spans="1:26" x14ac:dyDescent="0.2">
      <c r="A25">
        <f>VLOOKUP(B25,Leonard2010!D:CC,78,FALSE)</f>
        <v>324</v>
      </c>
      <c r="B25" t="s">
        <v>436</v>
      </c>
      <c r="C25">
        <v>1</v>
      </c>
      <c r="D25">
        <v>-14.605</v>
      </c>
      <c r="E25">
        <v>35.357999999999997</v>
      </c>
      <c r="F25">
        <v>10.4</v>
      </c>
      <c r="G25">
        <v>168</v>
      </c>
      <c r="H25">
        <f>VLOOKUP(B25,Leonard2010!D:N,11,FALSE)</f>
        <v>53</v>
      </c>
      <c r="I25" t="str">
        <f>VLOOKUP(B25,Leonard2010!D:P,13,FALSE)</f>
        <v>W</v>
      </c>
      <c r="J25">
        <f>VLOOKUP(B25,Leonard2010!D:Q,14,FALSE)</f>
        <v>0</v>
      </c>
      <c r="K25">
        <f>VLOOKUP(B25,Leonard2010!D:R,15,FALSE)</f>
        <v>0</v>
      </c>
      <c r="L25">
        <f t="shared" si="0"/>
        <v>8.3379689763750289</v>
      </c>
      <c r="M25">
        <f>COUNTIF(SectionGeometry!B:B,FaultGeometry!B25)</f>
        <v>0</v>
      </c>
      <c r="N25">
        <f>VLOOKUP(B25,Leonard2010!D:AO,38,FALSE)</f>
        <v>7.8877181857920885E-3</v>
      </c>
      <c r="O25">
        <v>4.423746775041993E-2</v>
      </c>
      <c r="P25">
        <v>3.1327986860615747E-2</v>
      </c>
      <c r="Q25">
        <f>VLOOKUP(B25,Leonard2010!D:BG,56,FALSE)</f>
        <v>5.5373069441679705</v>
      </c>
      <c r="R25">
        <f>VLOOKUP(B25,Leonard2010!D:BH,57,FALSE)</f>
        <v>5.9702919718473924</v>
      </c>
      <c r="S25">
        <f>VLOOKUP(B25,Leonard2010!D:BI,58,FALSE)</f>
        <v>6.4581256981203454</v>
      </c>
      <c r="T25">
        <v>2297.9390792810705</v>
      </c>
      <c r="U25">
        <v>7567.8591653325011</v>
      </c>
      <c r="V25">
        <v>24923.416317992778</v>
      </c>
      <c r="W25">
        <f>VLOOKUP(B25,Leonard2010!D:CE,80,FALSE)</f>
        <v>604</v>
      </c>
      <c r="X25">
        <f>IF(W25=0,"NA",MIN(((17.5*(VLOOKUP(B25,Leonard2010!D:K,8,FALSE)*1000)^(2/3))/1000),(35-FaultGeometry!K32)/SIN(RADIANS(FaultGeometry!H32))))</f>
        <v>15.437331949194247</v>
      </c>
      <c r="Y25">
        <f t="shared" si="1"/>
        <v>133802712079038.83</v>
      </c>
      <c r="Z25">
        <f>VLOOKUP(A25,Leonard2010!A:U,21,FALSE)</f>
        <v>86.714877354300299</v>
      </c>
    </row>
    <row r="26" spans="1:26" x14ac:dyDescent="0.2">
      <c r="A26">
        <f>VLOOKUP(B26,Leonard2010!D:CC,78,FALSE)</f>
        <v>325</v>
      </c>
      <c r="B26" s="13" t="s">
        <v>235</v>
      </c>
      <c r="C26">
        <v>1</v>
      </c>
      <c r="D26">
        <v>-14.936</v>
      </c>
      <c r="E26">
        <v>35.043999999999997</v>
      </c>
      <c r="F26">
        <v>13.9</v>
      </c>
      <c r="G26">
        <v>197</v>
      </c>
      <c r="H26">
        <f>VLOOKUP(B26,Leonard2010!D:N,11,FALSE)</f>
        <v>53</v>
      </c>
      <c r="I26" t="str">
        <f>VLOOKUP(B26,Leonard2010!D:P,13,FALSE)</f>
        <v>W</v>
      </c>
      <c r="J26">
        <f>VLOOKUP(B26,Leonard2010!D:Q,14,FALSE)</f>
        <v>0</v>
      </c>
      <c r="K26">
        <f>VLOOKUP(B26,Leonard2010!D:R,15,FALSE)</f>
        <v>0</v>
      </c>
      <c r="L26">
        <f t="shared" si="0"/>
        <v>10.11691067540592</v>
      </c>
      <c r="M26">
        <f>COUNTIF(SectionGeometry!B:B,FaultGeometry!B26)</f>
        <v>0</v>
      </c>
      <c r="N26">
        <f>VLOOKUP(B26,Leonard2010!D:AO,38,FALSE)</f>
        <v>4.5092273369818723E-3</v>
      </c>
      <c r="O26">
        <v>3.7329078005964467E-2</v>
      </c>
      <c r="P26">
        <v>2.9526474564144138E-2</v>
      </c>
      <c r="Q26">
        <f>VLOOKUP(B26,Leonard2010!D:BG,56,FALSE)</f>
        <v>5.7472760457601622</v>
      </c>
      <c r="R26">
        <f>VLOOKUP(B26,Leonard2010!D:BH,57,FALSE)</f>
        <v>6.180261073439584</v>
      </c>
      <c r="S26">
        <f>VLOOKUP(B26,Leonard2010!D:BI,58,FALSE)</f>
        <v>6.668094799712537</v>
      </c>
      <c r="T26">
        <v>3176.3444340858391</v>
      </c>
      <c r="U26">
        <v>11691.11348766375</v>
      </c>
      <c r="V26">
        <v>43031.269882030523</v>
      </c>
      <c r="W26">
        <f>VLOOKUP(B26,Leonard2010!D:CE,80,FALSE)</f>
        <v>0</v>
      </c>
      <c r="X26" t="str">
        <f>IF(W26=0,"NA",MIN(((17.5*(VLOOKUP(B26,Leonard2010!D:K,8,FALSE)*1000)^(2/3))/1000),(35-FaultGeometry!K33)/SIN(RADIANS(FaultGeometry!H33))))</f>
        <v>NA</v>
      </c>
      <c r="Y26">
        <f t="shared" si="1"/>
        <v>178869269712004.28</v>
      </c>
      <c r="Z26">
        <f>VLOOKUP(A26,Leonard2010!A:U,21,FALSE)</f>
        <v>140.62505838814229</v>
      </c>
    </row>
    <row r="27" spans="1:26" x14ac:dyDescent="0.2">
      <c r="A27">
        <f>VLOOKUP(B27,Leonard2010!D:CC,78,FALSE)</f>
        <v>326</v>
      </c>
      <c r="B27" s="13" t="s">
        <v>236</v>
      </c>
      <c r="C27">
        <v>1</v>
      </c>
      <c r="D27">
        <v>-14.111000000000001</v>
      </c>
      <c r="E27">
        <v>34.665999999999997</v>
      </c>
      <c r="F27">
        <v>86.8</v>
      </c>
      <c r="G27">
        <v>172</v>
      </c>
      <c r="H27">
        <f>VLOOKUP(B27,Leonard2010!D:N,11,FALSE)</f>
        <v>53</v>
      </c>
      <c r="I27" t="str">
        <f>VLOOKUP(B27,Leonard2010!D:P,13,FALSE)</f>
        <v>W</v>
      </c>
      <c r="J27">
        <f>VLOOKUP(B27,Leonard2010!D:Q,14,FALSE)</f>
        <v>0</v>
      </c>
      <c r="K27">
        <f>VLOOKUP(B27,Leonard2010!D:R,15,FALSE)</f>
        <v>0</v>
      </c>
      <c r="L27">
        <f t="shared" si="0"/>
        <v>34.307141370183437</v>
      </c>
      <c r="M27">
        <f>COUNTIF(SectionGeometry!B:B,FaultGeometry!B27)</f>
        <v>4</v>
      </c>
      <c r="N27">
        <f>VLOOKUP(B27,Leonard2010!D:AO,38,FALSE)</f>
        <v>7.5246888567615773E-3</v>
      </c>
      <c r="O27">
        <v>4.3898692952988552E-2</v>
      </c>
      <c r="P27">
        <v>3.1521933308519906E-2</v>
      </c>
      <c r="Q27">
        <f>VLOOKUP(B27,Leonard2010!D:BG,56,FALSE)</f>
        <v>6.7338817434948979</v>
      </c>
      <c r="R27">
        <f>VLOOKUP(B27,Leonard2010!D:BH,57,FALSE)</f>
        <v>7.0030099685356504</v>
      </c>
      <c r="S27">
        <f>VLOOKUP(B27,Leonard2010!D:BI,58,FALSE)</f>
        <v>7.3359417348228604</v>
      </c>
      <c r="T27">
        <v>8203.7822622057392</v>
      </c>
      <c r="U27">
        <v>26499.077149924058</v>
      </c>
      <c r="V27">
        <v>85594.798515389601</v>
      </c>
      <c r="W27">
        <f>VLOOKUP(B27,Leonard2010!D:CE,80,FALSE)</f>
        <v>0</v>
      </c>
      <c r="X27" t="str">
        <f>IF(W27=0,"NA",MIN(((17.5*(VLOOKUP(B27,Leonard2010!D:K,8,FALSE)*1000)^(2/3))/1000),(35-FaultGeometry!K36)/SIN(RADIANS(FaultGeometry!H36))))</f>
        <v>NA</v>
      </c>
      <c r="Y27">
        <f t="shared" si="1"/>
        <v>1352957651922889.8</v>
      </c>
      <c r="Z27">
        <f>VLOOKUP(A27,Leonard2010!A:U,21,FALSE)</f>
        <v>935</v>
      </c>
    </row>
    <row r="28" spans="1:26" x14ac:dyDescent="0.2">
      <c r="A28">
        <f>VLOOKUP(B28,Leonard2010!D:CC,78,FALSE)</f>
        <v>327</v>
      </c>
      <c r="B28" t="s">
        <v>256</v>
      </c>
      <c r="C28">
        <v>0.5</v>
      </c>
      <c r="D28">
        <v>-14.962999999999999</v>
      </c>
      <c r="E28">
        <v>34.731000000000002</v>
      </c>
      <c r="F28">
        <v>106.8</v>
      </c>
      <c r="G28">
        <v>342</v>
      </c>
      <c r="H28">
        <f>VLOOKUP(B28,Leonard2010!D:N,11,FALSE)</f>
        <v>53</v>
      </c>
      <c r="I28" t="str">
        <f>VLOOKUP(B28,Leonard2010!D:P,13,FALSE)</f>
        <v>E</v>
      </c>
      <c r="J28">
        <f>VLOOKUP(B28,Leonard2010!D:Q,14,FALSE)</f>
        <v>0</v>
      </c>
      <c r="K28">
        <f>VLOOKUP(B28,Leonard2010!D:R,15,FALSE)</f>
        <v>0</v>
      </c>
      <c r="L28">
        <f t="shared" si="0"/>
        <v>39.392984377048187</v>
      </c>
      <c r="M28">
        <f>COUNTIF(SectionGeometry!B:B,FaultGeometry!B28)</f>
        <v>7</v>
      </c>
      <c r="N28">
        <f>VLOOKUP(B28,Leonard2010!D:AO,38,FALSE)</f>
        <v>0.16424638689384161</v>
      </c>
      <c r="O28">
        <v>0.41759882124932673</v>
      </c>
      <c r="P28">
        <v>0.19241945979032948</v>
      </c>
      <c r="Q28">
        <f>VLOOKUP(B28,Leonard2010!D:BG,56,FALSE)</f>
        <v>7.2232034664909008</v>
      </c>
      <c r="R28">
        <f>VLOOKUP(B28,Leonard2010!D:BH,57,FALSE)</f>
        <v>7.6561884941703227</v>
      </c>
      <c r="S28">
        <f>VLOOKUP(B28,Leonard2010!D:BI,58,FALSE)</f>
        <v>8.0354208044978037</v>
      </c>
      <c r="T28">
        <v>2072.1097207055332</v>
      </c>
      <c r="U28">
        <v>5613.4861494231027</v>
      </c>
      <c r="V28">
        <v>15207.315729900496</v>
      </c>
      <c r="W28">
        <f>VLOOKUP(B28,Leonard2010!D:CE,80,FALSE)</f>
        <v>0</v>
      </c>
      <c r="X28" t="str">
        <f>IF(W28=0,"NA",MIN(((17.5*(VLOOKUP(B28,Leonard2010!D:K,8,FALSE)*1000)^(2/3))/1000),(35-FaultGeometry!K19)/SIN(RADIANS(FaultGeometry!H19))))</f>
        <v>NA</v>
      </c>
      <c r="Y28">
        <f t="shared" si="1"/>
        <v>3.0480359864979196E+16</v>
      </c>
      <c r="Z28">
        <f>VLOOKUP(A28,Leonard2010!A:U,21,FALSE)</f>
        <v>4207.1707314687465</v>
      </c>
    </row>
    <row r="29" spans="1:26" x14ac:dyDescent="0.2">
      <c r="A29">
        <f>VLOOKUP(B29,Leonard2010!D:CC,78,FALSE)</f>
        <v>328</v>
      </c>
      <c r="B29" t="s">
        <v>258</v>
      </c>
      <c r="C29">
        <v>0.5</v>
      </c>
      <c r="D29">
        <v>-15.081</v>
      </c>
      <c r="E29">
        <v>34.781999999999996</v>
      </c>
      <c r="F29">
        <v>121.4</v>
      </c>
      <c r="G29">
        <v>342</v>
      </c>
      <c r="H29">
        <f>VLOOKUP(B29,Leonard2010!D:N,11,FALSE)</f>
        <v>53</v>
      </c>
      <c r="I29" t="str">
        <f>VLOOKUP(B29,Leonard2010!D:P,13,FALSE)</f>
        <v>E</v>
      </c>
      <c r="J29">
        <f>VLOOKUP(B29,Leonard2010!D:Q,14,FALSE)</f>
        <v>0</v>
      </c>
      <c r="K29">
        <f>VLOOKUP(B29,Leonard2010!D:R,15,FALSE)</f>
        <v>0</v>
      </c>
      <c r="L29">
        <f t="shared" si="0"/>
        <v>42.905915506357459</v>
      </c>
      <c r="M29">
        <f>COUNTIF(SectionGeometry!B:B,FaultGeometry!B29)</f>
        <v>8</v>
      </c>
      <c r="N29">
        <f>VLOOKUP(B29,Leonard2010!D:AO,38,FALSE)</f>
        <v>0.16424638689384161</v>
      </c>
      <c r="O29">
        <v>0.41722655058130304</v>
      </c>
      <c r="P29">
        <v>0.19161900085055961</v>
      </c>
      <c r="Q29">
        <f>VLOOKUP(B29,Leonard2010!D:BG,56,FALSE)</f>
        <v>7.3159491899020681</v>
      </c>
      <c r="R29">
        <f>VLOOKUP(B29,Leonard2010!D:BH,57,FALSE)</f>
        <v>7.7489342175814899</v>
      </c>
      <c r="S29">
        <f>VLOOKUP(B29,Leonard2010!D:BI,58,FALSE)</f>
        <v>8.0910682385445067</v>
      </c>
      <c r="T29">
        <v>2509.0861399361665</v>
      </c>
      <c r="U29">
        <v>6530.8301007309383</v>
      </c>
      <c r="V29">
        <v>16998.914913976758</v>
      </c>
      <c r="W29">
        <f>VLOOKUP(B29,Leonard2010!D:CE,80,FALSE)</f>
        <v>0</v>
      </c>
      <c r="X29" t="str">
        <f>IF(W29=0,"NA",MIN(((17.5*(VLOOKUP(B29,Leonard2010!D:K,8,FALSE)*1000)^(2/3))/1000),(35-FaultGeometry!K20)/SIN(RADIANS(FaultGeometry!H20))))</f>
        <v>NA</v>
      </c>
      <c r="Y29">
        <f>C29*10^(R29*1.5+9.05)/U29</f>
        <v>3.6091334855900592E+16</v>
      </c>
      <c r="Z29">
        <f>VLOOKUP(A29,Leonard2010!A:U,21,FALSE)</f>
        <v>5208.7781424717959</v>
      </c>
    </row>
    <row r="30" spans="1:26" x14ac:dyDescent="0.2">
      <c r="A30">
        <f>VLOOKUP(B30,Leonard2010!D:CC,78,FALSE)</f>
        <v>329</v>
      </c>
      <c r="B30" t="s">
        <v>261</v>
      </c>
      <c r="C30">
        <v>0.5</v>
      </c>
      <c r="D30">
        <v>-14.927</v>
      </c>
      <c r="E30">
        <v>34.942</v>
      </c>
      <c r="F30">
        <v>135.79999999999998</v>
      </c>
      <c r="G30">
        <v>329</v>
      </c>
      <c r="H30">
        <f>VLOOKUP(B30,Leonard2010!D:N,11,FALSE)</f>
        <v>42</v>
      </c>
      <c r="I30" t="str">
        <f>VLOOKUP(B30,Leonard2010!D:P,13,FALSE)</f>
        <v>NE</v>
      </c>
      <c r="J30">
        <f>VLOOKUP(B30,Leonard2010!D:Q,14,FALSE)</f>
        <v>0</v>
      </c>
      <c r="K30">
        <f>VLOOKUP(B30,Leonard2010!D:R,15,FALSE)</f>
        <v>0</v>
      </c>
      <c r="L30">
        <f t="shared" si="0"/>
        <v>46.235039037254246</v>
      </c>
      <c r="M30">
        <f>COUNTIF(SectionGeometry!B:B,FaultGeometry!B30)</f>
        <v>8</v>
      </c>
      <c r="N30">
        <f>VLOOKUP(B30,Leonard2010!D:AO,38,FALSE)</f>
        <v>7.2358786265286626E-3</v>
      </c>
      <c r="O30">
        <v>3.3067969765131766E-2</v>
      </c>
      <c r="P30">
        <v>2.1259443000325607E-2</v>
      </c>
      <c r="Q30">
        <f>VLOOKUP(B30,Leonard2010!D:BG,56,FALSE)</f>
        <v>7.397084328577475</v>
      </c>
      <c r="R30">
        <f>VLOOKUP(B30,Leonard2010!D:BH,57,FALSE)</f>
        <v>7.7431614766584076</v>
      </c>
      <c r="S30">
        <f>VLOOKUP(B30,Leonard2010!D:BI,58,FALSE)</f>
        <v>8.0760932429456176</v>
      </c>
      <c r="T30">
        <v>26473.930783679571</v>
      </c>
      <c r="U30">
        <v>83048.582586118311</v>
      </c>
      <c r="V30">
        <v>260522.96978184892</v>
      </c>
      <c r="W30">
        <f>VLOOKUP(B30,Leonard2010!D:CE,80,FALSE)</f>
        <v>0</v>
      </c>
      <c r="X30" t="str">
        <f>IF(W30=0,"NA",MIN(((17.5*(VLOOKUP(B30,Leonard2010!D:K,8,FALSE)*1000)^(2/3))/1000),(35-FaultGeometry!K9)/SIN(RADIANS(FaultGeometry!H9))))</f>
        <v>NA</v>
      </c>
      <c r="Y30">
        <f>C30*10^(R30*1.5+9.05)/U30</f>
        <v>2782146498195880</v>
      </c>
      <c r="Z30">
        <f>VLOOKUP(A30,Leonard2010!A:U,21,FALSE)</f>
        <v>5140</v>
      </c>
    </row>
    <row r="31" spans="1:26" x14ac:dyDescent="0.2">
      <c r="A31">
        <f>VLOOKUP(B31,Leonard2010!D:CC,78,FALSE)</f>
        <v>330</v>
      </c>
      <c r="B31" t="s">
        <v>264</v>
      </c>
      <c r="C31">
        <v>0.5</v>
      </c>
      <c r="D31">
        <v>-14.927</v>
      </c>
      <c r="E31">
        <v>34.942</v>
      </c>
      <c r="F31">
        <v>140.89999999999998</v>
      </c>
      <c r="G31">
        <v>329</v>
      </c>
      <c r="H31">
        <f>VLOOKUP(B31,Leonard2010!D:N,11,FALSE)</f>
        <v>42</v>
      </c>
      <c r="I31" t="str">
        <f>VLOOKUP(B31,Leonard2010!D:P,13,FALSE)</f>
        <v>NE</v>
      </c>
      <c r="J31">
        <f>VLOOKUP(B31,Leonard2010!D:Q,14,FALSE)</f>
        <v>0</v>
      </c>
      <c r="K31">
        <f>VLOOKUP(B31,Leonard2010!D:R,15,FALSE)</f>
        <v>0</v>
      </c>
      <c r="L31">
        <f>MIN((((F31*1000)^(2/3)*17.5)/1000),((35-K31)/SIN(RADIANS(H31))))</f>
        <v>47.385490166386099</v>
      </c>
      <c r="M31">
        <f>COUNTIF(SectionGeometry!B:B,FaultGeometry!B31)</f>
        <v>9</v>
      </c>
      <c r="N31">
        <f>VLOOKUP(B31,Leonard2010!D:AO,38,FALSE)</f>
        <v>7.2358786265286626E-3</v>
      </c>
      <c r="O31">
        <v>3.2818529251368161E-2</v>
      </c>
      <c r="P31">
        <v>2.1288391620457297E-2</v>
      </c>
      <c r="Q31">
        <f>VLOOKUP(B31,Leonard2010!D:BG,56,FALSE)</f>
        <v>7.4237697005189318</v>
      </c>
      <c r="R31">
        <f>VLOOKUP(B31,Leonard2010!D:BH,57,FALSE)</f>
        <v>7.7677972573613117</v>
      </c>
      <c r="S31">
        <f>VLOOKUP(B31,Leonard2010!D:BI,58,FALSE)</f>
        <v>8.1007290236485208</v>
      </c>
      <c r="T31">
        <v>27099.007851688162</v>
      </c>
      <c r="U31">
        <v>85836.270549444191</v>
      </c>
      <c r="V31">
        <v>271886.9038365325</v>
      </c>
      <c r="W31">
        <f>VLOOKUP(B31,Leonard2010!D:CE,80,FALSE)</f>
        <v>0</v>
      </c>
      <c r="X31" t="str">
        <f>IF(W31=0,"NA",MIN(((17.5*(VLOOKUP(B31,Leonard2010!D:K,8,FALSE)*1000)^(2/3))/1000),(35-FaultGeometry!K10)/SIN(RADIANS(FaultGeometry!H10))))</f>
        <v>NA</v>
      </c>
      <c r="Y31">
        <f t="shared" si="1"/>
        <v>2930859842553583</v>
      </c>
      <c r="Z31">
        <f>VLOOKUP(A31,Leonard2010!A:U,21,FALSE)</f>
        <v>5440</v>
      </c>
    </row>
    <row r="32" spans="1:26" x14ac:dyDescent="0.2">
      <c r="A32">
        <f>VLOOKUP(B32,Leonard2010!D:CC,78,FALSE)</f>
        <v>331</v>
      </c>
      <c r="B32" t="s">
        <v>15</v>
      </c>
      <c r="C32">
        <v>1</v>
      </c>
      <c r="D32">
        <v>-14.164</v>
      </c>
      <c r="E32">
        <v>34.991</v>
      </c>
      <c r="F32">
        <v>14.4</v>
      </c>
      <c r="G32">
        <v>208</v>
      </c>
      <c r="H32">
        <f>VLOOKUP(B32,Leonard2010!D:N,11,FALSE)</f>
        <v>53</v>
      </c>
      <c r="I32" t="str">
        <f>VLOOKUP(B32,Leonard2010!D:P,13,FALSE)</f>
        <v>W</v>
      </c>
      <c r="J32">
        <f>VLOOKUP(B32,Leonard2010!D:Q,14,FALSE)</f>
        <v>0</v>
      </c>
      <c r="K32">
        <f>VLOOKUP(B32,Leonard2010!D:R,15,FALSE)</f>
        <v>0</v>
      </c>
      <c r="L32">
        <f t="shared" si="0"/>
        <v>10.358090712187968</v>
      </c>
      <c r="M32">
        <f>COUNTIF(SectionGeometry!B:B,FaultGeometry!B32)</f>
        <v>0</v>
      </c>
      <c r="N32">
        <f>VLOOKUP(B32,Leonard2010!D:AO,38,FALSE)</f>
        <v>2.8741753885153346E-3</v>
      </c>
      <c r="O32">
        <v>3.2517079840730774E-2</v>
      </c>
      <c r="P32">
        <v>2.7674935457023833E-2</v>
      </c>
      <c r="Q32">
        <f>VLOOKUP(B32,Leonard2010!D:BG,56,FALSE)</f>
        <v>5.7728555321620858</v>
      </c>
      <c r="R32">
        <f>VLOOKUP(B32,Leonard2010!D:BH,57,FALSE)</f>
        <v>6.2058405598415076</v>
      </c>
      <c r="S32">
        <f>VLOOKUP(B32,Leonard2010!D:BI,58,FALSE)</f>
        <v>6.5387723261287176</v>
      </c>
      <c r="T32">
        <v>3580.8042698258546</v>
      </c>
      <c r="U32">
        <v>14149.443559114836</v>
      </c>
      <c r="V32">
        <v>55911.113243370048</v>
      </c>
      <c r="W32">
        <f>VLOOKUP(B32,Leonard2010!D:CE,80,FALSE)</f>
        <v>0</v>
      </c>
      <c r="X32" t="str">
        <f>IF(W32=0,"NA",MIN(((17.5*(VLOOKUP(B32,Leonard2010!D:K,8,FALSE)*1000)^(2/3))/1000),(35-FaultGeometry!K14)/SIN(RADIANS(FaultGeometry!H14))))</f>
        <v>NA</v>
      </c>
      <c r="Y32">
        <f>C32*10^(R32*1.5+9.05)/U32</f>
        <v>161443839910855.72</v>
      </c>
      <c r="Z32">
        <f>VLOOKUP(A32,Leonard2010!A:U,21,FALSE)</f>
        <v>149.15650625550674</v>
      </c>
    </row>
    <row r="33" spans="1:26" x14ac:dyDescent="0.2">
      <c r="A33">
        <f>VLOOKUP(B33,Leonard2010!D:CC,78,FALSE)</f>
        <v>332</v>
      </c>
      <c r="B33" s="13" t="s">
        <v>440</v>
      </c>
      <c r="C33">
        <v>1</v>
      </c>
      <c r="D33">
        <v>-13.867000000000001</v>
      </c>
      <c r="E33">
        <v>34.536999999999999</v>
      </c>
      <c r="F33">
        <v>18.399999999999999</v>
      </c>
      <c r="G33">
        <v>159</v>
      </c>
      <c r="H33">
        <f>VLOOKUP(B33,Leonard2010!D:N,11,FALSE)</f>
        <v>53</v>
      </c>
      <c r="I33" t="str">
        <f>VLOOKUP(B33,Leonard2010!D:P,13,FALSE)</f>
        <v>W</v>
      </c>
      <c r="J33">
        <f>VLOOKUP(B33,Leonard2010!D:Q,14,FALSE)</f>
        <v>0</v>
      </c>
      <c r="K33">
        <f>VLOOKUP(B33,Leonard2010!D:R,15,FALSE)</f>
        <v>0</v>
      </c>
      <c r="L33">
        <f t="shared" si="0"/>
        <v>12.196913131050795</v>
      </c>
      <c r="M33">
        <f>COUNTIF(SectionGeometry!B:B,FaultGeometry!B33)</f>
        <v>0</v>
      </c>
      <c r="N33">
        <f>VLOOKUP(B33,Leonard2010!D:AO,38,FALSE)</f>
        <v>7.9725361529109015E-3</v>
      </c>
      <c r="O33">
        <v>4.4649896114576135E-2</v>
      </c>
      <c r="P33">
        <v>3.1803451293652536E-2</v>
      </c>
      <c r="Q33">
        <f>VLOOKUP(B33,Leonard2010!D:BG,56,FALSE)</f>
        <v>5.9502810836858968</v>
      </c>
      <c r="R33">
        <f>VLOOKUP(B33,Leonard2010!D:BH,57,FALSE)</f>
        <v>6.3832661113653204</v>
      </c>
      <c r="S33">
        <f>VLOOKUP(B33,Leonard2010!D:BI,58,FALSE)</f>
        <v>6.8710998376382735</v>
      </c>
      <c r="T33">
        <v>3738.4742458756064</v>
      </c>
      <c r="U33">
        <v>12302.249586591159</v>
      </c>
      <c r="V33">
        <v>40483.185100914074</v>
      </c>
      <c r="W33">
        <f>VLOOKUP(B33,Leonard2010!D:CE,80,FALSE)</f>
        <v>0</v>
      </c>
      <c r="X33" t="str">
        <f>IF(W33=0,"NA",MIN(((17.5*(VLOOKUP(B33,Leonard2010!D:K,8,FALSE)*1000)^(2/3))/1000),(35-FaultGeometry!K35)/SIN(RADIANS(FaultGeometry!H35))))</f>
        <v>NA</v>
      </c>
      <c r="Y33">
        <f t="shared" si="1"/>
        <v>342700417373356.94</v>
      </c>
      <c r="Z33">
        <f>VLOOKUP(A33,Leonard2010!A:U,21,FALSE)</f>
        <v>224.4232016113346</v>
      </c>
    </row>
    <row r="34" spans="1:26" x14ac:dyDescent="0.2">
      <c r="A34">
        <f>VLOOKUP(B34,Leonard2010!D:CC,78,FALSE)</f>
        <v>333</v>
      </c>
      <c r="B34" t="s">
        <v>0</v>
      </c>
      <c r="C34">
        <v>1</v>
      </c>
      <c r="D34">
        <v>-15.167999999999999</v>
      </c>
      <c r="E34">
        <v>35.101999999999997</v>
      </c>
      <c r="F34">
        <v>80.699999999999989</v>
      </c>
      <c r="G34">
        <v>5</v>
      </c>
      <c r="H34">
        <f>VLOOKUP(B34,Leonard2010!D:N,11,FALSE)</f>
        <v>53</v>
      </c>
      <c r="I34" t="str">
        <f>VLOOKUP(B34,Leonard2010!D:P,13,FALSE)</f>
        <v>E</v>
      </c>
      <c r="J34">
        <f>VLOOKUP(B34,Leonard2010!D:Q,14,FALSE)</f>
        <v>0</v>
      </c>
      <c r="K34">
        <f>VLOOKUP(B34,Leonard2010!D:R,15,FALSE)</f>
        <v>0</v>
      </c>
      <c r="L34">
        <f t="shared" ref="L34:L58" si="2">MIN((((F34*1000)^(2/3)*17.5)/1000),((35-K34)/SIN(RADIANS(H34))))</f>
        <v>32.68037804859518</v>
      </c>
      <c r="M34">
        <f>COUNTIF(SectionGeometry!B:B,FaultGeometry!B34)</f>
        <v>6</v>
      </c>
      <c r="N34">
        <f>VLOOKUP(B34,Leonard2010!D:AO,38,FALSE)</f>
        <v>6.1020227005698134E-3</v>
      </c>
      <c r="O34">
        <v>4.1248634032475473E-2</v>
      </c>
      <c r="P34">
        <v>3.0529230051925382E-2</v>
      </c>
      <c r="Q34">
        <f>VLOOKUP(B34,Leonard2010!D:BG,56,FALSE)</f>
        <v>7.0203739365401203</v>
      </c>
      <c r="R34">
        <f>VLOOKUP(B34,Leonard2010!D:BH,57,FALSE)</f>
        <v>7.326907015603922</v>
      </c>
      <c r="S34">
        <f>VLOOKUP(B34,Leonard2010!D:BI,58,FALSE)</f>
        <v>7.659838781891132</v>
      </c>
      <c r="T34">
        <v>12060.42185201796</v>
      </c>
      <c r="U34">
        <v>39880.263346879467</v>
      </c>
      <c r="V34">
        <v>131872.28640350958</v>
      </c>
      <c r="W34">
        <f>VLOOKUP(B34,Leonard2010!D:CE,80,FALSE)</f>
        <v>603</v>
      </c>
      <c r="X34">
        <f>IF(W34=0,"NA",MIN(((17.5*(VLOOKUP(B34,Leonard2010!D:K,8,FALSE)*1000)^(2/3))/1000),(35-FaultGeometry!K7)/SIN(RADIANS(FaultGeometry!H7))))</f>
        <v>41.288375307262264</v>
      </c>
      <c r="Y34">
        <f t="shared" ref="Y34:Y58" si="3">C34*10^(R34*1.5+9.05)/U34</f>
        <v>2751709010381173</v>
      </c>
      <c r="Z34">
        <f>VLOOKUP(A34,Leonard2010!A:U,21,FALSE)</f>
        <v>1971.1000000000001</v>
      </c>
    </row>
    <row r="35" spans="1:26" x14ac:dyDescent="0.2">
      <c r="A35">
        <f>VLOOKUP(B35,Leonard2010!D:CC,78,FALSE)</f>
        <v>334</v>
      </c>
      <c r="B35" t="s">
        <v>32</v>
      </c>
      <c r="C35">
        <v>1</v>
      </c>
      <c r="D35">
        <v>-14.141999999999999</v>
      </c>
      <c r="E35">
        <v>35.274999999999999</v>
      </c>
      <c r="F35">
        <v>123.29999999999998</v>
      </c>
      <c r="G35">
        <v>177</v>
      </c>
      <c r="H35">
        <f>VLOOKUP(B35,Leonard2010!D:N,11,FALSE)</f>
        <v>53</v>
      </c>
      <c r="I35" t="str">
        <f>VLOOKUP(B35,Leonard2010!D:P,13,FALSE)</f>
        <v>W</v>
      </c>
      <c r="J35">
        <f>VLOOKUP(B35,Leonard2010!D:Q,14,FALSE)</f>
        <v>0</v>
      </c>
      <c r="K35">
        <f>VLOOKUP(B35,Leonard2010!D:R,15,FALSE)</f>
        <v>0</v>
      </c>
      <c r="L35">
        <f t="shared" si="2"/>
        <v>43.352428744085564</v>
      </c>
      <c r="M35">
        <f>COUNTIF(SectionGeometry!B:B,FaultGeometry!B35)</f>
        <v>9</v>
      </c>
      <c r="N35">
        <f>VLOOKUP(B35,Leonard2010!D:AO,38,FALSE)</f>
        <v>0.14039148269761881</v>
      </c>
      <c r="O35">
        <v>0.40540376058763361</v>
      </c>
      <c r="P35">
        <v>0.1926195931030667</v>
      </c>
      <c r="Q35">
        <f>VLOOKUP(B35,Leonard2010!D:BG,56,FALSE)</f>
        <v>7.3271898396628901</v>
      </c>
      <c r="R35">
        <f>VLOOKUP(B35,Leonard2010!D:BH,57,FALSE)</f>
        <v>7.7601748673423119</v>
      </c>
      <c r="S35">
        <f>VLOOKUP(B35,Leonard2010!D:BI,58,FALSE)</f>
        <v>8.0978126284009999</v>
      </c>
      <c r="T35">
        <v>2320.0134412586349</v>
      </c>
      <c r="U35">
        <v>6540.176609715958</v>
      </c>
      <c r="V35">
        <v>18436.923392594817</v>
      </c>
      <c r="W35">
        <f>VLOOKUP(B35,Leonard2010!D:CE,80,FALSE)</f>
        <v>0</v>
      </c>
      <c r="X35" t="str">
        <f>IF(W35=0,"NA",MIN(((17.5*(VLOOKUP(B35,Leonard2010!D:K,8,FALSE)*1000)^(2/3))/1000),(35-FaultGeometry!K5)/SIN(RADIANS(FaultGeometry!H5))))</f>
        <v>NA</v>
      </c>
      <c r="Y35">
        <f t="shared" si="3"/>
        <v>7.4932949043052752E+16</v>
      </c>
      <c r="Z35">
        <f>VLOOKUP(A35,Leonard2010!A:U,21,FALSE)</f>
        <v>5345.3544641457493</v>
      </c>
    </row>
    <row r="36" spans="1:26" x14ac:dyDescent="0.2">
      <c r="A36">
        <f>VLOOKUP(B36,Leonard2010!D:CC,78,FALSE)</f>
        <v>335</v>
      </c>
      <c r="B36" s="52" t="s">
        <v>104</v>
      </c>
      <c r="C36">
        <v>1</v>
      </c>
      <c r="D36">
        <v>-13.542999999999999</v>
      </c>
      <c r="E36">
        <v>34.933</v>
      </c>
      <c r="F36">
        <v>17.399999999999999</v>
      </c>
      <c r="G36">
        <v>351</v>
      </c>
      <c r="H36">
        <f>VLOOKUP(B36,Leonard2010!D:N,11,FALSE)</f>
        <v>53</v>
      </c>
      <c r="I36" t="str">
        <f>VLOOKUP(B36,Leonard2010!D:P,13,FALSE)</f>
        <v>E</v>
      </c>
      <c r="J36">
        <f>VLOOKUP(B36,Leonard2010!D:Q,14,FALSE)</f>
        <v>0</v>
      </c>
      <c r="K36">
        <f>VLOOKUP(B36,Leonard2010!D:R,15,FALSE)</f>
        <v>0</v>
      </c>
      <c r="L36">
        <f t="shared" si="2"/>
        <v>11.750893247318272</v>
      </c>
      <c r="M36">
        <f>COUNTIF(SectionGeometry!B:B,FaultGeometry!B36)</f>
        <v>0</v>
      </c>
      <c r="N36">
        <f>VLOOKUP(B36,Leonard2010!D:AO,38,FALSE)</f>
        <v>5.2519807290297791E-3</v>
      </c>
      <c r="O36">
        <v>7.9632377964045389E-2</v>
      </c>
      <c r="P36">
        <v>8.1335568149096094E-2</v>
      </c>
      <c r="Q36">
        <f>VLOOKUP(B36,Leonard2010!D:BG,56,FALSE)</f>
        <v>5.9098334591410024</v>
      </c>
      <c r="R36">
        <f>VLOOKUP(B36,Leonard2010!D:BH,57,FALSE)</f>
        <v>6.2970161806726681</v>
      </c>
      <c r="S36">
        <f>VLOOKUP(B36,Leonard2010!D:BI,58,FALSE)</f>
        <v>6.6299479469598781</v>
      </c>
      <c r="T36">
        <v>1798.2322735254459</v>
      </c>
      <c r="U36">
        <v>6461.972574437802</v>
      </c>
      <c r="V36">
        <v>23221.187923026911</v>
      </c>
      <c r="W36">
        <f>VLOOKUP(B36,Leonard2010!D:CE,80,FALSE)</f>
        <v>0</v>
      </c>
      <c r="X36" t="str">
        <f>IF(W36=0,"NA",MIN(((17.5*(VLOOKUP(B36,Leonard2010!D:K,8,FALSE)*1000)^(2/3))/1000),(35-FaultGeometry!K37)/SIN(RADIANS(FaultGeometry!H37))))</f>
        <v>NA</v>
      </c>
      <c r="Y36">
        <f>C36*10^(R36*1.5+9.05)/U36</f>
        <v>484349839916351.81</v>
      </c>
      <c r="Z36">
        <f>VLOOKUP(A36,Leonard2010!A:U,21,FALSE)</f>
        <v>184</v>
      </c>
    </row>
    <row r="37" spans="1:26" x14ac:dyDescent="0.2">
      <c r="A37">
        <f>VLOOKUP(B37,Leonard2010!D:CC,78,FALSE)</f>
        <v>336</v>
      </c>
      <c r="B37" s="13" t="s">
        <v>439</v>
      </c>
      <c r="C37">
        <v>1</v>
      </c>
      <c r="D37">
        <v>-13.651</v>
      </c>
      <c r="E37">
        <v>34.567</v>
      </c>
      <c r="F37">
        <v>7</v>
      </c>
      <c r="G37">
        <v>163</v>
      </c>
      <c r="H37">
        <f>VLOOKUP(B37,Leonard2010!D:N,11,FALSE)</f>
        <v>53</v>
      </c>
      <c r="I37" t="str">
        <f>VLOOKUP(B37,Leonard2010!D:P,13,FALSE)</f>
        <v>W</v>
      </c>
      <c r="J37">
        <f>VLOOKUP(B37,Leonard2010!D:Q,14,FALSE)</f>
        <v>0</v>
      </c>
      <c r="K37">
        <f>VLOOKUP(B37,Leonard2010!D:R,15,FALSE)</f>
        <v>0</v>
      </c>
      <c r="L37">
        <f t="shared" si="2"/>
        <v>6.4037849925401957</v>
      </c>
      <c r="M37">
        <f>COUNTIF(SectionGeometry!B:B,FaultGeometry!B37)</f>
        <v>0</v>
      </c>
      <c r="N37">
        <f>VLOOKUP(B37,Leonard2010!D:AO,38,FALSE)</f>
        <v>5.5275152295877605E-3</v>
      </c>
      <c r="O37">
        <v>8.0881491507224151E-2</v>
      </c>
      <c r="P37">
        <v>8.321701512045071E-2</v>
      </c>
      <c r="Q37">
        <f>VLOOKUP(B37,Leonard2010!D:BG,56,FALSE)</f>
        <v>5.2507481120270993</v>
      </c>
      <c r="R37">
        <f>VLOOKUP(B37,Leonard2010!D:BH,57,FALSE)</f>
        <v>5.6837331397065212</v>
      </c>
      <c r="S37">
        <f>VLOOKUP(B37,Leonard2010!D:BI,58,FALSE)</f>
        <v>6.1715668659794742</v>
      </c>
      <c r="T37">
        <v>862.87615771899789</v>
      </c>
      <c r="U37">
        <v>3174.3208071434342</v>
      </c>
      <c r="V37">
        <v>11677.588372936792</v>
      </c>
      <c r="W37">
        <f>VLOOKUP(B37,Leonard2010!D:CE,80,FALSE)</f>
        <v>0</v>
      </c>
      <c r="X37" t="str">
        <f>IF(W37=0,"NA",MIN(((17.5*(VLOOKUP(B37,Leonard2010!D:K,8,FALSE)*1000)^(2/3))/1000),(35-FaultGeometry!K34)/SIN(RADIANS(FaultGeometry!H34))))</f>
        <v>NA</v>
      </c>
      <c r="Y37">
        <f t="shared" si="3"/>
        <v>118562921917991.12</v>
      </c>
      <c r="Z37">
        <f>VLOOKUP(A37,Leonard2010!A:U,21,FALSE)</f>
        <v>44.82649494778137</v>
      </c>
    </row>
    <row r="38" spans="1:26" x14ac:dyDescent="0.2">
      <c r="A38">
        <f>VLOOKUP(B38,Leonard2010!D:CC,78,FALSE)</f>
        <v>337</v>
      </c>
      <c r="B38" s="52" t="s">
        <v>267</v>
      </c>
      <c r="C38" s="52">
        <v>0.5</v>
      </c>
      <c r="D38">
        <v>-12.909000000000001</v>
      </c>
      <c r="E38">
        <v>34.884</v>
      </c>
      <c r="F38">
        <v>86.5</v>
      </c>
      <c r="G38">
        <v>159</v>
      </c>
      <c r="H38">
        <f>VLOOKUP(B38,Leonard2010!D:N,11,FALSE)</f>
        <v>53</v>
      </c>
      <c r="I38" t="str">
        <f>VLOOKUP(B38,Leonard2010!D:P,13,FALSE)</f>
        <v>SW</v>
      </c>
      <c r="J38">
        <f>VLOOKUP(B38,Leonard2010!D:Q,14,FALSE)</f>
        <v>0</v>
      </c>
      <c r="K38">
        <f>VLOOKUP(B38,Leonard2010!D:R,15,FALSE)</f>
        <v>0</v>
      </c>
      <c r="L38">
        <f t="shared" si="2"/>
        <v>34.228047052288524</v>
      </c>
      <c r="M38">
        <f>COUNTIF(SectionGeometry!B:B,FaultGeometry!B38)</f>
        <v>5</v>
      </c>
      <c r="N38">
        <f>VLOOKUP(B38,Leonard2010!D:AO,38,FALSE)</f>
        <v>0.20063930598687443</v>
      </c>
      <c r="O38">
        <v>0.52514742946117954</v>
      </c>
      <c r="P38">
        <v>0.23462606974858391</v>
      </c>
      <c r="Q38">
        <f>VLOOKUP(B38,Leonard2010!D:BG,56,FALSE)</f>
        <v>7.0706115577780269</v>
      </c>
      <c r="R38">
        <f>VLOOKUP(B38,Leonard2010!D:BH,57,FALSE)</f>
        <v>7.5035965854574487</v>
      </c>
      <c r="S38">
        <f>VLOOKUP(B38,Leonard2010!D:BI,58,FALSE)</f>
        <v>7.9438656592700809</v>
      </c>
      <c r="T38">
        <v>1498.5896759297543</v>
      </c>
      <c r="U38">
        <v>3892.7240315707272</v>
      </c>
      <c r="V38">
        <v>10111.707446914614</v>
      </c>
      <c r="W38">
        <f>VLOOKUP(B38,Leonard2010!D:CE,80,FALSE)</f>
        <v>0</v>
      </c>
      <c r="X38" t="str">
        <f>IF(W38=0,"NA",MIN(((17.5*(VLOOKUP(B38,Leonard2010!D:K,8,FALSE)*1000)^(2/3))/1000),(35-FaultGeometry!K38)/SIN(RADIANS(FaultGeometry!H38))))</f>
        <v>NA</v>
      </c>
      <c r="Y38">
        <f t="shared" si="3"/>
        <v>2.5948440764805724E+16</v>
      </c>
      <c r="Z38">
        <f>VLOOKUP(A38,Leonard2010!A:U,21,FALSE)</f>
        <v>2960.7260700229572</v>
      </c>
    </row>
    <row r="39" spans="1:26" x14ac:dyDescent="0.2">
      <c r="A39">
        <f>VLOOKUP(B39,Leonard2010!D:CC,78,FALSE)</f>
        <v>338</v>
      </c>
      <c r="B39" s="52" t="s">
        <v>268</v>
      </c>
      <c r="C39" s="52">
        <v>0.5</v>
      </c>
      <c r="D39">
        <v>-12.813000000000001</v>
      </c>
      <c r="E39">
        <v>34.902000000000001</v>
      </c>
      <c r="F39">
        <v>100.89999999999999</v>
      </c>
      <c r="G39">
        <v>163</v>
      </c>
      <c r="H39">
        <f>VLOOKUP(B39,Leonard2010!D:N,11,FALSE)</f>
        <v>53</v>
      </c>
      <c r="I39" t="str">
        <f>VLOOKUP(B39,Leonard2010!D:P,13,FALSE)</f>
        <v>SW</v>
      </c>
      <c r="J39">
        <f>VLOOKUP(B39,Leonard2010!D:Q,14,FALSE)</f>
        <v>0</v>
      </c>
      <c r="K39">
        <f>VLOOKUP(B39,Leonard2010!D:R,15,FALSE)</f>
        <v>0</v>
      </c>
      <c r="L39">
        <f t="shared" si="2"/>
        <v>37.928484744758173</v>
      </c>
      <c r="M39">
        <f>COUNTIF(SectionGeometry!B:B,FaultGeometry!B39)</f>
        <v>7</v>
      </c>
      <c r="N39">
        <f>VLOOKUP(B39,Leonard2010!D:AO,38,FALSE)</f>
        <v>0.20728182110954105</v>
      </c>
      <c r="O39">
        <v>0.52740392417920789</v>
      </c>
      <c r="P39">
        <v>0.23438767261282245</v>
      </c>
      <c r="Q39">
        <f>VLOOKUP(B39,Leonard2010!D:BG,56,FALSE)</f>
        <v>7.1820699890648543</v>
      </c>
      <c r="R39">
        <f>VLOOKUP(B39,Leonard2010!D:BH,57,FALSE)</f>
        <v>7.6150550167442761</v>
      </c>
      <c r="S39">
        <f>VLOOKUP(B39,Leonard2010!D:BI,58,FALSE)</f>
        <v>8.0107407180421788</v>
      </c>
      <c r="T39">
        <v>1544.3671795210284</v>
      </c>
      <c r="U39">
        <v>4251.8326166874785</v>
      </c>
      <c r="V39">
        <v>11705.817657905838</v>
      </c>
      <c r="W39">
        <f>VLOOKUP(B39,Leonard2010!D:CE,80,FALSE)</f>
        <v>0</v>
      </c>
      <c r="X39" t="str">
        <f>IF(W39=0,"NA",MIN(((17.5*(VLOOKUP(B39,Leonard2010!D:K,8,FALSE)*1000)^(2/3))/1000),(35-FaultGeometry!K39)/SIN(RADIANS(FaultGeometry!H39))))</f>
        <v>NA</v>
      </c>
      <c r="Y39">
        <f t="shared" si="3"/>
        <v>3.4912131946625156E+16</v>
      </c>
      <c r="Z39">
        <f>VLOOKUP(A39,Leonard2010!A:U,21,FALSE)</f>
        <v>3826.9841107460993</v>
      </c>
    </row>
    <row r="40" spans="1:26" x14ac:dyDescent="0.2">
      <c r="A40">
        <f>VLOOKUP(B40,Leonard2010!D:CC,78,FALSE)</f>
        <v>339</v>
      </c>
      <c r="B40" s="52" t="s">
        <v>98</v>
      </c>
      <c r="C40">
        <v>1</v>
      </c>
      <c r="D40">
        <v>-12.771000000000001</v>
      </c>
      <c r="E40">
        <v>34.232999999999997</v>
      </c>
      <c r="F40">
        <v>18.100000000000001</v>
      </c>
      <c r="G40">
        <v>338</v>
      </c>
      <c r="H40">
        <f>VLOOKUP(B40,Leonard2010!D:N,11,FALSE)</f>
        <v>53</v>
      </c>
      <c r="I40" t="str">
        <f>VLOOKUP(B40,Leonard2010!D:P,13,FALSE)</f>
        <v>E</v>
      </c>
      <c r="J40">
        <f>VLOOKUP(B40,Leonard2010!D:Q,14,FALSE)</f>
        <v>0</v>
      </c>
      <c r="K40">
        <f>VLOOKUP(B40,Leonard2010!D:R,15,FALSE)</f>
        <v>0</v>
      </c>
      <c r="L40">
        <f t="shared" si="2"/>
        <v>12.063975094110949</v>
      </c>
      <c r="M40">
        <f>COUNTIF(SectionGeometry!B:B,FaultGeometry!B40)</f>
        <v>0</v>
      </c>
      <c r="N40">
        <f>VLOOKUP(B40,Leonard2010!D:AO,38,FALSE)</f>
        <v>5.3019886295555896E-3</v>
      </c>
      <c r="O40">
        <v>8.0718840295287253E-2</v>
      </c>
      <c r="P40">
        <v>8.1780000371584061E-2</v>
      </c>
      <c r="Q40">
        <f>VLOOKUP(B40,Leonard2010!D:BG,56,FALSE)</f>
        <v>5.9383823367853097</v>
      </c>
      <c r="R40">
        <f>VLOOKUP(B40,Leonard2010!D:BH,57,FALSE)</f>
        <v>6.3713673644647315</v>
      </c>
      <c r="S40">
        <f>VLOOKUP(B40,Leonard2010!D:BI,58,FALSE)</f>
        <v>6.8592010907376872</v>
      </c>
      <c r="T40">
        <v>1815.687586560206</v>
      </c>
      <c r="U40">
        <v>6765.3451054932593</v>
      </c>
      <c r="V40">
        <v>25208.022974443535</v>
      </c>
      <c r="W40">
        <f>VLOOKUP(B40,Leonard2010!D:CE,80,FALSE)</f>
        <v>0</v>
      </c>
      <c r="X40" t="str">
        <f>IF(W40=0,"NA",MIN(((17.5*(VLOOKUP(B40,Leonard2010!D:K,8,FALSE)*1000)^(2/3))/1000),(35-FaultGeometry!K40)/SIN(RADIANS(FaultGeometry!H40))))</f>
        <v>NA</v>
      </c>
      <c r="Y40">
        <f t="shared" si="3"/>
        <v>598082495091984.12</v>
      </c>
      <c r="Z40">
        <f>VLOOKUP(A40,Leonard2010!A:U,21,FALSE)</f>
        <v>218.3579492034082</v>
      </c>
    </row>
    <row r="41" spans="1:26" x14ac:dyDescent="0.2">
      <c r="A41">
        <f>VLOOKUP(B41,Leonard2010!D:CC,78,FALSE)</f>
        <v>340</v>
      </c>
      <c r="B41" s="52" t="s">
        <v>99</v>
      </c>
      <c r="C41">
        <v>1</v>
      </c>
      <c r="D41">
        <v>-13.013999999999999</v>
      </c>
      <c r="E41">
        <v>34.286000000000001</v>
      </c>
      <c r="F41">
        <v>30.7</v>
      </c>
      <c r="G41">
        <v>170</v>
      </c>
      <c r="H41">
        <f>VLOOKUP(B41,Leonard2010!D:N,11,FALSE)</f>
        <v>53</v>
      </c>
      <c r="I41" t="str">
        <f>VLOOKUP(B41,Leonard2010!D:P,13,FALSE)</f>
        <v>W</v>
      </c>
      <c r="J41">
        <f>VLOOKUP(B41,Leonard2010!D:Q,14,FALSE)</f>
        <v>0</v>
      </c>
      <c r="K41">
        <f>VLOOKUP(B41,Leonard2010!D:R,15,FALSE)</f>
        <v>0</v>
      </c>
      <c r="L41">
        <f t="shared" si="2"/>
        <v>17.157880246387119</v>
      </c>
      <c r="M41">
        <f>COUNTIF(SectionGeometry!B:B,FaultGeometry!B41)</f>
        <v>3</v>
      </c>
      <c r="N41">
        <f>VLOOKUP(B41,Leonard2010!D:AO,38,FALSE)</f>
        <v>5.3019886295555888E-3</v>
      </c>
      <c r="O41">
        <v>8.073580017362586E-2</v>
      </c>
      <c r="P41">
        <v>8.2364929132613937E-2</v>
      </c>
      <c r="Q41">
        <f>VLOOKUP(B41,Leonard2010!D:BG,56,FALSE)</f>
        <v>6.3208153377986491</v>
      </c>
      <c r="R41">
        <f>VLOOKUP(B41,Leonard2010!D:BH,57,FALSE)</f>
        <v>6.7538003654780709</v>
      </c>
      <c r="S41">
        <f>VLOOKUP(B41,Leonard2010!D:BI,58,FALSE)</f>
        <v>7.241634091751024</v>
      </c>
      <c r="T41">
        <v>2788.4829852350958</v>
      </c>
      <c r="U41">
        <v>10378.883323150725</v>
      </c>
      <c r="V41">
        <v>38630.760741935926</v>
      </c>
      <c r="W41">
        <f>VLOOKUP(B41,Leonard2010!D:CE,80,FALSE)</f>
        <v>605</v>
      </c>
      <c r="X41">
        <f>IF(W41=0,"NA",MIN(((17.5*(VLOOKUP(B41,Leonard2010!D:K,8,FALSE)*1000)^(2/3))/1000),(35-FaultGeometry!K43)/SIN(RADIANS(FaultGeometry!H43))))</f>
        <v>23.909232437227299</v>
      </c>
      <c r="Y41">
        <f t="shared" si="3"/>
        <v>1460662630582555.5</v>
      </c>
      <c r="Z41">
        <f>VLOOKUP(A41,Leonard2010!A:U,21,FALSE)</f>
        <v>526.74692356408457</v>
      </c>
    </row>
    <row r="42" spans="1:26" x14ac:dyDescent="0.2">
      <c r="A42">
        <f>VLOOKUP(B42,Leonard2010!D:CC,78,FALSE)</f>
        <v>341</v>
      </c>
      <c r="B42" s="52" t="s">
        <v>162</v>
      </c>
      <c r="C42">
        <v>1</v>
      </c>
      <c r="D42">
        <v>-12.89</v>
      </c>
      <c r="E42">
        <v>34.293999999999997</v>
      </c>
      <c r="F42">
        <v>9.3000000000000007</v>
      </c>
      <c r="G42">
        <v>180</v>
      </c>
      <c r="H42">
        <f>VLOOKUP(B42,Leonard2010!D:N,11,FALSE)</f>
        <v>53</v>
      </c>
      <c r="I42" t="str">
        <f>VLOOKUP(B42,Leonard2010!D:P,13,FALSE)</f>
        <v>SW</v>
      </c>
      <c r="J42">
        <f>VLOOKUP(B42,Leonard2010!D:Q,14,FALSE)</f>
        <v>0</v>
      </c>
      <c r="K42">
        <f>VLOOKUP(B42,Leonard2010!D:R,15,FALSE)</f>
        <v>0</v>
      </c>
      <c r="L42">
        <f t="shared" si="2"/>
        <v>7.7391514879183054</v>
      </c>
      <c r="M42">
        <f>COUNTIF(SectionGeometry!B:B,FaultGeometry!B42)</f>
        <v>0</v>
      </c>
      <c r="N42">
        <f>VLOOKUP(B42,Leonard2010!D:AO,38,FALSE)</f>
        <v>4.7319049164200114E-3</v>
      </c>
      <c r="O42">
        <v>7.8182050129197864E-2</v>
      </c>
      <c r="P42">
        <v>8.0063047948441796E-2</v>
      </c>
      <c r="Q42">
        <f>VLOOKUP(B42,Leonard2010!D:BG,56,FALSE)</f>
        <v>5.4563896262598943</v>
      </c>
      <c r="R42">
        <f>VLOOKUP(B42,Leonard2010!D:BH,57,FALSE)</f>
        <v>5.8893746539393179</v>
      </c>
      <c r="S42">
        <f>VLOOKUP(B42,Leonard2010!D:BI,58,FALSE)</f>
        <v>6.377208380212271</v>
      </c>
      <c r="T42">
        <v>1067.8048656058227</v>
      </c>
      <c r="U42">
        <v>3986.5818201362458</v>
      </c>
      <c r="V42">
        <v>14883.650674904884</v>
      </c>
      <c r="W42">
        <f>VLOOKUP(B42,Leonard2010!D:CE,80,FALSE)</f>
        <v>605</v>
      </c>
      <c r="X42">
        <f>IF(W42=0,"NA",MIN(((17.5*(VLOOKUP(B42,Leonard2010!D:K,8,FALSE)*1000)^(2/3))/1000),(35-FaultGeometry!K41)/SIN(RADIANS(FaultGeometry!H41))))</f>
        <v>23.909232437227299</v>
      </c>
      <c r="Y42">
        <f t="shared" si="3"/>
        <v>192070779525696.94</v>
      </c>
      <c r="Z42">
        <f>VLOOKUP(A42,Leonard2010!A:U,21,FALSE)</f>
        <v>71.974108837640244</v>
      </c>
    </row>
    <row r="43" spans="1:26" x14ac:dyDescent="0.2">
      <c r="A43">
        <f>VLOOKUP(B43,Leonard2010!D:CC,78,FALSE)</f>
        <v>342</v>
      </c>
      <c r="B43" s="52" t="s">
        <v>163</v>
      </c>
      <c r="C43">
        <v>1</v>
      </c>
      <c r="D43">
        <v>-12.818</v>
      </c>
      <c r="E43">
        <v>34.218000000000004</v>
      </c>
      <c r="F43">
        <v>10.5</v>
      </c>
      <c r="G43">
        <v>148</v>
      </c>
      <c r="H43">
        <f>VLOOKUP(B43,Leonard2010!D:N,11,FALSE)</f>
        <v>53</v>
      </c>
      <c r="I43" t="str">
        <f>VLOOKUP(B43,Leonard2010!D:P,13,FALSE)</f>
        <v>SW</v>
      </c>
      <c r="J43">
        <f>VLOOKUP(B43,Leonard2010!D:Q,14,FALSE)</f>
        <v>0</v>
      </c>
      <c r="K43">
        <f>VLOOKUP(B43,Leonard2010!D:R,15,FALSE)</f>
        <v>0</v>
      </c>
      <c r="L43">
        <f t="shared" si="2"/>
        <v>8.3913322047819001</v>
      </c>
      <c r="M43">
        <f>COUNTIF(SectionGeometry!B:B,FaultGeometry!B43)</f>
        <v>0</v>
      </c>
      <c r="N43">
        <f>VLOOKUP(B43,Leonard2010!D:AO,38,FALSE)</f>
        <v>4.7319049164200114E-3</v>
      </c>
      <c r="O43">
        <v>8.0274027829204828E-2</v>
      </c>
      <c r="P43">
        <v>8.2287292914217325E-2</v>
      </c>
      <c r="Q43">
        <f>VLOOKUP(B43,Leonard2010!D:BG,56,FALSE)</f>
        <v>5.5442335437865653</v>
      </c>
      <c r="R43">
        <f>VLOOKUP(B43,Leonard2010!D:BH,57,FALSE)</f>
        <v>5.9772185714659898</v>
      </c>
      <c r="S43">
        <f>VLOOKUP(B43,Leonard2010!D:BI,58,FALSE)</f>
        <v>6.4650522977389429</v>
      </c>
      <c r="T43">
        <v>1197.2595099559583</v>
      </c>
      <c r="U43">
        <v>4464.1280334093635</v>
      </c>
      <c r="V43">
        <v>16645.045566941815</v>
      </c>
      <c r="W43">
        <f>VLOOKUP(B43,Leonard2010!D:CE,80,FALSE)</f>
        <v>605</v>
      </c>
      <c r="X43">
        <f>IF(W43=0,"NA",MIN(((17.5*(VLOOKUP(B43,Leonard2010!D:K,8,FALSE)*1000)^(2/3))/1000),(35-FaultGeometry!K42)/SIN(RADIANS(FaultGeometry!H42))))</f>
        <v>23.909232437227299</v>
      </c>
      <c r="Y43">
        <f t="shared" si="3"/>
        <v>232322469435128.59</v>
      </c>
      <c r="Z43">
        <f>VLOOKUP(A43,Leonard2010!A:U,21,FALSE)</f>
        <v>88.108988150209953</v>
      </c>
    </row>
    <row r="44" spans="1:26" x14ac:dyDescent="0.2">
      <c r="A44">
        <f>VLOOKUP(B44,Leonard2010!D:CC,78,FALSE)</f>
        <v>343</v>
      </c>
      <c r="B44" s="52" t="s">
        <v>105</v>
      </c>
      <c r="C44">
        <v>1</v>
      </c>
      <c r="D44">
        <v>-12.302</v>
      </c>
      <c r="E44">
        <v>34.027999999999999</v>
      </c>
      <c r="F44">
        <v>24.7</v>
      </c>
      <c r="G44">
        <v>169</v>
      </c>
      <c r="H44">
        <f>VLOOKUP(B44,Leonard2010!D:N,11,FALSE)</f>
        <v>53</v>
      </c>
      <c r="I44" t="str">
        <f>VLOOKUP(B44,Leonard2010!D:P,13,FALSE)</f>
        <v>W</v>
      </c>
      <c r="J44">
        <f>VLOOKUP(B44,Leonard2010!D:Q,14,FALSE)</f>
        <v>0</v>
      </c>
      <c r="K44">
        <f>VLOOKUP(B44,Leonard2010!D:R,15,FALSE)</f>
        <v>0</v>
      </c>
      <c r="L44">
        <f t="shared" si="2"/>
        <v>14.842350534729555</v>
      </c>
      <c r="M44">
        <f>COUNTIF(SectionGeometry!B:B,FaultGeometry!B44)</f>
        <v>0</v>
      </c>
      <c r="N44">
        <f>VLOOKUP(B44,Leonard2010!D:AO,38,FALSE)</f>
        <v>5.3503814929833186E-3</v>
      </c>
      <c r="O44">
        <v>8.0566066817846782E-2</v>
      </c>
      <c r="P44">
        <v>8.1675767894134513E-2</v>
      </c>
      <c r="Q44">
        <f>VLOOKUP(B44,Leonard2010!D:BG,56,FALSE)</f>
        <v>6.1634129674361136</v>
      </c>
      <c r="R44">
        <f>VLOOKUP(B44,Leonard2010!D:BH,57,FALSE)</f>
        <v>6.5963979951155354</v>
      </c>
      <c r="S44">
        <f>VLOOKUP(B44,Leonard2010!D:BI,58,FALSE)</f>
        <v>7.0842317213884884</v>
      </c>
      <c r="T44">
        <v>2390.1695152986663</v>
      </c>
      <c r="U44">
        <v>8828.6401914173766</v>
      </c>
      <c r="V44">
        <v>32610.610724725339</v>
      </c>
      <c r="W44">
        <f>VLOOKUP(B44,Leonard2010!D:CE,80,FALSE)</f>
        <v>0</v>
      </c>
      <c r="X44" t="str">
        <f>IF(W44=0,"NA",MIN(((17.5*(VLOOKUP(B44,Leonard2010!D:K,8,FALSE)*1000)^(2/3))/1000),(35-FaultGeometry!K44)/SIN(RADIANS(FaultGeometry!H44))))</f>
        <v>NA</v>
      </c>
      <c r="Y44">
        <f t="shared" si="3"/>
        <v>997018403979290.12</v>
      </c>
      <c r="Z44">
        <f>VLOOKUP(A44,Leonard2010!A:U,21,FALSE)</f>
        <v>366.60605820782001</v>
      </c>
    </row>
    <row r="45" spans="1:26" x14ac:dyDescent="0.2">
      <c r="A45">
        <f>VLOOKUP(B45,Leonard2010!D:CC,78,FALSE)</f>
        <v>344</v>
      </c>
      <c r="B45" s="52" t="s">
        <v>269</v>
      </c>
      <c r="C45" s="52">
        <v>0.5</v>
      </c>
      <c r="D45">
        <v>-12.795999999999999</v>
      </c>
      <c r="E45">
        <v>34.159999999999997</v>
      </c>
      <c r="F45">
        <v>21.4</v>
      </c>
      <c r="G45">
        <v>359</v>
      </c>
      <c r="H45">
        <f>VLOOKUP(B45,Leonard2010!D:N,11,FALSE)</f>
        <v>53</v>
      </c>
      <c r="I45" t="str">
        <f>VLOOKUP(B45,Leonard2010!D:P,13,FALSE)</f>
        <v>E</v>
      </c>
      <c r="J45">
        <f>VLOOKUP(B45,Leonard2010!D:Q,14,FALSE)</f>
        <v>0</v>
      </c>
      <c r="K45">
        <f>VLOOKUP(B45,Leonard2010!D:R,15,FALSE)</f>
        <v>0</v>
      </c>
      <c r="L45">
        <f t="shared" si="2"/>
        <v>13.489025145314599</v>
      </c>
      <c r="M45">
        <f>COUNTIF(SectionGeometry!B:B,FaultGeometry!B45)</f>
        <v>0</v>
      </c>
      <c r="N45">
        <f>VLOOKUP(B45,Leonard2010!D:AO,38,FALSE)</f>
        <v>4.795705235142559E-3</v>
      </c>
      <c r="O45">
        <v>7.8521495085890292E-2</v>
      </c>
      <c r="P45">
        <v>8.1136643084707263E-2</v>
      </c>
      <c r="Q45">
        <f>VLOOKUP(B45,Leonard2010!D:BG,56,FALSE)</f>
        <v>6.059607667585321</v>
      </c>
      <c r="R45">
        <f>VLOOKUP(B45,Leonard2010!D:BH,57,FALSE)</f>
        <v>6.4925926952647428</v>
      </c>
      <c r="S45">
        <f>VLOOKUP(B45,Leonard2010!D:BI,58,FALSE)</f>
        <v>6.9804264215376959</v>
      </c>
      <c r="T45">
        <v>2146.7926054688842</v>
      </c>
      <c r="U45">
        <v>8030.5122816691592</v>
      </c>
      <c r="V45">
        <v>30039.756677824982</v>
      </c>
      <c r="W45">
        <f>VLOOKUP(B45,Leonard2010!D:CE,80,FALSE)</f>
        <v>0</v>
      </c>
      <c r="X45" t="str">
        <f>IF(W45=0,"NA",MIN(((17.5*(VLOOKUP(B45,Leonard2010!D:K,8,FALSE)*1000)^(2/3))/1000),(35-FaultGeometry!K45)/SIN(RADIANS(FaultGeometry!H45))))</f>
        <v>NA</v>
      </c>
      <c r="Y45">
        <f t="shared" si="3"/>
        <v>382926830070065.81</v>
      </c>
      <c r="Z45">
        <f>VLOOKUP(A45,Leonard2010!A:U,21,FALSE)</f>
        <v>288.66513810973242</v>
      </c>
    </row>
    <row r="46" spans="1:26" x14ac:dyDescent="0.2">
      <c r="A46">
        <f>VLOOKUP(B46,Leonard2010!D:CC,78,FALSE)</f>
        <v>345</v>
      </c>
      <c r="B46" s="52" t="s">
        <v>270</v>
      </c>
      <c r="C46" s="52">
        <v>0.5</v>
      </c>
      <c r="D46">
        <v>-12.787000000000001</v>
      </c>
      <c r="E46">
        <v>34.195999999999998</v>
      </c>
      <c r="F46">
        <v>22.1</v>
      </c>
      <c r="G46">
        <v>348</v>
      </c>
      <c r="H46">
        <f>VLOOKUP(B46,Leonard2010!D:N,11,FALSE)</f>
        <v>53</v>
      </c>
      <c r="I46" t="str">
        <f>VLOOKUP(B46,Leonard2010!D:P,13,FALSE)</f>
        <v>E</v>
      </c>
      <c r="J46">
        <f>VLOOKUP(B46,Leonard2010!D:Q,14,FALSE)</f>
        <v>0</v>
      </c>
      <c r="K46">
        <f>VLOOKUP(B46,Leonard2010!D:R,15,FALSE)</f>
        <v>0</v>
      </c>
      <c r="L46">
        <f t="shared" si="2"/>
        <v>13.781597580886626</v>
      </c>
      <c r="M46">
        <f>COUNTIF(SectionGeometry!B:B,FaultGeometry!B46)</f>
        <v>2</v>
      </c>
      <c r="N46">
        <f>VLOOKUP(B46,Leonard2010!D:AO,38,FALSE)</f>
        <v>5.3971445783779779E-3</v>
      </c>
      <c r="O46">
        <v>8.1991950879641715E-2</v>
      </c>
      <c r="P46">
        <v>8.4765193517881879E-2</v>
      </c>
      <c r="Q46">
        <f>VLOOKUP(B46,Leonard2010!D:BG,56,FALSE)</f>
        <v>6.0829051681451887</v>
      </c>
      <c r="R46">
        <f>VLOOKUP(B46,Leonard2010!D:BH,57,FALSE)</f>
        <v>6.5158901958246105</v>
      </c>
      <c r="S46">
        <f>VLOOKUP(B46,Leonard2010!D:BI,58,FALSE)</f>
        <v>7.0037239220975636</v>
      </c>
      <c r="T46">
        <v>2200.8270239570957</v>
      </c>
      <c r="U46">
        <v>8083.9505043924319</v>
      </c>
      <c r="V46">
        <v>29693.499328250964</v>
      </c>
      <c r="W46">
        <f>VLOOKUP(B46,Leonard2010!D:CE,80,FALSE)</f>
        <v>0</v>
      </c>
      <c r="X46" t="str">
        <f>IF(W46=0,"NA",MIN(((17.5*(VLOOKUP(B46,Leonard2010!D:K,8,FALSE)*1000)^(2/3))/1000),(35-FaultGeometry!K46)/SIN(RADIANS(FaultGeometry!H46))))</f>
        <v>NA</v>
      </c>
      <c r="Y46">
        <f t="shared" si="3"/>
        <v>412269923107346.25</v>
      </c>
      <c r="Z46">
        <f>VLOOKUP(A46,Leonard2010!A:U,21,FALSE)</f>
        <v>304.57330653759442</v>
      </c>
    </row>
    <row r="47" spans="1:26" x14ac:dyDescent="0.2">
      <c r="A47">
        <f>VLOOKUP(B47,Leonard2010!D:CC,78,FALSE)</f>
        <v>346</v>
      </c>
      <c r="B47" s="52" t="s">
        <v>106</v>
      </c>
      <c r="C47">
        <v>1</v>
      </c>
      <c r="D47">
        <v>-12.881</v>
      </c>
      <c r="E47">
        <v>34.219000000000001</v>
      </c>
      <c r="F47">
        <v>30.4</v>
      </c>
      <c r="G47">
        <v>183</v>
      </c>
      <c r="H47">
        <f>VLOOKUP(B47,Leonard2010!D:N,11,FALSE)</f>
        <v>53</v>
      </c>
      <c r="I47" t="str">
        <f>VLOOKUP(B47,Leonard2010!D:P,13,FALSE)</f>
        <v>W</v>
      </c>
      <c r="J47">
        <f>VLOOKUP(B47,Leonard2010!D:Q,14,FALSE)</f>
        <v>0</v>
      </c>
      <c r="K47">
        <f>VLOOKUP(B47,Leonard2010!D:R,15,FALSE)</f>
        <v>0</v>
      </c>
      <c r="L47">
        <f t="shared" si="2"/>
        <v>17.045919681314007</v>
      </c>
      <c r="M47">
        <f>COUNTIF(SectionGeometry!B:B,FaultGeometry!B47)</f>
        <v>3</v>
      </c>
      <c r="N47">
        <f>VLOOKUP(B47,Leonard2010!D:AO,38,FALSE)</f>
        <v>4.5319355818178707E-3</v>
      </c>
      <c r="O47">
        <v>7.6882912431077574E-2</v>
      </c>
      <c r="P47">
        <v>7.9201679200674668E-2</v>
      </c>
      <c r="Q47">
        <f>VLOOKUP(B47,Leonard2010!D:BG,56,FALSE)</f>
        <v>6.3137073513512592</v>
      </c>
      <c r="R47">
        <f>VLOOKUP(B47,Leonard2010!D:BH,57,FALSE)</f>
        <v>6.7466923790306836</v>
      </c>
      <c r="S47">
        <f>VLOOKUP(B47,Leonard2010!D:BI,58,FALSE)</f>
        <v>7.2345261053036367</v>
      </c>
      <c r="T47">
        <v>2851.4617333318429</v>
      </c>
      <c r="U47">
        <v>10743.986852476846</v>
      </c>
      <c r="V47">
        <v>40482.133123812004</v>
      </c>
      <c r="W47">
        <f>VLOOKUP(B47,Leonard2010!D:CE,80,FALSE)</f>
        <v>0</v>
      </c>
      <c r="X47" t="str">
        <f>IF(W47=0,"NA",MIN(((17.5*(VLOOKUP(B47,Leonard2010!D:K,8,FALSE)*1000)^(2/3))/1000),(35-FaultGeometry!K47)/SIN(RADIANS(FaultGeometry!H47))))</f>
        <v>NA</v>
      </c>
      <c r="Y47">
        <f t="shared" si="3"/>
        <v>1376807110825793.8</v>
      </c>
      <c r="Z47">
        <f>VLOOKUP(A47,Leonard2010!A:U,21,FALSE)</f>
        <v>518.19595831194579</v>
      </c>
    </row>
    <row r="48" spans="1:26" x14ac:dyDescent="0.2">
      <c r="A48">
        <f>VLOOKUP(B48,Leonard2010!D:CC,78,FALSE)</f>
        <v>347</v>
      </c>
      <c r="B48" s="52" t="s">
        <v>455</v>
      </c>
      <c r="C48">
        <v>0.5</v>
      </c>
      <c r="D48">
        <v>-13.143000000000001</v>
      </c>
      <c r="E48">
        <v>34.472999999999999</v>
      </c>
      <c r="F48">
        <v>47</v>
      </c>
      <c r="G48">
        <v>175</v>
      </c>
      <c r="H48">
        <f>VLOOKUP(B48,Leonard2010!D:N,11,FALSE)</f>
        <v>53</v>
      </c>
      <c r="I48" t="str">
        <f>VLOOKUP(B48,Leonard2010!D:P,13,FALSE)</f>
        <v>W</v>
      </c>
      <c r="J48">
        <v>0</v>
      </c>
      <c r="K48">
        <f>VLOOKUP(B48,Leonard2010!D:R,15,FALSE)</f>
        <v>0</v>
      </c>
      <c r="L48">
        <f t="shared" si="2"/>
        <v>22.79134493420613</v>
      </c>
      <c r="M48">
        <f>COUNTIF(SectionGeometry!B:B,FaultGeometry!B48)</f>
        <v>0</v>
      </c>
      <c r="N48">
        <f>VLOOKUP(B48,Leonard2010!D:AO,38,FALSE)</f>
        <v>5.0361106946242348E-3</v>
      </c>
      <c r="O48">
        <v>8.0367885786098173E-2</v>
      </c>
      <c r="P48">
        <v>8.1213257113922327E-2</v>
      </c>
      <c r="Q48">
        <f>VLOOKUP(B48,Leonard2010!D:BG,56,FALSE)</f>
        <v>6.6290811418962008</v>
      </c>
      <c r="R48">
        <f>VLOOKUP(B48,Leonard2010!D:BH,57,FALSE)</f>
        <v>7.0620661695756226</v>
      </c>
      <c r="S48">
        <f>VLOOKUP(B48,Leonard2010!D:BI,58,FALSE)</f>
        <v>7.5498998958485757</v>
      </c>
      <c r="T48">
        <v>3975.4663394745317</v>
      </c>
      <c r="U48">
        <v>14870.49777008721</v>
      </c>
      <c r="V48">
        <v>55624.09162780067</v>
      </c>
      <c r="W48">
        <f>VLOOKUP(B48,Leonard2010!D:CE,80,FALSE)</f>
        <v>606</v>
      </c>
      <c r="X48">
        <f>IF(W48=0,"NA",MIN(((17.5*(VLOOKUP(B48,Leonard2010!D:K,8,FALSE)*1000)^(2/3))/1000),(35-FaultGeometry!K48)/SIN(RADIANS(FaultGeometry!H48))))</f>
        <v>39.712007757475227</v>
      </c>
      <c r="Y48">
        <f t="shared" si="3"/>
        <v>1478235924804725.8</v>
      </c>
      <c r="Z48">
        <f>VLOOKUP(A48,Leonard2010!A:U,21,FALSE)</f>
        <v>1071.193211907688</v>
      </c>
    </row>
    <row r="49" spans="1:26" x14ac:dyDescent="0.2">
      <c r="A49">
        <f>VLOOKUP(B49,Leonard2010!D:CC,78,FALSE)</f>
        <v>348</v>
      </c>
      <c r="B49" s="52" t="s">
        <v>456</v>
      </c>
      <c r="C49">
        <v>0.5</v>
      </c>
      <c r="D49">
        <v>-13.143000000000001</v>
      </c>
      <c r="E49">
        <v>34.472999999999999</v>
      </c>
      <c r="F49">
        <v>47</v>
      </c>
      <c r="G49">
        <v>179</v>
      </c>
      <c r="H49">
        <f>VLOOKUP(B49,Leonard2010!D:N,11,FALSE)</f>
        <v>53</v>
      </c>
      <c r="I49" t="str">
        <f>VLOOKUP(B49,Leonard2010!D:P,13,FALSE)</f>
        <v>W</v>
      </c>
      <c r="J49">
        <f>VLOOKUP(B49,Leonard2010!D:Q,14,FALSE)</f>
        <v>0.5</v>
      </c>
      <c r="K49">
        <f>VLOOKUP(B49,Leonard2010!D:R,15,FALSE)</f>
        <v>0</v>
      </c>
      <c r="L49">
        <f t="shared" si="2"/>
        <v>22.79134493420613</v>
      </c>
      <c r="M49">
        <f>COUNTIF(SectionGeometry!B:B,FaultGeometry!B49)</f>
        <v>0</v>
      </c>
      <c r="N49">
        <f>VLOOKUP(B49,Leonard2010!D:AO,38,FALSE)</f>
        <v>4.7957052351425573E-3</v>
      </c>
      <c r="O49">
        <v>7.7883123901943838E-2</v>
      </c>
      <c r="P49">
        <v>8.0417860767923843E-2</v>
      </c>
      <c r="Q49">
        <f>VLOOKUP(B49,Leonard2010!D:BG,56,FALSE)</f>
        <v>6.6290811418962008</v>
      </c>
      <c r="R49">
        <f>VLOOKUP(B49,Leonard2010!D:BH,57,FALSE)</f>
        <v>7.0620661695756226</v>
      </c>
      <c r="S49">
        <f>VLOOKUP(B49,Leonard2010!D:BI,58,FALSE)</f>
        <v>7.5498998958485757</v>
      </c>
      <c r="T49">
        <v>4002.8387490693558</v>
      </c>
      <c r="U49">
        <v>15224.58208254793</v>
      </c>
      <c r="V49">
        <v>57905.879831439437</v>
      </c>
      <c r="W49">
        <f>VLOOKUP(B49,Leonard2010!D:CE,80,FALSE)</f>
        <v>607</v>
      </c>
      <c r="X49">
        <f>IF(W49=0,"NA",MIN(((17.5*(VLOOKUP(B49,Leonard2010!D:K,8,FALSE)*1000)^(2/3))/1000),(35-FaultGeometry!K49)/SIN(RADIANS(FaultGeometry!H49))))</f>
        <v>39.712007757475227</v>
      </c>
      <c r="Y49">
        <f t="shared" si="3"/>
        <v>1443855989234000.2</v>
      </c>
      <c r="Z49">
        <f>VLOOKUP(A49,Leonard2010!A:U,21,FALSE)</f>
        <v>1071.193211907688</v>
      </c>
    </row>
    <row r="50" spans="1:26" x14ac:dyDescent="0.2">
      <c r="A50">
        <f>VLOOKUP(B50,Leonard2010!D:CC,78,FALSE)</f>
        <v>349</v>
      </c>
      <c r="B50" s="52" t="s">
        <v>459</v>
      </c>
      <c r="C50">
        <v>0.5</v>
      </c>
      <c r="D50">
        <v>-13.106999999999999</v>
      </c>
      <c r="E50">
        <v>34.406999999999996</v>
      </c>
      <c r="F50">
        <v>61.1</v>
      </c>
      <c r="G50">
        <v>14</v>
      </c>
      <c r="H50">
        <f>VLOOKUP(B50,Leonard2010!D:N,11,FALSE)</f>
        <v>53</v>
      </c>
      <c r="I50" t="str">
        <f>VLOOKUP(B50,Leonard2010!D:P,13,FALSE)</f>
        <v>E</v>
      </c>
      <c r="J50">
        <f>VLOOKUP(B50,Leonard2010!D:Q,14,FALSE)</f>
        <v>1.5</v>
      </c>
      <c r="K50">
        <f>VLOOKUP(B50,Leonard2010!D:R,15,FALSE)</f>
        <v>0</v>
      </c>
      <c r="L50">
        <f t="shared" si="2"/>
        <v>27.147646713038988</v>
      </c>
      <c r="M50">
        <f>COUNTIF(SectionGeometry!B:B,FaultGeometry!B50)</f>
        <v>2</v>
      </c>
      <c r="N50">
        <f>VLOOKUP(B50,Leonard2010!D:AO,38,FALSE)</f>
        <v>3.6969692971954246E-3</v>
      </c>
      <c r="O50">
        <v>7.1101925720327086E-2</v>
      </c>
      <c r="P50">
        <v>7.5774258238196029E-2</v>
      </c>
      <c r="Q50">
        <f>VLOOKUP(B50,Leonard2010!D:BG,56,FALSE)</f>
        <v>6.8189867290742612</v>
      </c>
      <c r="R50">
        <f>VLOOKUP(B50,Leonard2010!D:BH,57,FALSE)</f>
        <v>7.1609206420015568</v>
      </c>
      <c r="S50">
        <f>VLOOKUP(B50,Leonard2010!D:BI,58,FALSE)</f>
        <v>7.4938524082887668</v>
      </c>
      <c r="T50">
        <v>4990.8979074071249</v>
      </c>
      <c r="U50">
        <v>19411.980381721736</v>
      </c>
      <c r="V50">
        <v>75502.442512617534</v>
      </c>
      <c r="W50">
        <f>VLOOKUP(B50,Leonard2010!D:CE,80,FALSE)</f>
        <v>606</v>
      </c>
      <c r="X50">
        <f>IF(W50=0,"NA",MIN(((17.5*(VLOOKUP(B50,Leonard2010!D:K,8,FALSE)*1000)^(2/3))/1000),(35-FaultGeometry!K64)/SIN(RADIANS(FaultGeometry!H64))))</f>
        <v>39.712007757475227</v>
      </c>
      <c r="Y50">
        <f t="shared" si="3"/>
        <v>1593239714957833.5</v>
      </c>
      <c r="Z50">
        <f>VLOOKUP(A50,Leonard2010!A:U,21,FALSE)</f>
        <v>1345</v>
      </c>
    </row>
    <row r="51" spans="1:26" x14ac:dyDescent="0.2">
      <c r="A51">
        <f>VLOOKUP(B51,Leonard2010!D:CC,78,FALSE)</f>
        <v>350</v>
      </c>
      <c r="B51" s="52" t="s">
        <v>460</v>
      </c>
      <c r="C51">
        <v>0.5</v>
      </c>
      <c r="D51">
        <v>-13.106999999999999</v>
      </c>
      <c r="E51">
        <v>34.406999999999996</v>
      </c>
      <c r="F51">
        <v>61.1</v>
      </c>
      <c r="G51">
        <v>14</v>
      </c>
      <c r="H51">
        <f>VLOOKUP(B51,Leonard2010!D:N,11,FALSE)</f>
        <v>53</v>
      </c>
      <c r="I51" t="str">
        <f>VLOOKUP(B51,Leonard2010!D:P,13,FALSE)</f>
        <v>E</v>
      </c>
      <c r="J51">
        <f>VLOOKUP(B51,Leonard2010!D:Q,14,FALSE)</f>
        <v>1.5</v>
      </c>
      <c r="K51">
        <f>VLOOKUP(B51,Leonard2010!D:R,15,FALSE)</f>
        <v>0</v>
      </c>
      <c r="L51">
        <f t="shared" si="2"/>
        <v>27.147646713038988</v>
      </c>
      <c r="M51">
        <f>COUNTIF(SectionGeometry!B:B,FaultGeometry!B51)</f>
        <v>2</v>
      </c>
      <c r="N51">
        <f>VLOOKUP(B51,Leonard2010!D:AO,38,FALSE)</f>
        <v>3.6969692971954246E-3</v>
      </c>
      <c r="O51">
        <v>7.0863835915746687E-2</v>
      </c>
      <c r="P51">
        <v>7.6115701950862591E-2</v>
      </c>
      <c r="Q51">
        <f>VLOOKUP(B51,Leonard2010!D:BG,56,FALSE)</f>
        <v>6.8189867290742612</v>
      </c>
      <c r="R51">
        <f>VLOOKUP(B51,Leonard2010!D:BH,57,FALSE)</f>
        <v>7.1609206420015568</v>
      </c>
      <c r="S51">
        <f>VLOOKUP(B51,Leonard2010!D:BI,58,FALSE)</f>
        <v>7.4938524082887668</v>
      </c>
      <c r="T51">
        <v>5181.7931982780092</v>
      </c>
      <c r="U51">
        <v>19696.570363182844</v>
      </c>
      <c r="V51">
        <v>74868.847371357129</v>
      </c>
      <c r="W51">
        <f>VLOOKUP(B51,Leonard2010!D:CE,80,FALSE)</f>
        <v>607</v>
      </c>
      <c r="X51">
        <f>IF(W51=0,"NA",MIN(((17.5*(VLOOKUP(B51,Leonard2010!D:K,8,FALSE)*1000)^(2/3))/1000),(35-FaultGeometry!K65)/SIN(RADIANS(FaultGeometry!H65))))</f>
        <v>39.712007757475227</v>
      </c>
      <c r="Y51">
        <f t="shared" si="3"/>
        <v>1570219460538795.8</v>
      </c>
      <c r="Z51">
        <f>VLOOKUP(A51,Leonard2010!A:U,21,FALSE)</f>
        <v>1345</v>
      </c>
    </row>
    <row r="52" spans="1:26" x14ac:dyDescent="0.2">
      <c r="A52">
        <f>VLOOKUP(B52,Leonard2010!D:CC,78,FALSE)</f>
        <v>351</v>
      </c>
      <c r="B52" s="52" t="s">
        <v>150</v>
      </c>
      <c r="C52">
        <v>1</v>
      </c>
      <c r="D52">
        <v>-12.128</v>
      </c>
      <c r="E52">
        <v>34.552</v>
      </c>
      <c r="F52">
        <v>26.6</v>
      </c>
      <c r="G52">
        <v>327</v>
      </c>
      <c r="H52">
        <f>VLOOKUP(B52,Leonard2010!D:N,11,FALSE)</f>
        <v>53</v>
      </c>
      <c r="I52" t="str">
        <f>VLOOKUP(B52,Leonard2010!D:P,13,FALSE)</f>
        <v>E</v>
      </c>
      <c r="J52">
        <f>VLOOKUP(B52,Leonard2010!D:Q,14,FALSE)</f>
        <v>1.5</v>
      </c>
      <c r="K52">
        <f>VLOOKUP(B52,Leonard2010!D:R,15,FALSE)</f>
        <v>0</v>
      </c>
      <c r="L52">
        <f t="shared" si="2"/>
        <v>15.594057805606319</v>
      </c>
      <c r="M52">
        <f>COUNTIF(SectionGeometry!B:B,FaultGeometry!B52)</f>
        <v>0</v>
      </c>
      <c r="N52">
        <f>VLOOKUP(B52,Leonard2010!D:AO,38,FALSE)</f>
        <v>4.6666632136209288E-3</v>
      </c>
      <c r="O52">
        <v>2.8684566144617667E-2</v>
      </c>
      <c r="P52">
        <v>2.0118273034415449E-2</v>
      </c>
      <c r="Q52">
        <f>VLOOKUP(B52,Leonard2010!D:BG,56,FALSE)</f>
        <v>5.9184061700874411</v>
      </c>
      <c r="R52">
        <f>VLOOKUP(B52,Leonard2010!D:BH,57,FALSE)</f>
        <v>6.1875343951281936</v>
      </c>
      <c r="S52">
        <f>VLOOKUP(B52,Leonard2010!D:BI,58,FALSE)</f>
        <v>6.5204661614154036</v>
      </c>
      <c r="T52">
        <v>5101.3253409158169</v>
      </c>
      <c r="U52">
        <v>16087.146248367995</v>
      </c>
      <c r="V52">
        <v>50731.183980890739</v>
      </c>
      <c r="W52">
        <f>VLOOKUP(B52,Leonard2010!D:CE,80,FALSE)</f>
        <v>0</v>
      </c>
      <c r="X52" t="str">
        <f>IF(W52=0,"NA",MIN(((17.5*(VLOOKUP(B52,Leonard2010!D:K,8,FALSE)*1000)^(2/3))/1000),(35-FaultGeometry!K50)/SIN(RADIANS(FaultGeometry!H50))))</f>
        <v>NA</v>
      </c>
      <c r="Y52">
        <f t="shared" si="3"/>
        <v>133297677528851.97</v>
      </c>
      <c r="Z52">
        <f>VLOOKUP(A52,Leonard2010!A:U,21,FALSE)</f>
        <v>143</v>
      </c>
    </row>
    <row r="53" spans="1:26" x14ac:dyDescent="0.2">
      <c r="A53">
        <f>VLOOKUP(B53,Leonard2010!D:CC,78,FALSE)</f>
        <v>352</v>
      </c>
      <c r="B53" s="52" t="s">
        <v>451</v>
      </c>
      <c r="C53">
        <f t="shared" ref="C53:C58" si="4">1/3</f>
        <v>0.33333333333333331</v>
      </c>
      <c r="D53">
        <v>-12.157</v>
      </c>
      <c r="E53">
        <v>34.43</v>
      </c>
      <c r="F53">
        <v>159.5</v>
      </c>
      <c r="G53">
        <v>166</v>
      </c>
      <c r="H53">
        <f>VLOOKUP(B53,Leonard2010!D:N,11,FALSE)</f>
        <v>53</v>
      </c>
      <c r="I53" t="str">
        <f>VLOOKUP(B53,Leonard2010!D:P,13,FALSE)</f>
        <v>W</v>
      </c>
      <c r="J53">
        <f>VLOOKUP(B53,Leonard2010!D:Q,14,FALSE)</f>
        <v>1.5</v>
      </c>
      <c r="K53">
        <f>VLOOKUP(B53,Leonard2010!D:R,15,FALSE)</f>
        <v>0</v>
      </c>
      <c r="L53">
        <f t="shared" si="2"/>
        <v>43.824748035467898</v>
      </c>
      <c r="M53">
        <f>COUNTIF(SectionGeometry!B:B,FaultGeometry!B53)</f>
        <v>3</v>
      </c>
      <c r="N53">
        <f>VLOOKUP(B53,Leonard2010!D:AO,38,FALSE)</f>
        <v>0.20571468517117503</v>
      </c>
      <c r="O53">
        <v>0.52782397397781322</v>
      </c>
      <c r="P53">
        <v>0.23535066206016736</v>
      </c>
      <c r="Q53">
        <f>VLOOKUP(B53,Leonard2010!D:BG,56,FALSE)</f>
        <v>7.513519190992004</v>
      </c>
      <c r="R53">
        <f>VLOOKUP(B53,Leonard2010!D:BH,57,FALSE)</f>
        <v>7.8766784729112587</v>
      </c>
      <c r="S53">
        <f>VLOOKUP(B53,Leonard2010!D:BI,58,FALSE)</f>
        <v>8.2096102391984687</v>
      </c>
      <c r="T53">
        <v>2329.0628274529504</v>
      </c>
      <c r="U53">
        <v>6027.1659642761988</v>
      </c>
      <c r="V53">
        <v>15597.144539315044</v>
      </c>
      <c r="W53">
        <f>VLOOKUP(B53,Leonard2010!D:CE,80,FALSE)</f>
        <v>608</v>
      </c>
      <c r="X53">
        <f>IF(W53=0,"NA",MIN(((17.5*(VLOOKUP(B53,Leonard2010!D:K,8,FALSE)*1000)^(2/3))/1000),(35-FaultGeometry!K51)/SIN(RADIANS(FaultGeometry!H51))))</f>
        <v>43.824748035467898</v>
      </c>
      <c r="Y53">
        <f t="shared" si="3"/>
        <v>4.0530625322939432E+16</v>
      </c>
      <c r="Z53">
        <f>VLOOKUP(A53,Leonard2010!A:U,21,FALSE)</f>
        <v>6990.0473116571302</v>
      </c>
    </row>
    <row r="54" spans="1:26" x14ac:dyDescent="0.2">
      <c r="A54">
        <f>VLOOKUP(B54,Leonard2010!D:CC,78,FALSE)</f>
        <v>353</v>
      </c>
      <c r="B54" s="52" t="s">
        <v>452</v>
      </c>
      <c r="C54">
        <f t="shared" si="4"/>
        <v>0.33333333333333331</v>
      </c>
      <c r="D54">
        <v>-12.157</v>
      </c>
      <c r="E54">
        <v>34.43</v>
      </c>
      <c r="F54">
        <v>159.5</v>
      </c>
      <c r="G54">
        <v>166</v>
      </c>
      <c r="H54">
        <f>VLOOKUP(B54,Leonard2010!D:N,11,FALSE)</f>
        <v>53</v>
      </c>
      <c r="I54" t="str">
        <f>VLOOKUP(B54,Leonard2010!D:P,13,FALSE)</f>
        <v>W</v>
      </c>
      <c r="J54">
        <f>VLOOKUP(B54,Leonard2010!D:Q,14,FALSE)</f>
        <v>1.5</v>
      </c>
      <c r="K54">
        <f>VLOOKUP(B54,Leonard2010!D:R,15,FALSE)</f>
        <v>0</v>
      </c>
      <c r="L54">
        <f t="shared" si="2"/>
        <v>43.824748035467898</v>
      </c>
      <c r="M54">
        <f>COUNTIF(SectionGeometry!B:B,FaultGeometry!B54)</f>
        <v>3</v>
      </c>
      <c r="N54">
        <f>VLOOKUP(B54,Leonard2010!D:AO,38,FALSE)</f>
        <v>0.20571468517117503</v>
      </c>
      <c r="O54">
        <v>0.52465409754830716</v>
      </c>
      <c r="P54">
        <v>0.2328273157824611</v>
      </c>
      <c r="Q54">
        <f>VLOOKUP(B54,Leonard2010!D:BG,56,FALSE)</f>
        <v>7.513519190992004</v>
      </c>
      <c r="R54">
        <f>VLOOKUP(B54,Leonard2010!D:BH,57,FALSE)</f>
        <v>7.8766784729112587</v>
      </c>
      <c r="S54">
        <f>VLOOKUP(B54,Leonard2010!D:BI,58,FALSE)</f>
        <v>8.2096102391984687</v>
      </c>
      <c r="T54">
        <v>2337.5958692827894</v>
      </c>
      <c r="U54">
        <v>6005.5834496023926</v>
      </c>
      <c r="V54">
        <v>15429.113750617682</v>
      </c>
      <c r="W54">
        <f>VLOOKUP(B54,Leonard2010!D:CE,80,FALSE)</f>
        <v>609</v>
      </c>
      <c r="X54">
        <f>IF(W54=0,"NA",MIN(((17.5*(VLOOKUP(B54,Leonard2010!D:K,8,FALSE)*1000)^(2/3))/1000),(35-FaultGeometry!K52)/SIN(RADIANS(FaultGeometry!H52))))</f>
        <v>43.824748035467898</v>
      </c>
      <c r="Y54">
        <f t="shared" si="3"/>
        <v>4.0676281914528184E+16</v>
      </c>
      <c r="Z54">
        <f>VLOOKUP(A54,Leonard2010!A:U,21,FALSE)</f>
        <v>6990.0473116571302</v>
      </c>
    </row>
    <row r="55" spans="1:26" x14ac:dyDescent="0.2">
      <c r="A55">
        <f>VLOOKUP(B55,Leonard2010!D:CC,78,FALSE)</f>
        <v>354</v>
      </c>
      <c r="B55" s="52" t="s">
        <v>529</v>
      </c>
      <c r="C55">
        <f t="shared" si="4"/>
        <v>0.33333333333333331</v>
      </c>
      <c r="D55">
        <v>-12.157</v>
      </c>
      <c r="E55">
        <v>34.43</v>
      </c>
      <c r="F55">
        <v>159.5</v>
      </c>
      <c r="G55">
        <v>166</v>
      </c>
      <c r="H55">
        <f>VLOOKUP(B55,Leonard2010!D:N,11,FALSE)</f>
        <v>53</v>
      </c>
      <c r="I55" t="str">
        <f>VLOOKUP(B55,Leonard2010!D:P,13,FALSE)</f>
        <v>W</v>
      </c>
      <c r="J55">
        <f>VLOOKUP(B55,Leonard2010!D:Q,14,FALSE)</f>
        <v>1.5</v>
      </c>
      <c r="K55">
        <f>VLOOKUP(B55,Leonard2010!D:R,15,FALSE)</f>
        <v>0</v>
      </c>
      <c r="L55">
        <f t="shared" si="2"/>
        <v>43.824748035467898</v>
      </c>
      <c r="M55">
        <f>COUNTIF(SectionGeometry!B:B,FaultGeometry!B55)</f>
        <v>3</v>
      </c>
      <c r="N55">
        <f>VLOOKUP(B55,Leonard2010!D:AO,38,FALSE)</f>
        <v>0.20571468517117503</v>
      </c>
      <c r="O55">
        <v>0.52319280902434173</v>
      </c>
      <c r="P55">
        <v>0.23291368407699203</v>
      </c>
      <c r="Q55">
        <f>VLOOKUP(B55,Leonard2010!D:BG,56,FALSE)</f>
        <v>7.513519190992004</v>
      </c>
      <c r="R55">
        <f>VLOOKUP(B55,Leonard2010!D:BH,57,FALSE)</f>
        <v>7.8766784729112587</v>
      </c>
      <c r="S55">
        <f>VLOOKUP(B55,Leonard2010!D:BI,58,FALSE)</f>
        <v>8.2096102391984687</v>
      </c>
      <c r="T55">
        <v>2331.0569819156303</v>
      </c>
      <c r="U55">
        <v>6005.9103435173447</v>
      </c>
      <c r="V55">
        <v>15474.078640808708</v>
      </c>
      <c r="W55">
        <f>VLOOKUP(B55,Leonard2010!D:CE,80,FALSE)</f>
        <v>610</v>
      </c>
      <c r="X55">
        <f>IF(W55=0,"NA",MIN(((17.5*(VLOOKUP(B55,Leonard2010!D:K,8,FALSE)*1000)^(2/3))/1000),(35-FaultGeometry!K53)/SIN(RADIANS(FaultGeometry!H53))))</f>
        <v>43.824748035467898</v>
      </c>
      <c r="Y55">
        <f t="shared" si="3"/>
        <v>4.0674067957229416E+16</v>
      </c>
      <c r="Z55">
        <f>VLOOKUP(A55,Leonard2010!A:U,21,FALSE)</f>
        <v>6990.0473116571302</v>
      </c>
    </row>
    <row r="56" spans="1:26" x14ac:dyDescent="0.2">
      <c r="A56">
        <f>VLOOKUP(B56,Leonard2010!D:CC,78,FALSE)</f>
        <v>355</v>
      </c>
      <c r="B56" s="52" t="s">
        <v>449</v>
      </c>
      <c r="C56">
        <f t="shared" si="4"/>
        <v>0.33333333333333331</v>
      </c>
      <c r="D56">
        <v>-13.395</v>
      </c>
      <c r="E56">
        <v>34.843000000000004</v>
      </c>
      <c r="F56">
        <v>109.3</v>
      </c>
      <c r="G56">
        <v>181</v>
      </c>
      <c r="H56">
        <f>VLOOKUP(B56,Leonard2010!D:N,11,FALSE)</f>
        <v>53</v>
      </c>
      <c r="I56" t="str">
        <f>VLOOKUP(B56,Leonard2010!D:P,13,FALSE)</f>
        <v>W</v>
      </c>
      <c r="J56">
        <f>VLOOKUP(B56,Leonard2010!D:Q,14,FALSE)</f>
        <v>0.5</v>
      </c>
      <c r="K56">
        <f>VLOOKUP(B56,Leonard2010!D:R,15,FALSE)</f>
        <v>0</v>
      </c>
      <c r="L56">
        <f t="shared" si="2"/>
        <v>40.00535758315678</v>
      </c>
      <c r="M56">
        <f>COUNTIF(SectionGeometry!B:B,FaultGeometry!B56)</f>
        <v>0</v>
      </c>
      <c r="N56">
        <f>VLOOKUP(B56,Leonard2010!D:AO,38,FALSE)</f>
        <v>0.17499987051078489</v>
      </c>
      <c r="O56">
        <v>0.50334745368523504</v>
      </c>
      <c r="P56">
        <v>0.23223886010289876</v>
      </c>
      <c r="Q56">
        <f>VLOOKUP(B56,Leonard2010!D:BG,56,FALSE)</f>
        <v>7.2399516485861755</v>
      </c>
      <c r="R56">
        <f>VLOOKUP(B56,Leonard2010!D:BH,57,FALSE)</f>
        <v>7.6384722108331191</v>
      </c>
      <c r="S56">
        <f>VLOOKUP(B56,Leonard2010!D:BI,58,FALSE)</f>
        <v>7.9714039771203291</v>
      </c>
      <c r="T56">
        <v>1826.5555025966189</v>
      </c>
      <c r="U56">
        <v>4822.3589622605959</v>
      </c>
      <c r="V56">
        <v>12731.694124725875</v>
      </c>
      <c r="W56">
        <f>VLOOKUP(B56,Leonard2010!D:CE,80,FALSE)</f>
        <v>608</v>
      </c>
      <c r="X56">
        <f>IF(W56=0,"NA",MIN(((17.5*(VLOOKUP(B56,Leonard2010!D:K,8,FALSE)*1000)^(2/3))/1000),(35-FaultGeometry!K54)/SIN(RADIANS(FaultGeometry!H54))))</f>
        <v>43.824748035467898</v>
      </c>
      <c r="Y56">
        <f t="shared" si="3"/>
        <v>2.2249872501103308E+16</v>
      </c>
      <c r="Z56">
        <f>VLOOKUP(A56,Leonard2010!A:U,21,FALSE)</f>
        <v>4039</v>
      </c>
    </row>
    <row r="57" spans="1:26" x14ac:dyDescent="0.2">
      <c r="A57">
        <f>VLOOKUP(B57,Leonard2010!D:CC,78,FALSE)</f>
        <v>356</v>
      </c>
      <c r="B57" s="52" t="s">
        <v>450</v>
      </c>
      <c r="C57">
        <f t="shared" si="4"/>
        <v>0.33333333333333331</v>
      </c>
      <c r="D57">
        <v>-13.395</v>
      </c>
      <c r="E57">
        <v>34.843000000000004</v>
      </c>
      <c r="F57">
        <v>88.4</v>
      </c>
      <c r="G57">
        <v>190</v>
      </c>
      <c r="H57">
        <f>VLOOKUP(B57,Leonard2010!D:N,11,FALSE)</f>
        <v>53</v>
      </c>
      <c r="I57" t="str">
        <f>VLOOKUP(B57,Leonard2010!D:P,13,FALSE)</f>
        <v>W</v>
      </c>
      <c r="J57">
        <f>VLOOKUP(B57,Leonard2010!D:Q,14,FALSE)</f>
        <v>0.5</v>
      </c>
      <c r="K57">
        <f>VLOOKUP(B57,Leonard2010!D:R,15,FALSE)</f>
        <v>0</v>
      </c>
      <c r="L57">
        <f t="shared" si="2"/>
        <v>34.72744978667864</v>
      </c>
      <c r="M57">
        <f>COUNTIF(SectionGeometry!B:B,FaultGeometry!B57)</f>
        <v>3</v>
      </c>
      <c r="N57">
        <f>VLOOKUP(B57,Leonard2010!D:AO,38,FALSE)</f>
        <v>0.15067667500719123</v>
      </c>
      <c r="O57">
        <v>0.4730346046386032</v>
      </c>
      <c r="P57">
        <v>0.23060838835799879</v>
      </c>
      <c r="Q57">
        <f>VLOOKUP(B57,Leonard2010!D:BG,56,FALSE)</f>
        <v>7.0863384870251238</v>
      </c>
      <c r="R57">
        <f>VLOOKUP(B57,Leonard2010!D:BH,57,FALSE)</f>
        <v>7.5193235147045456</v>
      </c>
      <c r="S57">
        <f>VLOOKUP(B57,Leonard2010!D:BI,58,FALSE)</f>
        <v>7.912166023690351</v>
      </c>
      <c r="T57">
        <v>1646.9098740036391</v>
      </c>
      <c r="U57">
        <v>4467.7662637924468</v>
      </c>
      <c r="V57">
        <v>12120.23541965711</v>
      </c>
      <c r="W57">
        <f>VLOOKUP(B57,Leonard2010!D:CE,80,FALSE)</f>
        <v>609</v>
      </c>
      <c r="X57">
        <f>IF(W57=0,"NA",MIN(((17.5*(VLOOKUP(B57,Leonard2010!D:K,8,FALSE)*1000)^(2/3))/1000),(35-FaultGeometry!K55)/SIN(RADIANS(FaultGeometry!H55))))</f>
        <v>43.824748035467898</v>
      </c>
      <c r="Y57">
        <f t="shared" si="3"/>
        <v>1.5913788172772968E+16</v>
      </c>
      <c r="Z57">
        <f>VLOOKUP(A57,Leonard2010!A:U,21,FALSE)</f>
        <v>3069.9065611423921</v>
      </c>
    </row>
    <row r="58" spans="1:26" x14ac:dyDescent="0.2">
      <c r="A58">
        <f>VLOOKUP(B58,Leonard2010!D:CC,78,FALSE)</f>
        <v>357</v>
      </c>
      <c r="B58" s="52" t="s">
        <v>534</v>
      </c>
      <c r="C58">
        <f t="shared" si="4"/>
        <v>0.33333333333333331</v>
      </c>
      <c r="D58">
        <v>-13.395</v>
      </c>
      <c r="E58">
        <v>34.843000000000004</v>
      </c>
      <c r="F58">
        <v>67.099999999999994</v>
      </c>
      <c r="G58">
        <v>173</v>
      </c>
      <c r="H58">
        <f>VLOOKUP(B58,Leonard2010!D:N,11,FALSE)</f>
        <v>53</v>
      </c>
      <c r="I58" t="str">
        <f>VLOOKUP(B58,Leonard2010!D:P,13,FALSE)</f>
        <v>W</v>
      </c>
      <c r="J58">
        <f>VLOOKUP(B58,Leonard2010!D:Q,14,FALSE)</f>
        <v>0.5</v>
      </c>
      <c r="K58">
        <f>VLOOKUP(B58,Leonard2010!D:R,15,FALSE)</f>
        <v>0</v>
      </c>
      <c r="L58">
        <f t="shared" si="2"/>
        <v>28.897020240007397</v>
      </c>
      <c r="M58">
        <f>COUNTIF(SectionGeometry!B:B,FaultGeometry!B58)</f>
        <v>2</v>
      </c>
      <c r="N58">
        <f>VLOOKUP(B58,Leonard2010!D:AO,38,FALSE)</f>
        <v>0.19301929633363235</v>
      </c>
      <c r="O58">
        <v>0.5193983812779458</v>
      </c>
      <c r="P58">
        <v>0.2311036854187791</v>
      </c>
      <c r="Q58">
        <f>VLOOKUP(B58,Leonard2010!D:BG,56,FALSE)</f>
        <v>6.8867889122849917</v>
      </c>
      <c r="R58">
        <f>VLOOKUP(B58,Leonard2010!D:BH,57,FALSE)</f>
        <v>7.3197739399644135</v>
      </c>
      <c r="S58">
        <f>VLOOKUP(B58,Leonard2010!D:BI,58,FALSE)</f>
        <v>7.8076076662373666</v>
      </c>
      <c r="T58">
        <v>1238.7928467620395</v>
      </c>
      <c r="U58">
        <v>3187.1553161442089</v>
      </c>
      <c r="V58">
        <v>8199.8851024827891</v>
      </c>
      <c r="W58">
        <f>VLOOKUP(B58,Leonard2010!D:CE,80,FALSE)</f>
        <v>610</v>
      </c>
      <c r="X58">
        <f>IF(W58=0,"NA",MIN(((17.5*(VLOOKUP(B58,Leonard2010!D:K,8,FALSE)*1000)^(2/3))/1000),(35-FaultGeometry!K56)/SIN(RADIANS(FaultGeometry!H56))))</f>
        <v>43.824748035467898</v>
      </c>
      <c r="Y58">
        <f t="shared" si="3"/>
        <v>1.1197895936968068E+16</v>
      </c>
      <c r="Z58">
        <f>VLOOKUP(A58,Leonard2010!A:U,21,FALSE)</f>
        <v>1938.9900581044963</v>
      </c>
    </row>
    <row r="59" spans="1:26" x14ac:dyDescent="0.2">
      <c r="A59">
        <f>VLOOKUP(B59,Leonard2010!D:CC,78,FALSE)</f>
        <v>358</v>
      </c>
      <c r="B59" s="52" t="s">
        <v>201</v>
      </c>
      <c r="C59">
        <v>1</v>
      </c>
      <c r="D59">
        <v>-11.872999999999999</v>
      </c>
      <c r="E59">
        <v>34.473999999999997</v>
      </c>
      <c r="F59">
        <v>29</v>
      </c>
      <c r="G59">
        <v>156</v>
      </c>
      <c r="H59">
        <f>VLOOKUP(B59,Leonard2010!D:N,11,FALSE)</f>
        <v>53</v>
      </c>
      <c r="I59" t="str">
        <f>VLOOKUP(B59,Leonard2010!D:P,13,FALSE)</f>
        <v>W</v>
      </c>
      <c r="J59">
        <f>VLOOKUP(B59,Leonard2010!D:Q,14,FALSE)</f>
        <v>1</v>
      </c>
      <c r="K59">
        <f>VLOOKUP(B59,Leonard2010!D:R,15,FALSE)</f>
        <v>0.5</v>
      </c>
      <c r="L59">
        <f t="shared" ref="L59:L100" si="5">MIN((((F59*1000)^(2/3)*17.5)/1000),((35-K59)/SIN(RADIANS(H59))))</f>
        <v>16.518478685436637</v>
      </c>
      <c r="M59">
        <f>COUNTIF(SectionGeometry!B:B,FaultGeometry!B59)</f>
        <v>0</v>
      </c>
      <c r="N59">
        <f>VLOOKUP(B59,Leonard2010!D:AO,38,FALSE)</f>
        <v>5.200373024296827E-3</v>
      </c>
      <c r="O59">
        <v>2.9573694478221484E-2</v>
      </c>
      <c r="P59">
        <v>2.0662587309447766E-2</v>
      </c>
      <c r="Q59">
        <f>VLOOKUP(B59,Leonard2010!D:BG,56,FALSE)</f>
        <v>6.279581375168263</v>
      </c>
      <c r="R59">
        <f>VLOOKUP(B59,Leonard2010!D:BH,57,FALSE)</f>
        <v>6.7125664028476848</v>
      </c>
      <c r="S59">
        <f>VLOOKUP(B59,Leonard2010!D:BI,58,FALSE)</f>
        <v>7.2004001291206379</v>
      </c>
      <c r="T59">
        <v>8342.3267838983957</v>
      </c>
      <c r="U59">
        <v>27238.155140921237</v>
      </c>
      <c r="V59">
        <v>88934.072555497987</v>
      </c>
      <c r="W59">
        <f>VLOOKUP(B59,Leonard2010!D:CE,80,FALSE)</f>
        <v>0</v>
      </c>
      <c r="X59" t="str">
        <f>IF(W59=0,"NA",MIN(((17.5*(VLOOKUP(B59,Leonard2010!D:K,8,FALSE)*1000)^(2/3))/1000),(35-FaultGeometry!K57)/SIN(RADIANS(FaultGeometry!H57))))</f>
        <v>NA</v>
      </c>
      <c r="Y59">
        <f t="shared" ref="Y59:Y98" si="6">C59*10^(R59*1.5+9.05)/U59</f>
        <v>482694016261027.19</v>
      </c>
      <c r="Z59">
        <f>VLOOKUP(A59,Leonard2010!A:U,21,FALSE)</f>
        <v>479.03588187766246</v>
      </c>
    </row>
    <row r="60" spans="1:26" x14ac:dyDescent="0.2">
      <c r="A60">
        <f>VLOOKUP(B60,Leonard2010!D:CC,78,FALSE)</f>
        <v>359</v>
      </c>
      <c r="B60" s="52" t="s">
        <v>409</v>
      </c>
      <c r="C60">
        <v>0.5</v>
      </c>
      <c r="D60">
        <v>-12.227</v>
      </c>
      <c r="E60">
        <v>34.301000000000002</v>
      </c>
      <c r="F60">
        <v>54</v>
      </c>
      <c r="G60">
        <v>3</v>
      </c>
      <c r="H60">
        <f>VLOOKUP(B60,Leonard2010!D:N,11,FALSE)</f>
        <v>53</v>
      </c>
      <c r="I60" t="str">
        <f>VLOOKUP(B60,Leonard2010!D:P,13,FALSE)</f>
        <v>E</v>
      </c>
      <c r="J60">
        <f>VLOOKUP(B60,Leonard2010!D:Q,14,FALSE)</f>
        <v>1</v>
      </c>
      <c r="K60">
        <f>VLOOKUP(B60,Leonard2010!D:R,15,FALSE)</f>
        <v>0.5</v>
      </c>
      <c r="L60">
        <f t="shared" si="5"/>
        <v>25.001566568499133</v>
      </c>
      <c r="M60">
        <f>COUNTIF(SectionGeometry!B:B,FaultGeometry!B60)</f>
        <v>2</v>
      </c>
      <c r="N60">
        <f>VLOOKUP(B60,Leonard2010!D:AO,38,FALSE)</f>
        <v>4.5319355818178699E-3</v>
      </c>
      <c r="O60">
        <v>7.5937351154702196E-2</v>
      </c>
      <c r="P60">
        <v>7.9344854516605251E-2</v>
      </c>
      <c r="Q60">
        <f>VLOOKUP(B60,Leonard2010!D:BG,56,FALSE)</f>
        <v>6.4452152089962098</v>
      </c>
      <c r="R60">
        <f>VLOOKUP(B60,Leonard2010!D:BH,57,FALSE)</f>
        <v>6.867254459383247</v>
      </c>
      <c r="S60">
        <f>VLOOKUP(B60,Leonard2010!D:BI,58,FALSE)</f>
        <v>7.3006373897750549</v>
      </c>
      <c r="T60">
        <v>3510.4768409071285</v>
      </c>
      <c r="U60">
        <v>13103.022256473907</v>
      </c>
      <c r="V60">
        <v>48907.655579144921</v>
      </c>
      <c r="W60">
        <f>VLOOKUP(B60,Leonard2010!D:CE,80,FALSE)</f>
        <v>611</v>
      </c>
      <c r="X60">
        <f>IF(W60=0,"NA",MIN(((17.5*(VLOOKUP(B60,Leonard2010!D:K,8,FALSE)*1000)^(2/3))/1000),(35-FaultGeometry!K58)/SIN(RADIANS(FaultGeometry!H58))))</f>
        <v>39.687513071688507</v>
      </c>
      <c r="Y60">
        <f t="shared" si="6"/>
        <v>856012713186734.88</v>
      </c>
      <c r="Z60">
        <f>VLOOKUP(A60,Leonard2010!A:U,21,FALSE)</f>
        <v>684</v>
      </c>
    </row>
    <row r="61" spans="1:26" x14ac:dyDescent="0.2">
      <c r="A61">
        <f>VLOOKUP(B61,Leonard2010!D:CC,78,FALSE)</f>
        <v>360</v>
      </c>
      <c r="B61" s="52" t="s">
        <v>410</v>
      </c>
      <c r="C61">
        <v>0.5</v>
      </c>
      <c r="D61">
        <v>-12.087</v>
      </c>
      <c r="E61">
        <v>34.164000000000001</v>
      </c>
      <c r="F61">
        <v>37.799999999999997</v>
      </c>
      <c r="G61">
        <v>28</v>
      </c>
      <c r="H61">
        <f>VLOOKUP(B61,Leonard2010!D:N,11,FALSE)</f>
        <v>53</v>
      </c>
      <c r="I61" t="str">
        <f>VLOOKUP(B61,Leonard2010!D:P,13,FALSE)</f>
        <v>E</v>
      </c>
      <c r="J61">
        <f>VLOOKUP(B61,Leonard2010!D:Q,14,FALSE)</f>
        <v>1</v>
      </c>
      <c r="K61">
        <f>VLOOKUP(B61,Leonard2010!D:R,15,FALSE)</f>
        <v>0.5</v>
      </c>
      <c r="L61">
        <f t="shared" si="5"/>
        <v>19.710572948879317</v>
      </c>
      <c r="M61">
        <f>COUNTIF(SectionGeometry!B:B,FaultGeometry!B61)</f>
        <v>2</v>
      </c>
      <c r="N61">
        <f>VLOOKUP(B61,Leonard2010!D:AO,38,FALSE)</f>
        <v>2.4424021020645783E-3</v>
      </c>
      <c r="O61">
        <v>5.8773068358565342E-2</v>
      </c>
      <c r="P61">
        <v>6.6802752637428742E-2</v>
      </c>
      <c r="Q61">
        <f>VLOOKUP(B61,Leonard2010!D:BG,56,FALSE)</f>
        <v>6.4714043783987121</v>
      </c>
      <c r="R61">
        <f>VLOOKUP(B61,Leonard2010!D:BH,57,FALSE)</f>
        <v>6.9043894060781339</v>
      </c>
      <c r="S61">
        <f>VLOOKUP(B61,Leonard2010!D:BI,58,FALSE)</f>
        <v>7.392223132351087</v>
      </c>
      <c r="T61">
        <v>4004.1135409482181</v>
      </c>
      <c r="U61">
        <v>17125.842823086139</v>
      </c>
      <c r="V61">
        <v>73248.295634392955</v>
      </c>
      <c r="W61">
        <f>VLOOKUP(B61,Leonard2010!D:CE,80,FALSE)</f>
        <v>0</v>
      </c>
      <c r="X61" t="str">
        <f>IF(W61=0,"NA",MIN(((17.5*(VLOOKUP(B61,Leonard2010!D:K,8,FALSE)*1000)^(2/3))/1000),(35-FaultGeometry!K59)/SIN(RADIANS(FaultGeometry!H59))))</f>
        <v>NA</v>
      </c>
      <c r="Y61">
        <f t="shared" si="6"/>
        <v>744564215231496.75</v>
      </c>
      <c r="Z61">
        <f>VLOOKUP(A61,Leonard2010!A:U,21,FALSE)</f>
        <v>745.05965746763809</v>
      </c>
    </row>
    <row r="62" spans="1:26" x14ac:dyDescent="0.2">
      <c r="A62">
        <f>VLOOKUP(B62,Leonard2010!D:CC,78,FALSE)</f>
        <v>361</v>
      </c>
      <c r="B62" s="52" t="s">
        <v>407</v>
      </c>
      <c r="C62">
        <v>0.5</v>
      </c>
      <c r="D62">
        <v>-12.22</v>
      </c>
      <c r="E62">
        <v>34.348999999999997</v>
      </c>
      <c r="F62">
        <v>54</v>
      </c>
      <c r="G62">
        <v>168</v>
      </c>
      <c r="H62">
        <f>VLOOKUP(B62,Leonard2010!D:N,11,FALSE)</f>
        <v>53</v>
      </c>
      <c r="I62" t="str">
        <f>VLOOKUP(B62,Leonard2010!D:P,13,FALSE)</f>
        <v>W</v>
      </c>
      <c r="J62">
        <f>VLOOKUP(B62,Leonard2010!D:Q,14,FALSE)</f>
        <v>2</v>
      </c>
      <c r="K62">
        <f>VLOOKUP(B62,Leonard2010!D:R,15,FALSE)</f>
        <v>0</v>
      </c>
      <c r="L62">
        <f t="shared" si="5"/>
        <v>25.001566568499133</v>
      </c>
      <c r="M62">
        <f>COUNTIF(SectionGeometry!B:B,FaultGeometry!B62)</f>
        <v>0</v>
      </c>
      <c r="N62">
        <f>VLOOKUP(B62,Leonard2010!D:AO,38,FALSE)</f>
        <v>5.3971445783779761E-3</v>
      </c>
      <c r="O62">
        <v>8.0682347876854549E-2</v>
      </c>
      <c r="P62">
        <v>8.1872707752945917E-2</v>
      </c>
      <c r="Q62">
        <f>VLOOKUP(B62,Leonard2010!D:BG,56,FALSE)</f>
        <v>6.7295743117082836</v>
      </c>
      <c r="R62">
        <f>VLOOKUP(B62,Leonard2010!D:BH,57,FALSE)</f>
        <v>7.1625593393877054</v>
      </c>
      <c r="S62">
        <f>VLOOKUP(B62,Leonard2010!D:BI,58,FALSE)</f>
        <v>7.6503930656606585</v>
      </c>
      <c r="T62">
        <v>4471.275295825908</v>
      </c>
      <c r="U62">
        <v>16723.905630737827</v>
      </c>
      <c r="V62">
        <v>62552.404189230714</v>
      </c>
      <c r="W62">
        <f>VLOOKUP(B62,Leonard2010!D:CE,80,FALSE)</f>
        <v>610</v>
      </c>
      <c r="X62">
        <f>IF(W62=0,"NA",MIN(((17.5*(VLOOKUP(B62,Leonard2010!D:K,8,FALSE)*1000)^(2/3))/1000),(35-FaultGeometry!K60)/SIN(RADIANS(FaultGeometry!H60))))</f>
        <v>39.687513071688507</v>
      </c>
      <c r="Y62">
        <f t="shared" si="6"/>
        <v>1859821676442721</v>
      </c>
      <c r="Z62">
        <f>VLOOKUP(A62,Leonard2010!A:U,21,FALSE)</f>
        <v>1350.0845946989532</v>
      </c>
    </row>
    <row r="63" spans="1:26" x14ac:dyDescent="0.2">
      <c r="A63">
        <f>VLOOKUP(B63,Leonard2010!D:CC,78,FALSE)</f>
        <v>362</v>
      </c>
      <c r="B63" s="52" t="s">
        <v>408</v>
      </c>
      <c r="C63">
        <v>0.5</v>
      </c>
      <c r="D63">
        <v>-12.22</v>
      </c>
      <c r="E63">
        <v>34.348999999999997</v>
      </c>
      <c r="F63">
        <v>54</v>
      </c>
      <c r="G63">
        <v>168</v>
      </c>
      <c r="H63">
        <f>VLOOKUP(B63,Leonard2010!D:N,11,FALSE)</f>
        <v>53</v>
      </c>
      <c r="I63" t="str">
        <f>VLOOKUP(B63,Leonard2010!D:P,13,FALSE)</f>
        <v>W</v>
      </c>
      <c r="J63">
        <f>VLOOKUP(B63,Leonard2010!D:Q,14,FALSE)</f>
        <v>2</v>
      </c>
      <c r="K63">
        <f>VLOOKUP(B63,Leonard2010!D:R,15,FALSE)</f>
        <v>0</v>
      </c>
      <c r="L63">
        <f t="shared" si="5"/>
        <v>25.001566568499133</v>
      </c>
      <c r="M63">
        <f>COUNTIF(SectionGeometry!B:B,FaultGeometry!B63)</f>
        <v>0</v>
      </c>
      <c r="N63">
        <f>VLOOKUP(B63,Leonard2010!D:AO,38,FALSE)</f>
        <v>5.3971445783779761E-3</v>
      </c>
      <c r="O63">
        <v>8.1277995934985095E-2</v>
      </c>
      <c r="P63">
        <v>8.2131405389514134E-2</v>
      </c>
      <c r="Q63">
        <f>VLOOKUP(B63,Leonard2010!D:BG,56,FALSE)</f>
        <v>6.7295743117082836</v>
      </c>
      <c r="R63">
        <f>VLOOKUP(B63,Leonard2010!D:BH,57,FALSE)</f>
        <v>7.1625593393877054</v>
      </c>
      <c r="S63">
        <f>VLOOKUP(B63,Leonard2010!D:BI,58,FALSE)</f>
        <v>7.6503930656606585</v>
      </c>
      <c r="T63">
        <v>4426.3168265014892</v>
      </c>
      <c r="U63">
        <v>16553.467544143594</v>
      </c>
      <c r="V63">
        <v>61906.388194899184</v>
      </c>
      <c r="W63">
        <f>VLOOKUP(B63,Leonard2010!D:CE,80,FALSE)</f>
        <v>0</v>
      </c>
      <c r="X63" t="str">
        <f>IF(W63=0,"NA",MIN(((17.5*(VLOOKUP(B63,Leonard2010!D:K,8,FALSE)*1000)^(2/3))/1000),(35-FaultGeometry!K61)/SIN(RADIANS(FaultGeometry!H61))))</f>
        <v>NA</v>
      </c>
      <c r="Y63">
        <f t="shared" si="6"/>
        <v>1878970803179706.2</v>
      </c>
      <c r="Z63">
        <f>VLOOKUP(A63,Leonard2010!A:U,21,FALSE)</f>
        <v>1350.0845946989532</v>
      </c>
    </row>
    <row r="64" spans="1:26" x14ac:dyDescent="0.2">
      <c r="A64">
        <f>VLOOKUP(B64,Leonard2010!D:CC,78,FALSE)</f>
        <v>363</v>
      </c>
      <c r="B64" s="52" t="s">
        <v>138</v>
      </c>
      <c r="C64">
        <v>1</v>
      </c>
      <c r="D64">
        <v>-12.13</v>
      </c>
      <c r="E64">
        <v>34.438000000000002</v>
      </c>
      <c r="F64">
        <v>32.700000000000003</v>
      </c>
      <c r="G64">
        <v>343</v>
      </c>
      <c r="H64">
        <f>VLOOKUP(B64,Leonard2010!D:N,11,FALSE)</f>
        <v>53</v>
      </c>
      <c r="I64" t="str">
        <f>VLOOKUP(B64,Leonard2010!D:P,13,FALSE)</f>
        <v>E</v>
      </c>
      <c r="J64">
        <f>VLOOKUP(B64,Leonard2010!D:Q,14,FALSE)</f>
        <v>1.5</v>
      </c>
      <c r="K64">
        <f>VLOOKUP(B64,Leonard2010!D:R,15,FALSE)</f>
        <v>0</v>
      </c>
      <c r="L64">
        <f t="shared" si="5"/>
        <v>17.895199750823576</v>
      </c>
      <c r="M64">
        <f>COUNTIF(SectionGeometry!B:B,FaultGeometry!B64)</f>
        <v>2</v>
      </c>
      <c r="N64">
        <f>VLOOKUP(B64,Leonard2010!D:AO,38,FALSE)</f>
        <v>5.5275152295877605E-3</v>
      </c>
      <c r="O64">
        <v>2.9981010149963537E-2</v>
      </c>
      <c r="P64">
        <v>2.0566672163410172E-2</v>
      </c>
      <c r="Q64">
        <f>VLOOKUP(B64,Leonard2010!D:BG,56,FALSE)</f>
        <v>6.3664976331038119</v>
      </c>
      <c r="R64">
        <f>VLOOKUP(B64,Leonard2010!D:BH,57,FALSE)</f>
        <v>6.6882965596759618</v>
      </c>
      <c r="S64">
        <f>VLOOKUP(B64,Leonard2010!D:BI,58,FALSE)</f>
        <v>7.0212283259631718</v>
      </c>
      <c r="T64">
        <v>8497.6636047911707</v>
      </c>
      <c r="U64">
        <v>26690.499928138353</v>
      </c>
      <c r="V64">
        <v>83832.782697151764</v>
      </c>
      <c r="W64">
        <f>VLOOKUP(B64,Leonard2010!D:CE,80,FALSE)</f>
        <v>0</v>
      </c>
      <c r="X64" t="str">
        <f>IF(W64=0,"NA",MIN(((17.5*(VLOOKUP(B64,Leonard2010!D:K,8,FALSE)*1000)^(2/3))/1000),(35-FaultGeometry!K62)/SIN(RADIANS(FaultGeometry!H62))))</f>
        <v>NA</v>
      </c>
      <c r="Y64">
        <f t="shared" si="6"/>
        <v>452989495412203.38</v>
      </c>
      <c r="Z64">
        <f>VLOOKUP(A64,Leonard2010!A:U,21,FALSE)</f>
        <v>453</v>
      </c>
    </row>
    <row r="65" spans="1:26" x14ac:dyDescent="0.2">
      <c r="A65">
        <f>VLOOKUP(B65,Leonard2010!D:CC,78,FALSE)</f>
        <v>364</v>
      </c>
      <c r="B65" s="52" t="s">
        <v>179</v>
      </c>
      <c r="C65">
        <v>1</v>
      </c>
      <c r="D65">
        <v>-13.641999999999999</v>
      </c>
      <c r="E65">
        <v>34.685000000000002</v>
      </c>
      <c r="F65">
        <v>16.3</v>
      </c>
      <c r="G65">
        <v>10</v>
      </c>
      <c r="H65">
        <f>VLOOKUP(B65,Leonard2010!D:N,11,FALSE)</f>
        <v>53</v>
      </c>
      <c r="I65" t="str">
        <f>VLOOKUP(B65,Leonard2010!D:P,13,FALSE)</f>
        <v>E</v>
      </c>
      <c r="J65">
        <f>VLOOKUP(B65,Leonard2010!D:Q,14,FALSE)</f>
        <v>1</v>
      </c>
      <c r="K65">
        <f>VLOOKUP(B65,Leonard2010!D:R,15,FALSE)</f>
        <v>0</v>
      </c>
      <c r="L65">
        <f t="shared" si="5"/>
        <v>11.250274478899879</v>
      </c>
      <c r="M65">
        <f>COUNTIF(SectionGeometry!B:B,FaultGeometry!B65)</f>
        <v>0</v>
      </c>
      <c r="N65">
        <f>VLOOKUP(B65,Leonard2010!D:AO,38,FALSE)</f>
        <v>4.0180446668584341E-3</v>
      </c>
      <c r="O65">
        <v>7.2955940320067109E-2</v>
      </c>
      <c r="P65">
        <v>7.7213156507969297E-2</v>
      </c>
      <c r="Q65">
        <f>VLOOKUP(B65,Leonard2010!D:BG,56,FALSE)</f>
        <v>5.862564052676599</v>
      </c>
      <c r="R65">
        <f>VLOOKUP(B65,Leonard2010!D:BH,57,FALSE)</f>
        <v>6.2024600730580888</v>
      </c>
      <c r="S65">
        <f>VLOOKUP(B65,Leonard2010!D:BI,58,FALSE)</f>
        <v>6.5353918393452988</v>
      </c>
      <c r="T65">
        <v>1689.559329297336</v>
      </c>
      <c r="U65">
        <v>6335.2999577987257</v>
      </c>
      <c r="V65">
        <v>23755.321792680999</v>
      </c>
      <c r="W65">
        <f>VLOOKUP(B65,Leonard2010!D:CE,80,FALSE)</f>
        <v>0</v>
      </c>
      <c r="X65" t="str">
        <f>IF(W65=0,"NA",MIN(((17.5*(VLOOKUP(B65,Leonard2010!D:K,8,FALSE)*1000)^(2/3))/1000),(35-FaultGeometry!K63)/SIN(RADIANS(FaultGeometry!H63))))</f>
        <v>NA</v>
      </c>
      <c r="Y65">
        <f t="shared" si="6"/>
        <v>356387880934800.62</v>
      </c>
      <c r="Z65">
        <f>VLOOKUP(A65,Leonard2010!A:U,21,FALSE)</f>
        <v>148</v>
      </c>
    </row>
    <row r="66" spans="1:26" x14ac:dyDescent="0.2">
      <c r="A66">
        <f>VLOOKUP(B66,Leonard2010!D:CC,78,FALSE)</f>
        <v>365</v>
      </c>
      <c r="B66" s="52" t="s">
        <v>180</v>
      </c>
      <c r="C66">
        <v>1</v>
      </c>
      <c r="D66">
        <v>-13.103</v>
      </c>
      <c r="E66">
        <v>34.523000000000003</v>
      </c>
      <c r="F66">
        <v>35.1</v>
      </c>
      <c r="G66">
        <v>153</v>
      </c>
      <c r="H66">
        <f>VLOOKUP(B66,Leonard2010!D:N,11,FALSE)</f>
        <v>53</v>
      </c>
      <c r="I66" t="str">
        <f>VLOOKUP(B66,Leonard2010!D:P,13,FALSE)</f>
        <v>SW</v>
      </c>
      <c r="J66">
        <f>VLOOKUP(B66,Leonard2010!D:Q,14,FALSE)</f>
        <v>1.5</v>
      </c>
      <c r="K66">
        <f>VLOOKUP(B66,Leonard2010!D:R,15,FALSE)</f>
        <v>0</v>
      </c>
      <c r="L66">
        <f t="shared" si="5"/>
        <v>18.760430196843807</v>
      </c>
      <c r="M66">
        <f>COUNTIF(SectionGeometry!B:B,FaultGeometry!B66)</f>
        <v>0</v>
      </c>
      <c r="N66">
        <f>VLOOKUP(B66,Leonard2010!D:AO,38,FALSE)</f>
        <v>5.0361106946242339E-3</v>
      </c>
      <c r="O66">
        <v>7.8296523065581478E-2</v>
      </c>
      <c r="P66">
        <v>8.0223058910155451E-2</v>
      </c>
      <c r="Q66">
        <f>VLOOKUP(B66,Leonard2010!D:BG,56,FALSE)</f>
        <v>6.4177632394463773</v>
      </c>
      <c r="R66">
        <f>VLOOKUP(B66,Leonard2010!D:BH,57,FALSE)</f>
        <v>6.8507482671257991</v>
      </c>
      <c r="S66">
        <f>VLOOKUP(B66,Leonard2010!D:BI,58,FALSE)</f>
        <v>7.3385819933987522</v>
      </c>
      <c r="T66">
        <v>3185.2659257413275</v>
      </c>
      <c r="U66">
        <v>11932.490986218541</v>
      </c>
      <c r="V66">
        <v>44700.927475324905</v>
      </c>
      <c r="W66">
        <f>VLOOKUP(B66,Leonard2010!D:CE,80,FALSE)</f>
        <v>0</v>
      </c>
      <c r="X66" t="str">
        <f>IF(W66=0,"NA",MIN(((17.5*(VLOOKUP(B66,Leonard2010!D:K,8,FALSE)*1000)^(2/3))/1000),(35-FaultGeometry!K66)/SIN(RADIANS(FaultGeometry!H66))))</f>
        <v>NA</v>
      </c>
      <c r="Y66">
        <f t="shared" si="6"/>
        <v>1775788690312323.2</v>
      </c>
      <c r="Z66">
        <f>VLOOKUP(A66,Leonard2010!A:U,21,FALSE)</f>
        <v>658.49109990921761</v>
      </c>
    </row>
    <row r="67" spans="1:26" x14ac:dyDescent="0.2">
      <c r="A67">
        <f>VLOOKUP(B67,Leonard2010!D:CC,78,FALSE)</f>
        <v>366</v>
      </c>
      <c r="B67" s="52" t="s">
        <v>212</v>
      </c>
      <c r="C67">
        <v>1</v>
      </c>
      <c r="D67">
        <v>-11.904999999999999</v>
      </c>
      <c r="E67">
        <v>34.545999999999999</v>
      </c>
      <c r="F67">
        <v>58.2</v>
      </c>
      <c r="G67">
        <v>172</v>
      </c>
      <c r="H67">
        <f>VLOOKUP(B67,Leonard2010!D:N,11,FALSE)</f>
        <v>53</v>
      </c>
      <c r="I67" t="str">
        <f>VLOOKUP(B67,Leonard2010!D:P,13,FALSE)</f>
        <v>W</v>
      </c>
      <c r="J67">
        <f>VLOOKUP(B67,Leonard2010!D:Q,14,FALSE)</f>
        <v>1</v>
      </c>
      <c r="K67">
        <f>VLOOKUP(B67,Leonard2010!D:R,15,FALSE)</f>
        <v>0</v>
      </c>
      <c r="L67">
        <f t="shared" si="5"/>
        <v>26.281695048365354</v>
      </c>
      <c r="M67">
        <f>COUNTIF(SectionGeometry!B:B,FaultGeometry!B67)</f>
        <v>2</v>
      </c>
      <c r="N67">
        <f>VLOOKUP(B67,Leonard2010!D:AO,38,FALSE)</f>
        <v>5.200373024296827E-3</v>
      </c>
      <c r="O67">
        <v>2.9784457177152664E-2</v>
      </c>
      <c r="P67">
        <v>2.0427046169854808E-2</v>
      </c>
      <c r="Q67">
        <f>VLOOKUP(B67,Leonard2010!D:BG,56,FALSE)</f>
        <v>6.7837896864198184</v>
      </c>
      <c r="R67">
        <f>VLOOKUP(B67,Leonard2010!D:BH,57,FALSE)</f>
        <v>7.2167747140992402</v>
      </c>
      <c r="S67">
        <f>VLOOKUP(B67,Leonard2010!D:BI,58,FALSE)</f>
        <v>7.7046084403721933</v>
      </c>
      <c r="T67">
        <v>14820.25794590933</v>
      </c>
      <c r="U67">
        <v>46960.161792061335</v>
      </c>
      <c r="V67">
        <v>148800.16283017996</v>
      </c>
      <c r="W67">
        <f>VLOOKUP(B67,Leonard2010!D:CE,80,FALSE)</f>
        <v>0</v>
      </c>
      <c r="X67" t="str">
        <f>IF(W67=0,"NA",MIN(((17.5*(VLOOKUP(B67,Leonard2010!D:K,8,FALSE)*1000)^(2/3))/1000),(35-FaultGeometry!K67)/SIN(RADIANS(FaultGeometry!H67))))</f>
        <v>NA</v>
      </c>
      <c r="Y67">
        <f t="shared" si="6"/>
        <v>1597469174738176.5</v>
      </c>
      <c r="Z67">
        <f>VLOOKUP(A67,Leonard2010!A:U,21,FALSE)</f>
        <v>1529.5946518148637</v>
      </c>
    </row>
    <row r="68" spans="1:26" x14ac:dyDescent="0.2">
      <c r="A68">
        <f>VLOOKUP(B68,Leonard2010!D:CC,78,FALSE)</f>
        <v>367</v>
      </c>
      <c r="B68" s="12" t="s">
        <v>96</v>
      </c>
      <c r="C68">
        <v>1</v>
      </c>
      <c r="D68">
        <v>-11.595000000000001</v>
      </c>
      <c r="E68">
        <v>34.125</v>
      </c>
      <c r="F68">
        <v>21.1</v>
      </c>
      <c r="G68">
        <v>200</v>
      </c>
      <c r="H68">
        <f>VLOOKUP(B68,Leonard2010!D:N,11,FALSE)</f>
        <v>53</v>
      </c>
      <c r="I68" t="str">
        <f>VLOOKUP(B68,Leonard2010!D:P,13,FALSE)</f>
        <v>W</v>
      </c>
      <c r="J68">
        <f>VLOOKUP(B68,Leonard2010!D:Q,14,FALSE)</f>
        <v>0</v>
      </c>
      <c r="K68">
        <f>VLOOKUP(B68,Leonard2010!D:R,15,FALSE)</f>
        <v>0</v>
      </c>
      <c r="L68">
        <f t="shared" si="5"/>
        <v>13.362663093500624</v>
      </c>
      <c r="M68">
        <f>COUNTIF(SectionGeometry!B:B,FaultGeometry!B68)</f>
        <v>0</v>
      </c>
      <c r="N68">
        <f>VLOOKUP(B68,Leonard2010!D:AO,38,FALSE)</f>
        <v>5.5452561241628139E-3</v>
      </c>
      <c r="O68">
        <v>3.9580082197142812E-2</v>
      </c>
      <c r="P68">
        <v>2.8792100064073008E-2</v>
      </c>
      <c r="Q68">
        <f>VLOOKUP(B68,Leonard2010!D:BG,56,FALSE)</f>
        <v>6.0493888041661563</v>
      </c>
      <c r="R68">
        <f>VLOOKUP(B68,Leonard2010!D:BH,57,FALSE)</f>
        <v>6.4823738318455808</v>
      </c>
      <c r="S68">
        <f>VLOOKUP(B68,Leonard2010!D:BI,58,FALSE)</f>
        <v>6.9702075581185339</v>
      </c>
      <c r="T68">
        <v>4621.7131889945849</v>
      </c>
      <c r="U68">
        <v>15340.365919297841</v>
      </c>
      <c r="V68">
        <v>50917.661246986223</v>
      </c>
      <c r="W68">
        <f>VLOOKUP(B68,Leonard2010!D:CE,80,FALSE)</f>
        <v>0</v>
      </c>
      <c r="X68" t="str">
        <f>IF(W68=0,"NA",MIN(((17.5*(VLOOKUP(B68,Leonard2010!D:K,8,FALSE)*1000)^(2/3))/1000),(35-FaultGeometry!K68)/SIN(RADIANS(FaultGeometry!H68))))</f>
        <v>NA</v>
      </c>
      <c r="Y68">
        <f t="shared" si="6"/>
        <v>387012532309271.94</v>
      </c>
      <c r="Z68">
        <f>VLOOKUP(A68,Leonard2010!A:U,21,FALSE)</f>
        <v>281.95219127286316</v>
      </c>
    </row>
    <row r="69" spans="1:26" x14ac:dyDescent="0.2">
      <c r="A69">
        <f>VLOOKUP(B69,Leonard2010!D:CC,78,FALSE)</f>
        <v>368</v>
      </c>
      <c r="B69" s="12" t="s">
        <v>204</v>
      </c>
      <c r="C69">
        <v>1</v>
      </c>
      <c r="D69">
        <v>-11.573</v>
      </c>
      <c r="E69">
        <v>34.228999999999999</v>
      </c>
      <c r="F69">
        <v>37.199999999999996</v>
      </c>
      <c r="G69">
        <v>195</v>
      </c>
      <c r="H69">
        <f>VLOOKUP(B69,Leonard2010!D:N,11,FALSE)</f>
        <v>53</v>
      </c>
      <c r="I69" t="str">
        <f>VLOOKUP(B69,Leonard2010!D:P,13,FALSE)</f>
        <v>W</v>
      </c>
      <c r="J69">
        <f>VLOOKUP(B69,Leonard2010!D:Q,14,FALSE)</f>
        <v>0</v>
      </c>
      <c r="K69">
        <f>VLOOKUP(B69,Leonard2010!D:R,15,FALSE)</f>
        <v>0</v>
      </c>
      <c r="L69">
        <f t="shared" si="5"/>
        <v>19.501439735906981</v>
      </c>
      <c r="M69">
        <f>COUNTIF(SectionGeometry!B:B,FaultGeometry!B69)</f>
        <v>4</v>
      </c>
      <c r="N69">
        <f>VLOOKUP(B69,Leonard2010!D:AO,38,FALSE)</f>
        <v>6.1209816776517873E-3</v>
      </c>
      <c r="O69">
        <v>4.1189800516875236E-2</v>
      </c>
      <c r="P69">
        <v>2.9548084986664062E-2</v>
      </c>
      <c r="Q69">
        <f>VLOOKUP(B69,Leonard2010!D:BG,56,FALSE)</f>
        <v>6.4598229451398339</v>
      </c>
      <c r="R69">
        <f>VLOOKUP(B69,Leonard2010!D:BH,57,FALSE)</f>
        <v>6.8928079728192557</v>
      </c>
      <c r="S69">
        <f>VLOOKUP(B69,Leonard2010!D:BI,58,FALSE)</f>
        <v>7.3806416990922088</v>
      </c>
      <c r="T69">
        <v>7785.9593552236911</v>
      </c>
      <c r="U69">
        <v>24968.085523867871</v>
      </c>
      <c r="V69">
        <v>80067.884545137073</v>
      </c>
      <c r="W69">
        <f>VLOOKUP(B69,Leonard2010!D:CE,80,FALSE)</f>
        <v>0</v>
      </c>
      <c r="X69" t="str">
        <f>IF(W69=0,"NA",MIN(((17.5*(VLOOKUP(B69,Leonard2010!D:K,8,FALSE)*1000)^(2/3))/1000),(35-FaultGeometry!K69)/SIN(RADIANS(FaultGeometry!H69))))</f>
        <v>NA</v>
      </c>
      <c r="Y69">
        <f t="shared" si="6"/>
        <v>981356302522532.62</v>
      </c>
      <c r="Z69">
        <f>VLOOKUP(A69,Leonard2010!A:U,21,FALSE)</f>
        <v>725.45355817573966</v>
      </c>
    </row>
    <row r="70" spans="1:26" x14ac:dyDescent="0.2">
      <c r="A70">
        <f>VLOOKUP(B70,Leonard2010!D:CC,78,FALSE)</f>
        <v>369</v>
      </c>
      <c r="B70" s="12" t="s">
        <v>219</v>
      </c>
      <c r="C70">
        <v>1</v>
      </c>
      <c r="D70">
        <v>-11.747</v>
      </c>
      <c r="E70">
        <v>34.424999999999997</v>
      </c>
      <c r="F70">
        <v>120.9</v>
      </c>
      <c r="G70">
        <v>347</v>
      </c>
      <c r="H70">
        <f>VLOOKUP(B70,Leonard2010!D:N,11,FALSE)</f>
        <v>53</v>
      </c>
      <c r="I70" t="str">
        <f>VLOOKUP(B70,Leonard2010!D:P,13,FALSE)</f>
        <v>E</v>
      </c>
      <c r="J70">
        <f>VLOOKUP(B70,Leonard2010!D:Q,14,FALSE)</f>
        <v>0</v>
      </c>
      <c r="K70">
        <f>VLOOKUP(B70,Leonard2010!D:R,15,FALSE)</f>
        <v>0</v>
      </c>
      <c r="L70">
        <f t="shared" si="5"/>
        <v>42.788025825648063</v>
      </c>
      <c r="M70">
        <f>COUNTIF(SectionGeometry!B:B,FaultGeometry!B70)</f>
        <v>3</v>
      </c>
      <c r="N70">
        <f>VLOOKUP(B70,Leonard2010!D:AO,38,FALSE)</f>
        <v>0.50281402412015597</v>
      </c>
      <c r="O70">
        <v>1.3099207149944929</v>
      </c>
      <c r="P70">
        <v>0.58942070284609605</v>
      </c>
      <c r="Q70">
        <f>VLOOKUP(B70,Leonard2010!D:BG,56,FALSE)</f>
        <v>7.3129618801046234</v>
      </c>
      <c r="R70">
        <f>VLOOKUP(B70,Leonard2010!D:BH,57,FALSE)</f>
        <v>7.7459469077840453</v>
      </c>
      <c r="S70">
        <f>VLOOKUP(B70,Leonard2010!D:BI,58,FALSE)</f>
        <v>8.0892758526660398</v>
      </c>
      <c r="T70">
        <v>738.52585311409257</v>
      </c>
      <c r="U70">
        <v>2001.5472123434383</v>
      </c>
      <c r="V70">
        <v>5424.5782004071352</v>
      </c>
      <c r="W70">
        <f>VLOOKUP(B70,Leonard2010!D:CE,80,FALSE)</f>
        <v>612</v>
      </c>
      <c r="X70">
        <f>IF(W70=0,"NA",MIN(((17.5*(VLOOKUP(B70,Leonard2010!D:K,8,FALSE)*1000)^(2/3))/1000),(35-FaultGeometry!K70)/SIN(RADIANS(FaultGeometry!H70))))</f>
        <v>43.824748035467898</v>
      </c>
      <c r="Y70">
        <f t="shared" si="6"/>
        <v>2.3310657479226339E+17</v>
      </c>
      <c r="Z70">
        <f>VLOOKUP(A70,Leonard2010!A:U,21,FALSE)</f>
        <v>5173.0723223208506</v>
      </c>
    </row>
    <row r="71" spans="1:26" x14ac:dyDescent="0.2">
      <c r="A71">
        <f>VLOOKUP(B71,Leonard2010!D:CC,78,FALSE)</f>
        <v>370</v>
      </c>
      <c r="B71" s="12" t="s">
        <v>148</v>
      </c>
      <c r="C71">
        <v>1</v>
      </c>
      <c r="D71">
        <v>-10.906000000000001</v>
      </c>
      <c r="E71">
        <v>34.335999999999999</v>
      </c>
      <c r="F71">
        <v>40.6</v>
      </c>
      <c r="G71">
        <v>356</v>
      </c>
      <c r="H71">
        <f>VLOOKUP(B71,Leonard2010!D:N,11,FALSE)</f>
        <v>53</v>
      </c>
      <c r="I71" t="str">
        <f>VLOOKUP(B71,Leonard2010!D:P,13,FALSE)</f>
        <v>E</v>
      </c>
      <c r="J71">
        <f>VLOOKUP(B71,Leonard2010!D:Q,14,FALSE)</f>
        <v>1.5</v>
      </c>
      <c r="K71">
        <f>VLOOKUP(B71,Leonard2010!D:R,15,FALSE)</f>
        <v>0.5</v>
      </c>
      <c r="L71">
        <f t="shared" si="5"/>
        <v>20.672297087860741</v>
      </c>
      <c r="M71">
        <f>COUNTIF(SectionGeometry!B:B,FaultGeometry!B71)</f>
        <v>0</v>
      </c>
      <c r="N71">
        <f>VLOOKUP(B71,Leonard2010!D:AO,38,FALSE)</f>
        <v>0.47106619666483573</v>
      </c>
      <c r="O71">
        <v>1.2974101281164059</v>
      </c>
      <c r="P71">
        <v>0.58587291521897911</v>
      </c>
      <c r="Q71">
        <f>VLOOKUP(B71,Leonard2010!D:BG,56,FALSE)</f>
        <v>6.5231281012986599</v>
      </c>
      <c r="R71">
        <f>VLOOKUP(B71,Leonard2010!D:BH,57,FALSE)</f>
        <v>6.9561131289780818</v>
      </c>
      <c r="S71">
        <f>VLOOKUP(B71,Leonard2010!D:BI,58,FALSE)</f>
        <v>7.4439468552510348</v>
      </c>
      <c r="T71">
        <v>321.69568862324877</v>
      </c>
      <c r="U71">
        <v>835.34204434640333</v>
      </c>
      <c r="V71">
        <v>2169.1193128486307</v>
      </c>
      <c r="W71">
        <f>VLOOKUP(B71,Leonard2010!D:CE,80,FALSE)</f>
        <v>612</v>
      </c>
      <c r="X71">
        <f>IF(W71=0,"NA",MIN(((17.5*(VLOOKUP(B71,Leonard2010!D:K,8,FALSE)*1000)^(2/3))/1000),(35-FaultGeometry!K71)/SIN(RADIANS(FaultGeometry!H71))))</f>
        <v>43.198680206389788</v>
      </c>
      <c r="Y71">
        <f t="shared" si="6"/>
        <v>3.6501049577082328E+16</v>
      </c>
      <c r="Z71">
        <f>VLOOKUP(A71,Leonard2010!A:U,21,FALSE)</f>
        <v>839.29526176714614</v>
      </c>
    </row>
    <row r="72" spans="1:26" x14ac:dyDescent="0.2">
      <c r="A72">
        <f>VLOOKUP(B72,Leonard2010!D:CC,78,FALSE)</f>
        <v>371</v>
      </c>
      <c r="B72" s="12" t="s">
        <v>166</v>
      </c>
      <c r="C72">
        <v>1</v>
      </c>
      <c r="D72">
        <v>-10.599</v>
      </c>
      <c r="E72">
        <v>34.286000000000001</v>
      </c>
      <c r="F72">
        <v>14.9</v>
      </c>
      <c r="G72">
        <v>2</v>
      </c>
      <c r="H72">
        <f>VLOOKUP(B72,Leonard2010!D:N,11,FALSE)</f>
        <v>53</v>
      </c>
      <c r="I72" t="str">
        <f>VLOOKUP(B72,Leonard2010!D:P,13,FALSE)</f>
        <v>E</v>
      </c>
      <c r="J72">
        <f>VLOOKUP(B72,Leonard2010!D:Q,14,FALSE)</f>
        <v>1</v>
      </c>
      <c r="K72">
        <f>VLOOKUP(B72,Leonard2010!D:R,15,FALSE)</f>
        <v>0</v>
      </c>
      <c r="L72">
        <f t="shared" si="5"/>
        <v>10.596494758144519</v>
      </c>
      <c r="M72">
        <f>COUNTIF(SectionGeometry!B:B,FaultGeometry!B72)</f>
        <v>0</v>
      </c>
      <c r="N72">
        <f>VLOOKUP(B72,Leonard2010!D:AO,38,FALSE)</f>
        <v>0.44339670246148144</v>
      </c>
      <c r="O72">
        <v>1.2668570963288317</v>
      </c>
      <c r="P72">
        <v>0.58409168130239653</v>
      </c>
      <c r="Q72">
        <f>VLOOKUP(B72,Leonard2010!D:BG,56,FALSE)</f>
        <v>5.7975618260237951</v>
      </c>
      <c r="R72">
        <f>VLOOKUP(B72,Leonard2010!D:BH,57,FALSE)</f>
        <v>6.2305468537032169</v>
      </c>
      <c r="S72">
        <f>VLOOKUP(B72,Leonard2010!D:BI,58,FALSE)</f>
        <v>6.71838057997617</v>
      </c>
      <c r="T72">
        <v>145.7624722591377</v>
      </c>
      <c r="U72">
        <v>380.58339650640687</v>
      </c>
      <c r="V72">
        <v>993.6969334524498</v>
      </c>
      <c r="W72">
        <f>VLOOKUP(B72,Leonard2010!D:CE,80,FALSE)</f>
        <v>612</v>
      </c>
      <c r="X72">
        <f>IF(W72=0,"NA",MIN(((17.5*(VLOOKUP(B72,Leonard2010!D:K,8,FALSE)*1000)^(2/3))/1000),(35-FaultGeometry!K72)/SIN(RADIANS(FaultGeometry!H72))))</f>
        <v>43.824748035467898</v>
      </c>
      <c r="Y72">
        <f t="shared" si="6"/>
        <v>6536878952057894</v>
      </c>
      <c r="Z72">
        <f>VLOOKUP(A72,Leonard2010!A:U,21,FALSE)</f>
        <v>157.88777189635334</v>
      </c>
    </row>
    <row r="73" spans="1:26" x14ac:dyDescent="0.2">
      <c r="A73">
        <f>VLOOKUP(B73,Leonard2010!D:CC,78,FALSE)</f>
        <v>372</v>
      </c>
      <c r="B73" s="12" t="s">
        <v>167</v>
      </c>
      <c r="C73">
        <v>1</v>
      </c>
      <c r="D73">
        <v>-10.518000000000001</v>
      </c>
      <c r="E73">
        <v>34.308</v>
      </c>
      <c r="F73">
        <v>13.3</v>
      </c>
      <c r="G73">
        <v>17</v>
      </c>
      <c r="H73">
        <f>VLOOKUP(B73,Leonard2010!D:N,11,FALSE)</f>
        <v>53</v>
      </c>
      <c r="I73" t="str">
        <f>VLOOKUP(B73,Leonard2010!D:P,13,FALSE)</f>
        <v>E</v>
      </c>
      <c r="J73">
        <f>VLOOKUP(B73,Leonard2010!D:Q,14,FALSE)</f>
        <v>0.5</v>
      </c>
      <c r="K73">
        <f>VLOOKUP(B73,Leonard2010!D:R,15,FALSE)</f>
        <v>0</v>
      </c>
      <c r="L73">
        <f t="shared" si="5"/>
        <v>9.823640841280433</v>
      </c>
      <c r="M73">
        <f>COUNTIF(SectionGeometry!B:B,FaultGeometry!B73)</f>
        <v>0</v>
      </c>
      <c r="N73">
        <f>VLOOKUP(B73,Leonard2010!D:AO,38,FALSE)</f>
        <v>0.35376262827775334</v>
      </c>
      <c r="O73">
        <v>1.1348773852254492</v>
      </c>
      <c r="P73">
        <v>0.5556579239829349</v>
      </c>
      <c r="Q73">
        <f>VLOOKUP(B73,Leonard2010!D:BG,56,FALSE)</f>
        <v>5.715337446948479</v>
      </c>
      <c r="R73">
        <f>VLOOKUP(B73,Leonard2010!D:BH,57,FALSE)</f>
        <v>6.1483224746279035</v>
      </c>
      <c r="S73">
        <f>VLOOKUP(B73,Leonard2010!D:BI,58,FALSE)</f>
        <v>6.6361562009008566</v>
      </c>
      <c r="T73">
        <v>133.13651215775783</v>
      </c>
      <c r="U73">
        <v>368.85174640865915</v>
      </c>
      <c r="V73">
        <v>1021.8955613581478</v>
      </c>
      <c r="W73">
        <f>VLOOKUP(B73,Leonard2010!D:CE,80,FALSE)</f>
        <v>612</v>
      </c>
      <c r="X73">
        <f>IF(W73=0,"NA",MIN(((17.5*(VLOOKUP(B73,Leonard2010!D:K,8,FALSE)*1000)^(2/3))/1000),(35-FaultGeometry!K73)/SIN(RADIANS(FaultGeometry!H73))))</f>
        <v>43.824748035467898</v>
      </c>
      <c r="Y73">
        <f t="shared" si="6"/>
        <v>5077288809090996</v>
      </c>
      <c r="Z73">
        <f>VLOOKUP(A73,Leonard2010!A:U,21,FALSE)</f>
        <v>130.65442318902976</v>
      </c>
    </row>
    <row r="74" spans="1:26" x14ac:dyDescent="0.2">
      <c r="A74">
        <f>VLOOKUP(B74,Leonard2010!D:CC,78,FALSE)</f>
        <v>373</v>
      </c>
      <c r="B74" s="12" t="s">
        <v>168</v>
      </c>
      <c r="C74">
        <v>1</v>
      </c>
      <c r="D74">
        <v>-10.483000000000001</v>
      </c>
      <c r="E74">
        <v>34.369</v>
      </c>
      <c r="F74">
        <v>16.3</v>
      </c>
      <c r="G74">
        <v>19</v>
      </c>
      <c r="H74">
        <f>VLOOKUP(B74,Leonard2010!D:N,11,FALSE)</f>
        <v>53</v>
      </c>
      <c r="I74" t="str">
        <f>VLOOKUP(B74,Leonard2010!D:P,13,FALSE)</f>
        <v>E</v>
      </c>
      <c r="J74">
        <f>VLOOKUP(B74,Leonard2010!D:Q,14,FALSE)</f>
        <v>2</v>
      </c>
      <c r="K74">
        <f>VLOOKUP(B74,Leonard2010!D:R,15,FALSE)</f>
        <v>0</v>
      </c>
      <c r="L74">
        <f t="shared" si="5"/>
        <v>11.250274478899879</v>
      </c>
      <c r="M74">
        <f>COUNTIF(SectionGeometry!B:B,FaultGeometry!B74)</f>
        <v>0</v>
      </c>
      <c r="N74">
        <f>VLOOKUP(B74,Leonard2010!D:AO,38,FALSE)</f>
        <v>0.33983535062679848</v>
      </c>
      <c r="O74">
        <v>1.1045109757072593</v>
      </c>
      <c r="P74">
        <v>0.55448695916531576</v>
      </c>
      <c r="Q74">
        <f>VLOOKUP(B74,Leonard2010!D:BG,56,FALSE)</f>
        <v>5.862564052676599</v>
      </c>
      <c r="R74">
        <f>VLOOKUP(B74,Leonard2010!D:BH,57,FALSE)</f>
        <v>6.2955490803560226</v>
      </c>
      <c r="S74">
        <f>VLOOKUP(B74,Leonard2010!D:BI,58,FALSE)</f>
        <v>6.7833828066289756</v>
      </c>
      <c r="T74">
        <v>158.06152333685642</v>
      </c>
      <c r="U74">
        <v>450.92518455138151</v>
      </c>
      <c r="V74">
        <v>1286.4201088923999</v>
      </c>
      <c r="W74">
        <f>VLOOKUP(B74,Leonard2010!D:CE,80,FALSE)</f>
        <v>612</v>
      </c>
      <c r="X74">
        <f>IF(W74=0,"NA",MIN(((17.5*(VLOOKUP(B74,Leonard2010!D:K,8,FALSE)*1000)^(2/3))/1000),(35-FaultGeometry!K74)/SIN(RADIANS(FaultGeometry!H74))))</f>
        <v>43.824748035467898</v>
      </c>
      <c r="Y74">
        <f t="shared" si="6"/>
        <v>6905881610412507</v>
      </c>
      <c r="Z74">
        <f>VLOOKUP(A74,Leonard2010!A:U,21,FALSE)</f>
        <v>183.37947400606802</v>
      </c>
    </row>
    <row r="75" spans="1:26" x14ac:dyDescent="0.2">
      <c r="A75">
        <f>VLOOKUP(B75,Leonard2010!D:CC,78,FALSE)</f>
        <v>374</v>
      </c>
      <c r="B75" s="12" t="s">
        <v>169</v>
      </c>
      <c r="C75">
        <v>1</v>
      </c>
      <c r="D75">
        <v>-10.358000000000001</v>
      </c>
      <c r="E75">
        <v>34.447000000000003</v>
      </c>
      <c r="F75">
        <v>8.1999999999999993</v>
      </c>
      <c r="G75">
        <v>8</v>
      </c>
      <c r="H75">
        <f>VLOOKUP(B75,Leonard2010!D:N,11,FALSE)</f>
        <v>53</v>
      </c>
      <c r="I75" t="str">
        <f>VLOOKUP(B75,Leonard2010!D:P,13,FALSE)</f>
        <v>E</v>
      </c>
      <c r="J75">
        <f>VLOOKUP(B75,Leonard2010!D:Q,14,FALSE)</f>
        <v>3.5</v>
      </c>
      <c r="K75">
        <f>VLOOKUP(B75,Leonard2010!D:R,15,FALSE)</f>
        <v>0.5</v>
      </c>
      <c r="L75">
        <f t="shared" si="5"/>
        <v>7.1161858793116552</v>
      </c>
      <c r="M75">
        <f>COUNTIF(SectionGeometry!B:B,FaultGeometry!B75)</f>
        <v>0</v>
      </c>
      <c r="N75">
        <f>VLOOKUP(B75,Leonard2010!D:AO,38,FALSE)</f>
        <v>0.41086926119923411</v>
      </c>
      <c r="O75">
        <v>0.58702106646618235</v>
      </c>
      <c r="P75">
        <v>0.23373039786215594</v>
      </c>
      <c r="Q75">
        <f>VLOOKUP(B75,Leonard2010!D:BG,56,FALSE)</f>
        <v>5.3652744659761966</v>
      </c>
      <c r="R75">
        <f>VLOOKUP(B75,Leonard2010!D:BH,57,FALSE)</f>
        <v>5.7982594936556211</v>
      </c>
      <c r="S75">
        <f>VLOOKUP(B75,Leonard2010!D:BI,58,FALSE)</f>
        <v>6.2860932199285742</v>
      </c>
      <c r="T75">
        <v>150.1727074569809</v>
      </c>
      <c r="U75">
        <v>492.76398686820778</v>
      </c>
      <c r="V75">
        <v>1616.9139577097221</v>
      </c>
      <c r="W75">
        <f>VLOOKUP(B75,Leonard2010!D:CE,80,FALSE)</f>
        <v>612</v>
      </c>
      <c r="X75">
        <f>IF(W75=0,"NA",MIN(((17.5*(VLOOKUP(B75,Leonard2010!D:K,8,FALSE)*1000)^(2/3))/1000),(35-FaultGeometry!K75)/SIN(RADIANS(FaultGeometry!H75))))</f>
        <v>43.198680206389788</v>
      </c>
      <c r="Y75">
        <f t="shared" si="6"/>
        <v>1134358370598131.8</v>
      </c>
      <c r="Z75">
        <f>VLOOKUP(A75,Leonard2010!A:U,21,FALSE)</f>
        <v>58.352724210355568</v>
      </c>
    </row>
    <row r="76" spans="1:26" x14ac:dyDescent="0.2">
      <c r="A76">
        <f>VLOOKUP(B76,Leonard2010!D:CC,78,FALSE)</f>
        <v>375</v>
      </c>
      <c r="B76" s="12" t="s">
        <v>146</v>
      </c>
      <c r="C76">
        <v>1</v>
      </c>
      <c r="D76">
        <v>-11.516</v>
      </c>
      <c r="E76">
        <v>34.625</v>
      </c>
      <c r="F76">
        <v>34.799999999999997</v>
      </c>
      <c r="G76">
        <v>344</v>
      </c>
      <c r="H76">
        <f>VLOOKUP(B76,Leonard2010!D:N,11,FALSE)</f>
        <v>53</v>
      </c>
      <c r="I76" t="str">
        <f>VLOOKUP(B76,Leonard2010!D:P,13,FALSE)</f>
        <v>E</v>
      </c>
      <c r="J76">
        <f>VLOOKUP(B76,Leonard2010!D:Q,14,FALSE)</f>
        <v>1</v>
      </c>
      <c r="K76">
        <f>VLOOKUP(B76,Leonard2010!D:R,15,FALSE)</f>
        <v>0.5</v>
      </c>
      <c r="L76">
        <f t="shared" si="5"/>
        <v>18.653380302359043</v>
      </c>
      <c r="M76">
        <f>COUNTIF(SectionGeometry!B:B,FaultGeometry!B76)</f>
        <v>0</v>
      </c>
      <c r="N76">
        <f>VLOOKUP(B76,Leonard2010!D:AO,38,FALSE)</f>
        <v>8.3314361753083436E-3</v>
      </c>
      <c r="O76">
        <v>0.13394664156122923</v>
      </c>
      <c r="P76">
        <v>0.12756016342359849</v>
      </c>
      <c r="Q76">
        <f>VLOOKUP(B76,Leonard2010!D:BG,56,FALSE)</f>
        <v>6.4115501185809718</v>
      </c>
      <c r="R76">
        <f>VLOOKUP(B76,Leonard2010!D:BH,57,FALSE)</f>
        <v>6.8445351462603936</v>
      </c>
      <c r="S76">
        <f>VLOOKUP(B76,Leonard2010!D:BI,58,FALSE)</f>
        <v>7.3323688725333467</v>
      </c>
      <c r="T76">
        <v>1931.720870475332</v>
      </c>
      <c r="U76">
        <v>6990.8382219517925</v>
      </c>
      <c r="V76">
        <v>25299.627804650874</v>
      </c>
      <c r="W76">
        <f>VLOOKUP(B76,Leonard2010!D:CE,80,FALSE)</f>
        <v>613</v>
      </c>
      <c r="X76">
        <f>IF(W76=0,"NA",MIN(((17.5*(VLOOKUP(B76,Leonard2010!D:K,8,FALSE)*1000)^(2/3))/1000),(35-FaultGeometry!K76)/SIN(RADIANS(FaultGeometry!H76))))</f>
        <v>23.814448406875965</v>
      </c>
      <c r="Y76">
        <f t="shared" si="6"/>
        <v>2966698877878933.5</v>
      </c>
      <c r="Z76">
        <f>VLOOKUP(A76,Leonard2010!A:U,21,FALSE)</f>
        <v>649.13763452209469</v>
      </c>
    </row>
    <row r="77" spans="1:26" x14ac:dyDescent="0.2">
      <c r="A77">
        <f>VLOOKUP(B77,Leonard2010!D:CC,78,FALSE)</f>
        <v>376</v>
      </c>
      <c r="B77" s="12" t="s">
        <v>149</v>
      </c>
      <c r="C77">
        <v>1</v>
      </c>
      <c r="D77">
        <v>-11.669</v>
      </c>
      <c r="E77">
        <v>34.593000000000004</v>
      </c>
      <c r="F77">
        <v>15.4</v>
      </c>
      <c r="G77">
        <v>360</v>
      </c>
      <c r="H77">
        <f>VLOOKUP(B77,Leonard2010!D:N,11,FALSE)</f>
        <v>53</v>
      </c>
      <c r="I77" t="str">
        <f>VLOOKUP(B77,Leonard2010!D:P,13,FALSE)</f>
        <v>E</v>
      </c>
      <c r="J77">
        <f>VLOOKUP(B77,Leonard2010!D:Q,14,FALSE)</f>
        <v>0.5</v>
      </c>
      <c r="K77">
        <f>VLOOKUP(B77,Leonard2010!D:R,15,FALSE)</f>
        <v>0</v>
      </c>
      <c r="L77">
        <f t="shared" si="5"/>
        <v>10.832246373521059</v>
      </c>
      <c r="M77">
        <f>COUNTIF(SectionGeometry!B:B,FaultGeometry!B77)</f>
        <v>0</v>
      </c>
      <c r="N77">
        <f>VLOOKUP(B77,Leonard2010!D:AO,38,FALSE)</f>
        <v>7.552928986968222E-3</v>
      </c>
      <c r="O77">
        <v>0.1317271791871637</v>
      </c>
      <c r="P77">
        <v>0.12896319588512187</v>
      </c>
      <c r="Q77">
        <f>VLOOKUP(B77,Leonard2010!D:BG,56,FALSE)</f>
        <v>5.8214525800641086</v>
      </c>
      <c r="R77">
        <f>VLOOKUP(B77,Leonard2010!D:BH,57,FALSE)</f>
        <v>6.2544376077435304</v>
      </c>
      <c r="S77">
        <f>VLOOKUP(B77,Leonard2010!D:BI,58,FALSE)</f>
        <v>6.7422713340164835</v>
      </c>
      <c r="T77">
        <v>976.38272361864426</v>
      </c>
      <c r="U77">
        <v>3580.7987383224472</v>
      </c>
      <c r="V77">
        <v>13132.268007416817</v>
      </c>
      <c r="W77">
        <f>VLOOKUP(B77,Leonard2010!D:CE,80,FALSE)</f>
        <v>613</v>
      </c>
      <c r="X77">
        <f>IF(W77=0,"NA",MIN(((17.5*(VLOOKUP(B77,Leonard2010!D:K,8,FALSE)*1000)^(2/3))/1000),(35-FaultGeometry!K77)/SIN(RADIANS(FaultGeometry!H77))))</f>
        <v>23.814448406875965</v>
      </c>
      <c r="Y77">
        <f t="shared" si="6"/>
        <v>754529978891066</v>
      </c>
      <c r="Z77">
        <f>VLOOKUP(A77,Leonard2010!A:U,21,FALSE)</f>
        <v>166.81659415222433</v>
      </c>
    </row>
    <row r="78" spans="1:26" x14ac:dyDescent="0.2">
      <c r="A78">
        <f>VLOOKUP(B78,Leonard2010!D:CC,78,FALSE)</f>
        <v>377</v>
      </c>
      <c r="B78" s="12" t="s">
        <v>147</v>
      </c>
      <c r="C78">
        <v>1</v>
      </c>
      <c r="D78">
        <v>-11.724</v>
      </c>
      <c r="E78">
        <v>34.454000000000001</v>
      </c>
      <c r="F78">
        <v>32</v>
      </c>
      <c r="G78">
        <v>337</v>
      </c>
      <c r="H78">
        <f>VLOOKUP(B78,Leonard2010!D:N,11,FALSE)</f>
        <v>53</v>
      </c>
      <c r="I78" t="str">
        <f>VLOOKUP(B78,Leonard2010!D:P,13,FALSE)</f>
        <v>E</v>
      </c>
      <c r="J78">
        <f>VLOOKUP(B78,Leonard2010!D:Q,14,FALSE)</f>
        <v>2</v>
      </c>
      <c r="K78">
        <f>VLOOKUP(B78,Leonard2010!D:R,15,FALSE)</f>
        <v>0.5</v>
      </c>
      <c r="L78">
        <f t="shared" si="5"/>
        <v>17.638894698528215</v>
      </c>
      <c r="M78">
        <f>COUNTIF(SectionGeometry!B:B,FaultGeometry!B78)</f>
        <v>0</v>
      </c>
      <c r="N78">
        <f>VLOOKUP(B78,Leonard2010!D:AO,38,FALSE)</f>
        <v>7.9197230226198539E-3</v>
      </c>
      <c r="O78">
        <v>0.13381833425453518</v>
      </c>
      <c r="P78">
        <v>0.12659762594560514</v>
      </c>
      <c r="Q78">
        <f>VLOOKUP(B78,Leonard2010!D:BG,56,FALSE)</f>
        <v>6.350834675869848</v>
      </c>
      <c r="R78">
        <f>VLOOKUP(B78,Leonard2010!D:BH,57,FALSE)</f>
        <v>6.6921145577329808</v>
      </c>
      <c r="S78">
        <f>VLOOKUP(B78,Leonard2010!D:BI,58,FALSE)</f>
        <v>7.0250463240201908</v>
      </c>
      <c r="T78">
        <v>1723.8570194878021</v>
      </c>
      <c r="U78">
        <v>6062.4877731206179</v>
      </c>
      <c r="V78">
        <v>21320.65338583439</v>
      </c>
      <c r="W78">
        <f>VLOOKUP(B78,Leonard2010!D:CE,80,FALSE)</f>
        <v>0</v>
      </c>
      <c r="X78" t="str">
        <f>IF(W78=0,"NA",MIN(((17.5*(VLOOKUP(B78,Leonard2010!D:K,8,FALSE)*1000)^(2/3))/1000),(35-FaultGeometry!K78)/SIN(RADIANS(FaultGeometry!H78))))</f>
        <v>NA</v>
      </c>
      <c r="Y78">
        <f t="shared" si="6"/>
        <v>2020788961408311.8</v>
      </c>
      <c r="Z78">
        <f>VLOOKUP(A78,Leonard2010!A:U,21,FALSE)</f>
        <v>457</v>
      </c>
    </row>
    <row r="79" spans="1:26" x14ac:dyDescent="0.2">
      <c r="A79">
        <f>VLOOKUP(B79,Leonard2010!D:CC,78,FALSE)</f>
        <v>378</v>
      </c>
      <c r="B79" s="12" t="s">
        <v>139</v>
      </c>
      <c r="C79">
        <v>1</v>
      </c>
      <c r="D79">
        <v>-11.863</v>
      </c>
      <c r="E79">
        <v>34.526000000000003</v>
      </c>
      <c r="F79">
        <v>30.6</v>
      </c>
      <c r="G79">
        <v>30</v>
      </c>
      <c r="H79">
        <f>VLOOKUP(B79,Leonard2010!D:N,11,FALSE)</f>
        <v>53</v>
      </c>
      <c r="I79" t="str">
        <f>VLOOKUP(B79,Leonard2010!D:P,13,FALSE)</f>
        <v>SE</v>
      </c>
      <c r="J79">
        <f>VLOOKUP(B79,Leonard2010!D:Q,14,FALSE)</f>
        <v>1</v>
      </c>
      <c r="K79">
        <f>VLOOKUP(B79,Leonard2010!D:R,15,FALSE)</f>
        <v>0</v>
      </c>
      <c r="L79">
        <f t="shared" si="5"/>
        <v>17.120600748955503</v>
      </c>
      <c r="M79">
        <f>COUNTIF(SectionGeometry!B:B,FaultGeometry!B79)</f>
        <v>0</v>
      </c>
      <c r="N79">
        <f>VLOOKUP(B79,Leonard2010!D:AO,38,FALSE)</f>
        <v>4.2718995824038812E-3</v>
      </c>
      <c r="O79">
        <v>9.758830852670522E-2</v>
      </c>
      <c r="P79">
        <v>0.10110224984111522</v>
      </c>
      <c r="Q79">
        <f>VLOOKUP(B79,Leonard2010!D:BG,56,FALSE)</f>
        <v>6.318453756139303</v>
      </c>
      <c r="R79">
        <f>VLOOKUP(B79,Leonard2010!D:BH,57,FALSE)</f>
        <v>6.7514387838187249</v>
      </c>
      <c r="S79">
        <f>VLOOKUP(B79,Leonard2010!D:BI,58,FALSE)</f>
        <v>7.2392725100916806</v>
      </c>
      <c r="T79">
        <v>2227.268074642906</v>
      </c>
      <c r="U79">
        <v>8657.9167971903389</v>
      </c>
      <c r="V79">
        <v>33655.366464626735</v>
      </c>
      <c r="W79">
        <f>VLOOKUP(B79,Leonard2010!D:CE,80,FALSE)</f>
        <v>614</v>
      </c>
      <c r="X79">
        <f>IF(W79=0,"NA",MIN(((17.5*(VLOOKUP(B79,Leonard2010!D:K,8,FALSE)*1000)^(2/3))/1000),(35-FaultGeometry!K79)/SIN(RADIANS(FaultGeometry!H79))))</f>
        <v>31.095145537223679</v>
      </c>
      <c r="Y79">
        <f t="shared" si="6"/>
        <v>1736779833969253</v>
      </c>
      <c r="Z79">
        <f>VLOOKUP(A79,Leonard2010!A:U,21,FALSE)</f>
        <v>523.89038291803843</v>
      </c>
    </row>
    <row r="80" spans="1:26" x14ac:dyDescent="0.2">
      <c r="A80">
        <f>VLOOKUP(B80,Leonard2010!D:CC,78,FALSE)</f>
        <v>379</v>
      </c>
      <c r="B80" s="12" t="s">
        <v>174</v>
      </c>
      <c r="C80">
        <v>1</v>
      </c>
      <c r="D80">
        <v>-11.733000000000001</v>
      </c>
      <c r="E80">
        <v>34.582000000000001</v>
      </c>
      <c r="F80">
        <v>44.3</v>
      </c>
      <c r="G80">
        <v>21</v>
      </c>
      <c r="H80">
        <f>VLOOKUP(B80,Leonard2010!D:N,11,FALSE)</f>
        <v>53</v>
      </c>
      <c r="I80" t="str">
        <f>VLOOKUP(B80,Leonard2010!D:P,13,FALSE)</f>
        <v>SE</v>
      </c>
      <c r="J80">
        <f>VLOOKUP(B80,Leonard2010!D:Q,14,FALSE)</f>
        <v>1</v>
      </c>
      <c r="K80">
        <f>VLOOKUP(B80,Leonard2010!D:R,15,FALSE)</f>
        <v>0.5</v>
      </c>
      <c r="L80">
        <f t="shared" si="5"/>
        <v>21.909906934451438</v>
      </c>
      <c r="M80">
        <f>COUNTIF(SectionGeometry!B:B,FaultGeometry!B80)</f>
        <v>0</v>
      </c>
      <c r="N80">
        <f>VLOOKUP(B80,Leonard2010!D:AO,38,FALSE)</f>
        <v>5.4249005991454597E-3</v>
      </c>
      <c r="O80">
        <v>0.11023370150611971</v>
      </c>
      <c r="P80">
        <v>0.10893249112036042</v>
      </c>
      <c r="Q80">
        <f>VLOOKUP(B80,Leonard2010!D:BG,56,FALSE)</f>
        <v>6.5862575890417858</v>
      </c>
      <c r="R80">
        <f>VLOOKUP(B80,Leonard2010!D:BH,57,FALSE)</f>
        <v>7.0192426167212076</v>
      </c>
      <c r="S80">
        <f>VLOOKUP(B80,Leonard2010!D:BI,58,FALSE)</f>
        <v>7.5070763429941607</v>
      </c>
      <c r="T80">
        <v>2825.7137133220394</v>
      </c>
      <c r="U80">
        <v>10490.160494208279</v>
      </c>
      <c r="V80">
        <v>38943.600930073</v>
      </c>
      <c r="W80">
        <f>VLOOKUP(B80,Leonard2010!D:CE,80,FALSE)</f>
        <v>614</v>
      </c>
      <c r="X80">
        <f>IF(W80=0,"NA",MIN(((17.5*(VLOOKUP(B80,Leonard2010!D:K,8,FALSE)*1000)^(2/3))/1000),(35-FaultGeometry!K80)/SIN(RADIANS(FaultGeometry!H80))))</f>
        <v>31.095145537223679</v>
      </c>
      <c r="Y80">
        <f t="shared" si="6"/>
        <v>3614779347581494.5</v>
      </c>
      <c r="Z80">
        <f>VLOOKUP(A80,Leonard2010!A:U,21,FALSE)</f>
        <v>970.6088771961987</v>
      </c>
    </row>
    <row r="81" spans="1:26" x14ac:dyDescent="0.2">
      <c r="A81">
        <f>VLOOKUP(B81,Leonard2010!D:CC,78,FALSE)</f>
        <v>380</v>
      </c>
      <c r="B81" s="12" t="s">
        <v>140</v>
      </c>
      <c r="C81">
        <v>1</v>
      </c>
      <c r="D81">
        <v>-11.877000000000001</v>
      </c>
      <c r="E81">
        <v>34.625999999999998</v>
      </c>
      <c r="F81">
        <v>31.2</v>
      </c>
      <c r="G81">
        <v>17</v>
      </c>
      <c r="H81">
        <f>VLOOKUP(B81,Leonard2010!D:N,11,FALSE)</f>
        <v>53</v>
      </c>
      <c r="I81" t="str">
        <f>VLOOKUP(B81,Leonard2010!D:P,13,FALSE)</f>
        <v>SE</v>
      </c>
      <c r="J81">
        <f>VLOOKUP(B81,Leonard2010!D:Q,14,FALSE)</f>
        <v>0.5</v>
      </c>
      <c r="K81">
        <f>VLOOKUP(B81,Leonard2010!D:R,15,FALSE)</f>
        <v>0</v>
      </c>
      <c r="L81">
        <f t="shared" si="5"/>
        <v>17.343674384866326</v>
      </c>
      <c r="M81">
        <f>COUNTIF(SectionGeometry!B:B,FaultGeometry!B81)</f>
        <v>0</v>
      </c>
      <c r="N81">
        <f>VLOOKUP(B81,Leonard2010!D:AO,38,FALSE)</f>
        <v>5.8960438046292219E-3</v>
      </c>
      <c r="O81">
        <v>0.11666457792102265</v>
      </c>
      <c r="P81">
        <v>0.11391779361192934</v>
      </c>
      <c r="Q81">
        <f>VLOOKUP(B81,Leonard2010!D:BG,56,FALSE)</f>
        <v>6.3325090353674085</v>
      </c>
      <c r="R81">
        <f>VLOOKUP(B81,Leonard2010!D:BH,57,FALSE)</f>
        <v>6.7654940630468303</v>
      </c>
      <c r="S81">
        <f>VLOOKUP(B81,Leonard2010!D:BI,58,FALSE)</f>
        <v>7.2533277893197834</v>
      </c>
      <c r="T81">
        <v>2075.5430918490651</v>
      </c>
      <c r="U81">
        <v>7509.6841636713671</v>
      </c>
      <c r="V81">
        <v>27171.373342990832</v>
      </c>
      <c r="W81">
        <f>VLOOKUP(B81,Leonard2010!D:CE,80,FALSE)</f>
        <v>0</v>
      </c>
      <c r="X81" t="str">
        <f>IF(W81=0,"NA",MIN(((17.5*(VLOOKUP(B81,Leonard2010!D:K,8,FALSE)*1000)^(2/3))/1000),(35-FaultGeometry!K81)/SIN(RADIANS(FaultGeometry!H81))))</f>
        <v>NA</v>
      </c>
      <c r="Y81">
        <f t="shared" si="6"/>
        <v>2101935680331533</v>
      </c>
      <c r="Z81">
        <f>VLOOKUP(A81,Leonard2010!A:U,21,FALSE)</f>
        <v>541.12264080782938</v>
      </c>
    </row>
    <row r="82" spans="1:26" x14ac:dyDescent="0.2">
      <c r="A82">
        <f>VLOOKUP(B82,Leonard2010!D:CC,78,FALSE)</f>
        <v>381</v>
      </c>
      <c r="B82" s="12" t="s">
        <v>141</v>
      </c>
      <c r="C82">
        <v>1</v>
      </c>
      <c r="D82">
        <v>-10.919</v>
      </c>
      <c r="E82">
        <v>34.503</v>
      </c>
      <c r="F82">
        <v>29</v>
      </c>
      <c r="G82">
        <v>354</v>
      </c>
      <c r="H82">
        <f>VLOOKUP(B82,Leonard2010!D:N,11,FALSE)</f>
        <v>53</v>
      </c>
      <c r="I82" t="str">
        <f>VLOOKUP(B82,Leonard2010!D:P,13,FALSE)</f>
        <v>E</v>
      </c>
      <c r="J82">
        <f>VLOOKUP(B82,Leonard2010!D:Q,14,FALSE)</f>
        <v>2</v>
      </c>
      <c r="K82">
        <f>VLOOKUP(B82,Leonard2010!D:R,15,FALSE)</f>
        <v>0.5</v>
      </c>
      <c r="L82">
        <f t="shared" si="5"/>
        <v>16.518478685436637</v>
      </c>
      <c r="M82">
        <f>COUNTIF(SectionGeometry!B:B,FaultGeometry!B82)</f>
        <v>0</v>
      </c>
      <c r="N82">
        <f>VLOOKUP(B82,Leonard2010!D:AO,38,FALSE)</f>
        <v>7.9859303431396821E-3</v>
      </c>
      <c r="O82">
        <v>0.13559894175362264</v>
      </c>
      <c r="P82">
        <v>0.12904693016945923</v>
      </c>
      <c r="Q82">
        <f>VLOOKUP(B82,Leonard2010!D:BG,56,FALSE)</f>
        <v>6.279581375168263</v>
      </c>
      <c r="R82">
        <f>VLOOKUP(B82,Leonard2010!D:BH,57,FALSE)</f>
        <v>6.7125664028476848</v>
      </c>
      <c r="S82">
        <f>VLOOKUP(B82,Leonard2010!D:BI,58,FALSE)</f>
        <v>7.2004001291206379</v>
      </c>
      <c r="T82">
        <v>1630.6891138674944</v>
      </c>
      <c r="U82">
        <v>5983.6483968402827</v>
      </c>
      <c r="V82">
        <v>21956.391216774038</v>
      </c>
      <c r="W82">
        <f>VLOOKUP(B82,Leonard2010!D:CE,80,FALSE)</f>
        <v>615</v>
      </c>
      <c r="X82">
        <f>IF(W82=0,"NA",MIN(((17.5*(VLOOKUP(B82,Leonard2010!D:K,8,FALSE)*1000)^(2/3))/1000),(35-FaultGeometry!K82)/SIN(RADIANS(FaultGeometry!H82))))</f>
        <v>19.220837385368426</v>
      </c>
      <c r="Y82">
        <f t="shared" si="6"/>
        <v>2197270566140713</v>
      </c>
      <c r="Z82">
        <f>VLOOKUP(A82,Leonard2010!A:U,21,FALSE)</f>
        <v>479.03588187766246</v>
      </c>
    </row>
    <row r="83" spans="1:26" x14ac:dyDescent="0.2">
      <c r="A83">
        <f>VLOOKUP(B83,Leonard2010!D:CC,78,FALSE)</f>
        <v>382</v>
      </c>
      <c r="B83" s="12" t="s">
        <v>145</v>
      </c>
      <c r="C83">
        <v>1</v>
      </c>
      <c r="D83">
        <v>-11.004</v>
      </c>
      <c r="E83">
        <v>34.463000000000001</v>
      </c>
      <c r="F83">
        <v>7.4</v>
      </c>
      <c r="G83">
        <v>3</v>
      </c>
      <c r="H83">
        <f>VLOOKUP(B83,Leonard2010!D:N,11,FALSE)</f>
        <v>53</v>
      </c>
      <c r="I83" t="str">
        <f>VLOOKUP(B83,Leonard2010!D:P,13,FALSE)</f>
        <v>E</v>
      </c>
      <c r="J83">
        <f>VLOOKUP(B83,Leonard2010!D:Q,14,FALSE)</f>
        <v>2.5</v>
      </c>
      <c r="K83">
        <f>VLOOKUP(B83,Leonard2010!D:R,15,FALSE)</f>
        <v>0.5</v>
      </c>
      <c r="L83">
        <f t="shared" si="5"/>
        <v>6.6454724491183184</v>
      </c>
      <c r="M83">
        <f>COUNTIF(SectionGeometry!B:B,FaultGeometry!B83)</f>
        <v>0</v>
      </c>
      <c r="N83">
        <f>VLOOKUP(B83,Leonard2010!D:AO,38,FALSE)</f>
        <v>7.3050639098199031E-3</v>
      </c>
      <c r="O83">
        <v>0.12915746800478986</v>
      </c>
      <c r="P83">
        <v>0.12435374775001964</v>
      </c>
      <c r="Q83">
        <f>VLOOKUP(B83,Leonard2010!D:BG,56,FALSE)</f>
        <v>5.2909709115549646</v>
      </c>
      <c r="R83">
        <f>VLOOKUP(B83,Leonard2010!D:BH,57,FALSE)</f>
        <v>5.7239559392343864</v>
      </c>
      <c r="S83">
        <f>VLOOKUP(B83,Leonard2010!D:BI,58,FALSE)</f>
        <v>6.2117896655073395</v>
      </c>
      <c r="T83">
        <v>585.35006993491641</v>
      </c>
      <c r="U83">
        <v>2069.2544355015461</v>
      </c>
      <c r="V83">
        <v>7314.9626843282131</v>
      </c>
      <c r="W83">
        <f>VLOOKUP(B83,Leonard2010!D:CE,80,FALSE)</f>
        <v>615</v>
      </c>
      <c r="X83">
        <f>IF(W83=0,"NA",MIN(((17.5*(VLOOKUP(B83,Leonard2010!D:K,8,FALSE)*1000)^(2/3))/1000),(35-FaultGeometry!K83)/SIN(RADIANS(FaultGeometry!H83))))</f>
        <v>19.220837385368426</v>
      </c>
      <c r="Y83">
        <f t="shared" si="6"/>
        <v>208987357212125.69</v>
      </c>
      <c r="Z83">
        <f>VLOOKUP(A83,Leonard2010!A:U,21,FALSE)</f>
        <v>49.176496123475559</v>
      </c>
    </row>
    <row r="84" spans="1:26" x14ac:dyDescent="0.2">
      <c r="A84">
        <f>VLOOKUP(B84,Leonard2010!D:CC,78,FALSE)</f>
        <v>383</v>
      </c>
      <c r="B84" s="12" t="s">
        <v>171</v>
      </c>
      <c r="C84">
        <v>1</v>
      </c>
      <c r="D84">
        <v>-11.8</v>
      </c>
      <c r="E84">
        <v>34.536000000000001</v>
      </c>
      <c r="F84">
        <v>29.9</v>
      </c>
      <c r="G84">
        <v>342</v>
      </c>
      <c r="H84">
        <f>VLOOKUP(B84,Leonard2010!D:N,11,FALSE)</f>
        <v>53</v>
      </c>
      <c r="I84" t="str">
        <f>VLOOKUP(B84,Leonard2010!D:P,13,FALSE)</f>
        <v>E</v>
      </c>
      <c r="J84">
        <f>VLOOKUP(B84,Leonard2010!D:Q,14,FALSE)</f>
        <v>1.5</v>
      </c>
      <c r="K84">
        <f>VLOOKUP(B84,Leonard2010!D:R,15,FALSE)</f>
        <v>0.5</v>
      </c>
      <c r="L84">
        <f t="shared" si="5"/>
        <v>16.858496530895689</v>
      </c>
      <c r="M84">
        <f>COUNTIF(SectionGeometry!B:B,FaultGeometry!B84)</f>
        <v>0</v>
      </c>
      <c r="N84">
        <f>VLOOKUP(B84,Leonard2010!D:AO,38,FALSE)</f>
        <v>8.226243184009845E-3</v>
      </c>
      <c r="O84">
        <v>0.13522611515478355</v>
      </c>
      <c r="P84">
        <v>0.12819789916380769</v>
      </c>
      <c r="Q84">
        <f>VLOOKUP(B84,Leonard2010!D:BG,56,FALSE)</f>
        <v>6.2401913873420414</v>
      </c>
      <c r="R84">
        <f>VLOOKUP(B84,Leonard2010!D:BH,57,FALSE)</f>
        <v>6.5093196123827939</v>
      </c>
      <c r="S84">
        <f>VLOOKUP(B84,Leonard2010!D:BI,58,FALSE)</f>
        <v>6.8422513786700039</v>
      </c>
      <c r="T84">
        <v>1367.4956896910103</v>
      </c>
      <c r="U84">
        <v>4864.6751391714915</v>
      </c>
      <c r="V84">
        <v>17305.403145380544</v>
      </c>
      <c r="W84">
        <f>VLOOKUP(B84,Leonard2010!D:CE,80,FALSE)</f>
        <v>0</v>
      </c>
      <c r="X84" t="str">
        <f>IF(W84=0,"NA",MIN(((17.5*(VLOOKUP(B84,Leonard2010!D:K,8,FALSE)*1000)^(2/3))/1000),(35-FaultGeometry!K87)/SIN(RADIANS(FaultGeometry!H87))))</f>
        <v>NA</v>
      </c>
      <c r="Y84">
        <f t="shared" si="6"/>
        <v>1339447126819632.8</v>
      </c>
      <c r="Z84">
        <f>VLOOKUP(A84,Leonard2010!A:U,21,FALSE)</f>
        <v>300</v>
      </c>
    </row>
    <row r="85" spans="1:26" x14ac:dyDescent="0.2">
      <c r="A85">
        <f>VLOOKUP(B85,Leonard2010!D:CC,78,FALSE)</f>
        <v>384</v>
      </c>
      <c r="B85" s="12" t="s">
        <v>172</v>
      </c>
      <c r="C85">
        <v>1</v>
      </c>
      <c r="D85">
        <v>-11.327999999999999</v>
      </c>
      <c r="E85">
        <v>34.465000000000003</v>
      </c>
      <c r="F85">
        <v>42.900000000000006</v>
      </c>
      <c r="G85">
        <v>169</v>
      </c>
      <c r="H85">
        <f>VLOOKUP(B85,Leonard2010!D:N,11,FALSE)</f>
        <v>53</v>
      </c>
      <c r="I85" t="str">
        <f>VLOOKUP(B85,Leonard2010!D:P,13,FALSE)</f>
        <v>W</v>
      </c>
      <c r="J85">
        <f>VLOOKUP(B85,Leonard2010!D:Q,14,FALSE)</f>
        <v>1.5</v>
      </c>
      <c r="K85">
        <f>VLOOKUP(B85,Leonard2010!D:R,15,FALSE)</f>
        <v>0.5</v>
      </c>
      <c r="L85">
        <f t="shared" si="5"/>
        <v>21.445832523695383</v>
      </c>
      <c r="M85">
        <f>COUNTIF(SectionGeometry!B:B,FaultGeometry!B85)</f>
        <v>2</v>
      </c>
      <c r="N85">
        <f>VLOOKUP(B85,Leonard2010!D:AO,38,FALSE)</f>
        <v>8.2801007791133245E-3</v>
      </c>
      <c r="O85">
        <v>0.13576721249273591</v>
      </c>
      <c r="P85">
        <v>0.1303242160253068</v>
      </c>
      <c r="Q85">
        <f>VLOOKUP(B85,Leonard2010!D:BG,56,FALSE)</f>
        <v>6.56301353231121</v>
      </c>
      <c r="R85">
        <f>VLOOKUP(B85,Leonard2010!D:BH,57,FALSE)</f>
        <v>6.865982732319611</v>
      </c>
      <c r="S85">
        <f>VLOOKUP(B85,Leonard2010!D:BI,58,FALSE)</f>
        <v>7.198914498606821</v>
      </c>
      <c r="T85">
        <v>2075.6670760769066</v>
      </c>
      <c r="U85">
        <v>7251.3481606694677</v>
      </c>
      <c r="V85">
        <v>25332.603071696158</v>
      </c>
      <c r="W85">
        <f>VLOOKUP(B85,Leonard2010!D:CE,80,FALSE)</f>
        <v>616</v>
      </c>
      <c r="X85">
        <f>IF(W85=0,"NA",MIN(((17.5*(VLOOKUP(B85,Leonard2010!D:K,8,FALSE)*1000)^(2/3))/1000),(35-FaultGeometry!K88)/SIN(RADIANS(FaultGeometry!H88))))</f>
        <v>30.455270589841014</v>
      </c>
      <c r="Y85">
        <f t="shared" si="6"/>
        <v>3080032796732532.5</v>
      </c>
      <c r="Z85">
        <f>VLOOKUP(A85,Leonard2010!A:U,21,FALSE)</f>
        <v>682</v>
      </c>
    </row>
    <row r="86" spans="1:26" x14ac:dyDescent="0.2">
      <c r="A86">
        <f>VLOOKUP(B86,Leonard2010!D:CC,78,FALSE)</f>
        <v>385</v>
      </c>
      <c r="B86" s="12" t="s">
        <v>170</v>
      </c>
      <c r="C86">
        <v>1</v>
      </c>
      <c r="D86">
        <v>-11.377000000000001</v>
      </c>
      <c r="E86">
        <v>34.445</v>
      </c>
      <c r="F86">
        <v>29.7</v>
      </c>
      <c r="G86">
        <v>2</v>
      </c>
      <c r="H86">
        <f>VLOOKUP(B86,Leonard2010!D:N,11,FALSE)</f>
        <v>53</v>
      </c>
      <c r="I86" t="str">
        <f>VLOOKUP(B86,Leonard2010!D:P,13,FALSE)</f>
        <v>E</v>
      </c>
      <c r="J86">
        <f>VLOOKUP(B86,Leonard2010!D:Q,14,FALSE)</f>
        <v>2.5</v>
      </c>
      <c r="K86">
        <f>VLOOKUP(B86,Leonard2010!D:R,15,FALSE)</f>
        <v>0.5</v>
      </c>
      <c r="L86">
        <f t="shared" si="5"/>
        <v>16.783235229074116</v>
      </c>
      <c r="M86">
        <f>COUNTIF(SectionGeometry!B:B,FaultGeometry!B86)</f>
        <v>2</v>
      </c>
      <c r="N86">
        <f>VLOOKUP(B86,Leonard2010!D:AO,38,FALSE)</f>
        <v>7.3899450410246908E-3</v>
      </c>
      <c r="O86">
        <v>0.12992698123708296</v>
      </c>
      <c r="P86">
        <v>0.12453076444529688</v>
      </c>
      <c r="Q86">
        <f>VLOOKUP(B86,Leonard2010!D:BG,56,FALSE)</f>
        <v>6.2968454608653559</v>
      </c>
      <c r="R86">
        <f>VLOOKUP(B86,Leonard2010!D:BH,57,FALSE)</f>
        <v>6.7298304885447804</v>
      </c>
      <c r="S86">
        <f>VLOOKUP(B86,Leonard2010!D:BI,58,FALSE)</f>
        <v>7.1644706734039234</v>
      </c>
      <c r="T86">
        <v>1728.6208430670824</v>
      </c>
      <c r="U86">
        <v>6286.8442208431525</v>
      </c>
      <c r="V86">
        <v>22864.70767471541</v>
      </c>
      <c r="W86">
        <f>VLOOKUP(B86,Leonard2010!D:CE,80,FALSE)</f>
        <v>616</v>
      </c>
      <c r="X86">
        <f>IF(W86=0,"NA",MIN(((17.5*(VLOOKUP(B86,Leonard2010!D:K,8,FALSE)*1000)^(2/3))/1000),(35-FaultGeometry!K89)/SIN(RADIANS(FaultGeometry!H89))))</f>
        <v>30.455270589841014</v>
      </c>
      <c r="Y86">
        <f t="shared" si="6"/>
        <v>2219795841881492</v>
      </c>
      <c r="Z86">
        <f>VLOOKUP(A86,Leonard2010!A:U,21,FALSE)</f>
        <v>498.46208630350122</v>
      </c>
    </row>
    <row r="87" spans="1:26" x14ac:dyDescent="0.2">
      <c r="A87">
        <f>VLOOKUP(B87,Leonard2010!D:CC,78,FALSE)</f>
        <v>386</v>
      </c>
      <c r="B87" s="11" t="s">
        <v>276</v>
      </c>
      <c r="C87">
        <v>1</v>
      </c>
      <c r="D87">
        <v>-10.718999999999999</v>
      </c>
      <c r="E87">
        <v>34.462000000000003</v>
      </c>
      <c r="F87">
        <v>68.3</v>
      </c>
      <c r="G87">
        <v>190</v>
      </c>
      <c r="H87">
        <f>VLOOKUP(B87,Leonard2010!D:N,11,FALSE)</f>
        <v>53</v>
      </c>
      <c r="I87" t="str">
        <f>VLOOKUP(B87,Leonard2010!D:P,13,FALSE)</f>
        <v>W</v>
      </c>
      <c r="J87">
        <f>VLOOKUP(B87,Leonard2010!D:Q,14,FALSE)</f>
        <v>2.5</v>
      </c>
      <c r="K87">
        <f>VLOOKUP(B87,Leonard2010!D:R,15,FALSE)</f>
        <v>0.5</v>
      </c>
      <c r="L87">
        <f t="shared" si="5"/>
        <v>29.240526249832634</v>
      </c>
      <c r="M87">
        <f>COUNTIF(SectionGeometry!B:B,FaultGeometry!B87)</f>
        <v>3</v>
      </c>
      <c r="N87">
        <f>VLOOKUP(B87,Leonard2010!D:AO,38,FALSE)</f>
        <v>6.6501228646240482E-3</v>
      </c>
      <c r="O87">
        <v>0.12564891505922637</v>
      </c>
      <c r="P87">
        <v>0.12174254152219237</v>
      </c>
      <c r="Q87">
        <f>VLOOKUP(B87,Leonard2010!D:BG,56,FALSE)</f>
        <v>6.8241454562521708</v>
      </c>
      <c r="R87">
        <f>VLOOKUP(B87,Leonard2010!D:BH,57,FALSE)</f>
        <v>7.0932736812929233</v>
      </c>
      <c r="S87">
        <f>VLOOKUP(B87,Leonard2010!D:BI,58,FALSE)</f>
        <v>7.4262054475801333</v>
      </c>
      <c r="T87">
        <v>2877.9019493085284</v>
      </c>
      <c r="U87">
        <v>10264.919503720337</v>
      </c>
      <c r="V87">
        <v>36612.982052142186</v>
      </c>
      <c r="W87">
        <f>VLOOKUP(B87,Leonard2010!D:CE,80,FALSE)</f>
        <v>617</v>
      </c>
      <c r="X87">
        <f>IF(W87=0,"NA",MIN(((17.5*(VLOOKUP(B87,Leonard2010!D:K,8,FALSE)*1000)^(2/3))/1000),(35-FaultGeometry!K84)/SIN(RADIANS(FaultGeometry!H84))))</f>
        <v>37.071582531392735</v>
      </c>
      <c r="Y87">
        <f t="shared" si="6"/>
        <v>4770401950446423</v>
      </c>
      <c r="Z87">
        <f>VLOOKUP(A87,Leonard2010!A:U,21,FALSE)</f>
        <v>1151</v>
      </c>
    </row>
    <row r="88" spans="1:26" x14ac:dyDescent="0.2">
      <c r="A88">
        <f>VLOOKUP(B88,Leonard2010!D:CC,78,FALSE)</f>
        <v>387</v>
      </c>
      <c r="B88" s="11" t="s">
        <v>476</v>
      </c>
      <c r="C88">
        <v>1</v>
      </c>
      <c r="D88">
        <v>-10.654999999999999</v>
      </c>
      <c r="E88">
        <v>34.396000000000001</v>
      </c>
      <c r="F88">
        <v>13.9</v>
      </c>
      <c r="G88">
        <v>158</v>
      </c>
      <c r="H88">
        <f>VLOOKUP(B88,Leonard2010!D:N,11,FALSE)</f>
        <v>53</v>
      </c>
      <c r="I88" t="str">
        <f>VLOOKUP(B88,Leonard2010!D:P,13,FALSE)</f>
        <v>W</v>
      </c>
      <c r="J88">
        <f>VLOOKUP(B88,Leonard2010!D:Q,14,FALSE)</f>
        <v>2</v>
      </c>
      <c r="K88">
        <f>VLOOKUP(B88,Leonard2010!D:R,15,FALSE)</f>
        <v>0.5</v>
      </c>
      <c r="L88">
        <f t="shared" si="5"/>
        <v>10.11691067540592</v>
      </c>
      <c r="M88">
        <f>COUNTIF(SectionGeometry!B:B,FaultGeometry!B88)</f>
        <v>0</v>
      </c>
      <c r="N88">
        <f>VLOOKUP(B88,Leonard2010!D:AO,38,FALSE)</f>
        <v>7.9859303431396821E-3</v>
      </c>
      <c r="O88">
        <v>0.13336807783783794</v>
      </c>
      <c r="P88">
        <v>0.12711203971446833</v>
      </c>
      <c r="Q88">
        <f>VLOOKUP(B88,Leonard2010!D:BG,56,FALSE)</f>
        <v>5.7472760457601622</v>
      </c>
      <c r="R88">
        <f>VLOOKUP(B88,Leonard2010!D:BH,57,FALSE)</f>
        <v>6.180261073439584</v>
      </c>
      <c r="S88">
        <f>VLOOKUP(B88,Leonard2010!D:BI,58,FALSE)</f>
        <v>6.668094799712537</v>
      </c>
      <c r="T88">
        <v>889.98981358354069</v>
      </c>
      <c r="U88">
        <v>3252.9207637853706</v>
      </c>
      <c r="V88">
        <v>11889.454613935022</v>
      </c>
      <c r="W88">
        <f>VLOOKUP(B88,Leonard2010!D:CE,80,FALSE)</f>
        <v>617</v>
      </c>
      <c r="X88">
        <f>IF(W88=0,"NA",MIN(((17.5*(VLOOKUP(B88,Leonard2010!D:K,8,FALSE)*1000)^(2/3))/1000),(35-FaultGeometry!K85)/SIN(RADIANS(FaultGeometry!H85))))</f>
        <v>37.071582531392735</v>
      </c>
      <c r="Y88">
        <f t="shared" si="6"/>
        <v>642862548310308.38</v>
      </c>
      <c r="Z88">
        <f>VLOOKUP(A88,Leonard2010!A:U,21,FALSE)</f>
        <v>140.62505838814229</v>
      </c>
    </row>
    <row r="89" spans="1:26" x14ac:dyDescent="0.2">
      <c r="A89">
        <f>VLOOKUP(B89,Leonard2010!D:CC,78,FALSE)</f>
        <v>388</v>
      </c>
      <c r="B89" s="11" t="s">
        <v>477</v>
      </c>
      <c r="C89">
        <v>1</v>
      </c>
      <c r="D89">
        <v>-11.255000000000001</v>
      </c>
      <c r="E89">
        <v>34.383000000000003</v>
      </c>
      <c r="F89">
        <v>15.3</v>
      </c>
      <c r="G89">
        <v>187</v>
      </c>
      <c r="H89">
        <f>VLOOKUP(B89,Leonard2010!D:N,11,FALSE)</f>
        <v>53</v>
      </c>
      <c r="I89" t="str">
        <f>VLOOKUP(B89,Leonard2010!D:P,13,FALSE)</f>
        <v>W</v>
      </c>
      <c r="J89">
        <f>VLOOKUP(B89,Leonard2010!D:Q,14,FALSE)</f>
        <v>2.5</v>
      </c>
      <c r="K89">
        <f>VLOOKUP(B89,Leonard2010!D:R,15,FALSE)</f>
        <v>1</v>
      </c>
      <c r="L89">
        <f t="shared" si="5"/>
        <v>10.785302635227483</v>
      </c>
      <c r="M89">
        <f>COUNTIF(SectionGeometry!B:B,FaultGeometry!B89)</f>
        <v>0</v>
      </c>
      <c r="N89">
        <f>VLOOKUP(B89,Leonard2010!D:AO,38,FALSE)</f>
        <v>6.9435561273554509E-3</v>
      </c>
      <c r="O89">
        <v>0.12549853436353944</v>
      </c>
      <c r="P89">
        <v>0.12107933442654835</v>
      </c>
      <c r="Q89">
        <f>VLOOKUP(B89,Leonard2010!D:BG,56,FALSE)</f>
        <v>5.8167370966993346</v>
      </c>
      <c r="R89">
        <f>VLOOKUP(B89,Leonard2010!D:BH,57,FALSE)</f>
        <v>6.222530055833424</v>
      </c>
      <c r="S89">
        <f>VLOOKUP(B89,Leonard2010!D:BI,58,FALSE)</f>
        <v>6.555461822120634</v>
      </c>
      <c r="T89">
        <v>1072.3330405707595</v>
      </c>
      <c r="U89">
        <v>3802.8101146894678</v>
      </c>
      <c r="V89">
        <v>13485.88938440926</v>
      </c>
      <c r="W89">
        <f>VLOOKUP(B89,Leonard2010!D:CE,80,FALSE)</f>
        <v>617</v>
      </c>
      <c r="X89">
        <f>IF(W89=0,"NA",MIN(((17.5*(VLOOKUP(B89,Leonard2010!D:K,8,FALSE)*1000)^(2/3))/1000),(35-FaultGeometry!K86)/SIN(RADIANS(FaultGeometry!H86))))</f>
        <v>37.071582531392735</v>
      </c>
      <c r="Y89">
        <f t="shared" si="6"/>
        <v>636341787225602.62</v>
      </c>
      <c r="Z89">
        <f>VLOOKUP(A89,Leonard2010!A:U,21,FALSE)</f>
        <v>155</v>
      </c>
    </row>
    <row r="90" spans="1:26" x14ac:dyDescent="0.2">
      <c r="A90">
        <f>VLOOKUP(B90,Leonard2010!D:CC,78,FALSE)</f>
        <v>389</v>
      </c>
      <c r="B90" s="12" t="s">
        <v>173</v>
      </c>
      <c r="C90">
        <v>1</v>
      </c>
      <c r="D90">
        <v>-11.144</v>
      </c>
      <c r="E90">
        <v>34.301000000000002</v>
      </c>
      <c r="F90">
        <v>11.7</v>
      </c>
      <c r="G90">
        <v>342</v>
      </c>
      <c r="H90">
        <f>VLOOKUP(B90,Leonard2010!D:N,11,FALSE)</f>
        <v>53</v>
      </c>
      <c r="I90" t="str">
        <f>VLOOKUP(B90,Leonard2010!D:P,13,FALSE)</f>
        <v>E</v>
      </c>
      <c r="J90">
        <f>VLOOKUP(B90,Leonard2010!D:Q,14,FALSE)</f>
        <v>4</v>
      </c>
      <c r="K90">
        <f>VLOOKUP(B90,Leonard2010!D:R,15,FALSE)</f>
        <v>0.5</v>
      </c>
      <c r="L90">
        <f t="shared" si="5"/>
        <v>9.0190741300600408</v>
      </c>
      <c r="M90">
        <f>COUNTIF(SectionGeometry!B:B,FaultGeometry!B90)</f>
        <v>0</v>
      </c>
      <c r="N90">
        <f>VLOOKUP(B90,Leonard2010!D:AO,38,FALSE)</f>
        <v>8.226243184009845E-3</v>
      </c>
      <c r="O90">
        <v>0.13717345902469477</v>
      </c>
      <c r="P90">
        <v>0.13241813053247409</v>
      </c>
      <c r="Q90">
        <f>VLOOKUP(B90,Leonard2010!D:BG,56,FALSE)</f>
        <v>5.6225611482469402</v>
      </c>
      <c r="R90">
        <f>VLOOKUP(B90,Leonard2010!D:BH,57,FALSE)</f>
        <v>6.055546175926362</v>
      </c>
      <c r="S90">
        <f>VLOOKUP(B90,Leonard2010!D:BI,58,FALSE)</f>
        <v>6.5433799021993151</v>
      </c>
      <c r="T90">
        <v>758.91494563666299</v>
      </c>
      <c r="U90">
        <v>2745.3182604254921</v>
      </c>
      <c r="V90">
        <v>9930.9842220895607</v>
      </c>
      <c r="W90">
        <f>VLOOKUP(B90,Leonard2010!D:CE,80,FALSE)</f>
        <v>0</v>
      </c>
      <c r="X90" t="str">
        <f>IF(W90=0,"NA",MIN(((17.5*(VLOOKUP(B90,Leonard2010!D:K,8,FALSE)*1000)^(2/3))/1000),(35-FaultGeometry!K90)/SIN(RADIANS(FaultGeometry!H90))))</f>
        <v>NA</v>
      </c>
      <c r="Y90">
        <f t="shared" si="6"/>
        <v>495138350023979</v>
      </c>
      <c r="Z90">
        <f>VLOOKUP(A90,Leonard2010!A:U,21,FALSE)</f>
        <v>105.52316732170247</v>
      </c>
    </row>
    <row r="91" spans="1:26" x14ac:dyDescent="0.2">
      <c r="A91">
        <f>VLOOKUP(B91,Leonard2010!D:CC,78,FALSE)</f>
        <v>391</v>
      </c>
      <c r="B91" s="12" t="s">
        <v>175</v>
      </c>
      <c r="C91">
        <v>1</v>
      </c>
      <c r="D91">
        <v>-12.03</v>
      </c>
      <c r="E91">
        <v>34.767000000000003</v>
      </c>
      <c r="F91">
        <v>57.2</v>
      </c>
      <c r="G91">
        <v>12</v>
      </c>
      <c r="H91">
        <f>VLOOKUP(B91,Leonard2010!D:N,11,FALSE)</f>
        <v>53</v>
      </c>
      <c r="I91" t="str">
        <f>VLOOKUP(B91,Leonard2010!D:P,13,FALSE)</f>
        <v>E</v>
      </c>
      <c r="J91">
        <f>VLOOKUP(B91,Leonard2010!D:Q,14,FALSE)</f>
        <v>1</v>
      </c>
      <c r="K91">
        <f>VLOOKUP(B91,Leonard2010!D:R,15,FALSE)</f>
        <v>0.5</v>
      </c>
      <c r="L91">
        <f t="shared" si="5"/>
        <v>25.979775939490768</v>
      </c>
      <c r="M91">
        <f>COUNTIF(SectionGeometry!B:B,FaultGeometry!B91)</f>
        <v>0</v>
      </c>
      <c r="N91">
        <f>VLOOKUP(B91,Leonard2010!D:AO,38,FALSE)</f>
        <v>6.4443225589232139E-3</v>
      </c>
      <c r="O91">
        <v>0.12013105159259883</v>
      </c>
      <c r="P91">
        <v>0.11748500341384967</v>
      </c>
      <c r="Q91">
        <f>VLOOKUP(B91,Leonard2010!D:BG,56,FALSE)</f>
        <v>6.7712447599917098</v>
      </c>
      <c r="R91">
        <f>VLOOKUP(B91,Leonard2010!D:BH,57,FALSE)</f>
        <v>7.2042297876711316</v>
      </c>
      <c r="S91">
        <f>VLOOKUP(B91,Leonard2010!D:BI,58,FALSE)</f>
        <v>7.6920635139440847</v>
      </c>
      <c r="T91">
        <v>3221.6843944810666</v>
      </c>
      <c r="U91">
        <v>11751.873502711893</v>
      </c>
      <c r="V91">
        <v>42867.80265016848</v>
      </c>
      <c r="W91">
        <f>VLOOKUP(B91,Leonard2010!D:CE,80,FALSE)</f>
        <v>0</v>
      </c>
      <c r="X91" t="str">
        <f>IF(W91=0,"NA",MIN(((17.5*(VLOOKUP(B91,Leonard2010!D:K,8,FALSE)*1000)^(2/3))/1000),(35-FaultGeometry!K91)/SIN(RADIANS(FaultGeometry!H91))))</f>
        <v>NA</v>
      </c>
      <c r="Y91">
        <f t="shared" si="6"/>
        <v>6112763218327806</v>
      </c>
      <c r="Z91">
        <f>VLOOKUP(A91,Leonard2010!A:U,21,FALSE)</f>
        <v>1486.0431837388719</v>
      </c>
    </row>
    <row r="92" spans="1:26" x14ac:dyDescent="0.2">
      <c r="A92">
        <f>VLOOKUP(B92,Leonard2010!D:CC,78,FALSE)</f>
        <v>392</v>
      </c>
      <c r="B92" s="57" t="s">
        <v>328</v>
      </c>
      <c r="C92">
        <v>0.5</v>
      </c>
      <c r="D92">
        <v>-10.257999999999999</v>
      </c>
      <c r="E92">
        <v>34.008000000000003</v>
      </c>
      <c r="F92">
        <v>18.399999999999999</v>
      </c>
      <c r="G92">
        <v>332</v>
      </c>
      <c r="H92">
        <f>VLOOKUP(B92,Leonard2010!D:N,11,FALSE)</f>
        <v>53</v>
      </c>
      <c r="I92" t="str">
        <f>VLOOKUP(B92,Leonard2010!D:P,13,FALSE)</f>
        <v>E</v>
      </c>
      <c r="J92">
        <f>VLOOKUP(B92,Leonard2010!D:Q,14,FALSE)</f>
        <v>0</v>
      </c>
      <c r="K92">
        <f>VLOOKUP(B92,Leonard2010!D:R,15,FALSE)</f>
        <v>0</v>
      </c>
      <c r="L92">
        <f t="shared" si="5"/>
        <v>12.196913131050795</v>
      </c>
      <c r="M92">
        <f>COUNTIF(SectionGeometry!B:B,FaultGeometry!B92)</f>
        <v>0</v>
      </c>
      <c r="N92">
        <f>VLOOKUP(B92,Leonard2010!D:AO,38,FALSE)</f>
        <v>1.4696706373012765E-2</v>
      </c>
      <c r="O92">
        <v>0.25301110621571138</v>
      </c>
      <c r="P92">
        <v>0.25039239734686708</v>
      </c>
      <c r="Q92">
        <f>VLOOKUP(B92,Leonard2010!D:BG,56,FALSE)</f>
        <v>5.8122881552925607</v>
      </c>
      <c r="R92">
        <f>VLOOKUP(B92,Leonard2010!D:BH,57,FALSE)</f>
        <v>6.0814163803333132</v>
      </c>
      <c r="S92">
        <f>VLOOKUP(B92,Leonard2010!D:BI,58,FALSE)</f>
        <v>6.4143481466205232</v>
      </c>
      <c r="T92">
        <v>444.74096084312885</v>
      </c>
      <c r="U92">
        <v>1596.6688587715491</v>
      </c>
      <c r="V92">
        <v>5732.216433894112</v>
      </c>
      <c r="W92">
        <f>VLOOKUP(B92,Leonard2010!D:CE,80,FALSE)</f>
        <v>618</v>
      </c>
      <c r="X92">
        <f>IF(W92=0,"NA",MIN(((17.5*(VLOOKUP(B92,Leonard2010!D:K,8,FALSE)*1000)^(2/3))/1000),(35-FaultGeometry!K92)/SIN(RADIANS(FaultGeometry!H92))))</f>
        <v>29.808601331412302</v>
      </c>
      <c r="Y92">
        <f t="shared" si="6"/>
        <v>465457164890530</v>
      </c>
      <c r="Z92">
        <f>VLOOKUP(A92,Leonard2010!A:U,21,FALSE)</f>
        <v>112</v>
      </c>
    </row>
    <row r="93" spans="1:26" x14ac:dyDescent="0.2">
      <c r="A93">
        <f>VLOOKUP(B93,Leonard2010!D:CC,78,FALSE)</f>
        <v>393</v>
      </c>
      <c r="B93" s="57" t="s">
        <v>331</v>
      </c>
      <c r="C93">
        <v>0.5</v>
      </c>
      <c r="D93">
        <v>-10.321</v>
      </c>
      <c r="E93">
        <v>34.051000000000002</v>
      </c>
      <c r="F93">
        <v>12</v>
      </c>
      <c r="G93">
        <v>318</v>
      </c>
      <c r="H93">
        <f>VLOOKUP(B93,Leonard2010!D:N,11,FALSE)</f>
        <v>53</v>
      </c>
      <c r="I93" t="str">
        <f>VLOOKUP(B93,Leonard2010!D:P,13,FALSE)</f>
        <v>E</v>
      </c>
      <c r="J93">
        <f>VLOOKUP(B93,Leonard2010!D:Q,14,FALSE)</f>
        <v>0</v>
      </c>
      <c r="K93">
        <f>VLOOKUP(B93,Leonard2010!D:R,15,FALSE)</f>
        <v>0</v>
      </c>
      <c r="L93">
        <f t="shared" si="5"/>
        <v>9.1725948797311343</v>
      </c>
      <c r="M93">
        <f>COUNTIF(SectionGeometry!B:B,FaultGeometry!B93)</f>
        <v>0</v>
      </c>
      <c r="N93">
        <f>VLOOKUP(B93,Leonard2010!D:AO,38,FALSE)</f>
        <v>1.2207408445295711E-2</v>
      </c>
      <c r="O93">
        <v>0.22797657595561774</v>
      </c>
      <c r="P93">
        <v>0.23222468623441486</v>
      </c>
      <c r="Q93">
        <f>VLOOKUP(B93,Leonard2010!D:BG,56,FALSE)</f>
        <v>5.640886788749377</v>
      </c>
      <c r="R93">
        <f>VLOOKUP(B93,Leonard2010!D:BH,57,FALSE)</f>
        <v>6.061582135348341</v>
      </c>
      <c r="S93">
        <f>VLOOKUP(B93,Leonard2010!D:BI,58,FALSE)</f>
        <v>6.394513901635551</v>
      </c>
      <c r="T93">
        <v>482.84202724467332</v>
      </c>
      <c r="U93">
        <v>1728.2764666471689</v>
      </c>
      <c r="V93">
        <v>6186.16312712322</v>
      </c>
      <c r="W93">
        <f>VLOOKUP(B93,Leonard2010!D:CE,80,FALSE)</f>
        <v>618</v>
      </c>
      <c r="X93">
        <f>IF(W93=0,"NA",MIN(((17.5*(VLOOKUP(B93,Leonard2010!D:K,8,FALSE)*1000)^(2/3))/1000),(35-FaultGeometry!K94)/SIN(RADIANS(FaultGeometry!H94))))</f>
        <v>29.808601331412302</v>
      </c>
      <c r="Y93">
        <f t="shared" si="6"/>
        <v>401541087637242.75</v>
      </c>
      <c r="Z93">
        <f>VLOOKUP(A93,Leonard2010!A:U,21,FALSE)</f>
        <v>107</v>
      </c>
    </row>
    <row r="94" spans="1:26" x14ac:dyDescent="0.2">
      <c r="A94">
        <f>VLOOKUP(B94,Leonard2010!D:CC,78,FALSE)</f>
        <v>394</v>
      </c>
      <c r="B94" s="57" t="s">
        <v>277</v>
      </c>
      <c r="C94" s="57">
        <v>0.5</v>
      </c>
      <c r="D94">
        <v>-10.617000000000001</v>
      </c>
      <c r="E94">
        <v>34.19</v>
      </c>
      <c r="F94">
        <v>39.9</v>
      </c>
      <c r="G94">
        <v>326</v>
      </c>
      <c r="H94">
        <f>VLOOKUP(B94,Leonard2010!D:N,11,FALSE)</f>
        <v>53</v>
      </c>
      <c r="I94" t="str">
        <f>VLOOKUP(B94,Leonard2010!D:P,13,FALSE)</f>
        <v>NE</v>
      </c>
      <c r="J94">
        <f>VLOOKUP(B94,Leonard2010!D:Q,14,FALSE)</f>
        <v>0</v>
      </c>
      <c r="K94">
        <f>VLOOKUP(B94,Leonard2010!D:R,15,FALSE)</f>
        <v>0</v>
      </c>
      <c r="L94">
        <f t="shared" si="5"/>
        <v>20.43399639741941</v>
      </c>
      <c r="M94">
        <f>COUNTIF(SectionGeometry!B:B,FaultGeometry!B94)</f>
        <v>0</v>
      </c>
      <c r="N94">
        <f>VLOOKUP(B94,Leonard2010!D:AO,38,FALSE)</f>
        <v>1.3729256861459717E-2</v>
      </c>
      <c r="O94">
        <v>0.24631592446275644</v>
      </c>
      <c r="P94">
        <v>0.25313290978605513</v>
      </c>
      <c r="Q94">
        <f>VLOOKUP(B94,Leonard2010!D:BG,56,FALSE)</f>
        <v>6.510539538147917</v>
      </c>
      <c r="R94">
        <f>VLOOKUP(B94,Leonard2010!D:BH,57,FALSE)</f>
        <v>6.8397333857319849</v>
      </c>
      <c r="S94">
        <f>VLOOKUP(B94,Leonard2010!D:BI,58,FALSE)</f>
        <v>7.1726651520191949</v>
      </c>
      <c r="T94">
        <v>1063.684154522922</v>
      </c>
      <c r="U94">
        <v>3881.7527417363908</v>
      </c>
      <c r="V94">
        <v>14165.863319395039</v>
      </c>
      <c r="W94">
        <f>VLOOKUP(B94,Leonard2010!D:CE,80,FALSE)</f>
        <v>618</v>
      </c>
      <c r="X94">
        <f>IF(W94=0,"NA",MIN(((17.5*(VLOOKUP(B94,Leonard2010!D:K,8,FALSE)*1000)^(2/3))/1000),(35-FaultGeometry!K96)/SIN(RADIANS(FaultGeometry!H96))))</f>
        <v>29.808601331412302</v>
      </c>
      <c r="Y94">
        <f t="shared" si="6"/>
        <v>2627496913323101</v>
      </c>
      <c r="Z94">
        <f>VLOOKUP(A94,Leonard2010!A:U,21,FALSE)</f>
        <v>642</v>
      </c>
    </row>
    <row r="95" spans="1:26" x14ac:dyDescent="0.2">
      <c r="A95">
        <f>VLOOKUP(B95,Leonard2010!D:CC,78,FALSE)</f>
        <v>395</v>
      </c>
      <c r="B95" s="57" t="s">
        <v>330</v>
      </c>
      <c r="C95">
        <v>0.5</v>
      </c>
      <c r="D95">
        <v>-10.257999999999999</v>
      </c>
      <c r="E95">
        <v>34.008000000000003</v>
      </c>
      <c r="F95">
        <v>18.399999999999999</v>
      </c>
      <c r="G95">
        <v>332</v>
      </c>
      <c r="H95">
        <f>VLOOKUP(B95,Leonard2010!D:N,11,FALSE)</f>
        <v>53</v>
      </c>
      <c r="I95" t="str">
        <f>VLOOKUP(B95,Leonard2010!D:P,13,FALSE)</f>
        <v>E</v>
      </c>
      <c r="J95">
        <f>VLOOKUP(B95,Leonard2010!D:Q,14,FALSE)</f>
        <v>0</v>
      </c>
      <c r="K95">
        <f>VLOOKUP(B95,Leonard2010!D:R,15,FALSE)</f>
        <v>0</v>
      </c>
      <c r="L95">
        <f t="shared" si="5"/>
        <v>12.196913131050795</v>
      </c>
      <c r="M95">
        <f>COUNTIF(SectionGeometry!B:B,FaultGeometry!B95)</f>
        <v>0</v>
      </c>
      <c r="N95">
        <f>VLOOKUP(B95,Leonard2010!D:AO,38,FALSE)</f>
        <v>1.4696706373012765E-2</v>
      </c>
      <c r="O95">
        <v>0.25101534000556042</v>
      </c>
      <c r="P95">
        <v>0.24848296343654344</v>
      </c>
      <c r="Q95">
        <f>VLOOKUP(B95,Leonard2010!D:BG,56,FALSE)</f>
        <v>5.8122881552925607</v>
      </c>
      <c r="R95">
        <f>VLOOKUP(B95,Leonard2010!D:BH,57,FALSE)</f>
        <v>6.0814163803333132</v>
      </c>
      <c r="S95">
        <f>VLOOKUP(B95,Leonard2010!D:BI,58,FALSE)</f>
        <v>6.4143481466205232</v>
      </c>
      <c r="T95">
        <v>451.33674339277303</v>
      </c>
      <c r="U95">
        <v>1604.0837938604022</v>
      </c>
      <c r="V95">
        <v>5701.0311156660428</v>
      </c>
      <c r="W95">
        <f>VLOOKUP(B95,Leonard2010!D:CE,80,FALSE)</f>
        <v>619</v>
      </c>
      <c r="X95">
        <f>IF(W95=0,"NA",MIN(((17.5*(VLOOKUP(B95,Leonard2010!D:K,8,FALSE)*1000)^(2/3))/1000),(35-FaultGeometry!K93)/SIN(RADIANS(FaultGeometry!H93))))</f>
        <v>28.087431782652153</v>
      </c>
      <c r="Y95">
        <f t="shared" si="6"/>
        <v>463305572387996.94</v>
      </c>
      <c r="Z95">
        <f>VLOOKUP(A95,Leonard2010!A:U,21,FALSE)</f>
        <v>112</v>
      </c>
    </row>
    <row r="96" spans="1:26" x14ac:dyDescent="0.2">
      <c r="A96">
        <f>VLOOKUP(B96,Leonard2010!D:CC,78,FALSE)</f>
        <v>396</v>
      </c>
      <c r="B96" s="57" t="s">
        <v>329</v>
      </c>
      <c r="C96">
        <v>0.5</v>
      </c>
      <c r="D96">
        <v>-10.321</v>
      </c>
      <c r="E96">
        <v>34.051000000000002</v>
      </c>
      <c r="F96">
        <v>12</v>
      </c>
      <c r="G96">
        <v>318</v>
      </c>
      <c r="H96">
        <f>VLOOKUP(B96,Leonard2010!D:N,11,FALSE)</f>
        <v>53</v>
      </c>
      <c r="I96" t="str">
        <f>VLOOKUP(B96,Leonard2010!D:P,13,FALSE)</f>
        <v>E</v>
      </c>
      <c r="J96">
        <f>VLOOKUP(B96,Leonard2010!D:Q,14,FALSE)</f>
        <v>0</v>
      </c>
      <c r="K96">
        <f>VLOOKUP(B96,Leonard2010!D:R,15,FALSE)</f>
        <v>0</v>
      </c>
      <c r="L96">
        <f t="shared" si="5"/>
        <v>9.1725948797311343</v>
      </c>
      <c r="M96">
        <f>COUNTIF(SectionGeometry!B:B,FaultGeometry!B96)</f>
        <v>0</v>
      </c>
      <c r="N96">
        <f>VLOOKUP(B96,Leonard2010!D:AO,38,FALSE)</f>
        <v>1.2207408445295711E-2</v>
      </c>
      <c r="O96">
        <v>0.23006374764330889</v>
      </c>
      <c r="P96">
        <v>0.23464745972482132</v>
      </c>
      <c r="Q96">
        <f>VLOOKUP(B96,Leonard2010!D:BG,56,FALSE)</f>
        <v>5.640886788749377</v>
      </c>
      <c r="R96">
        <f>VLOOKUP(B96,Leonard2010!D:BH,57,FALSE)</f>
        <v>6.061582135348341</v>
      </c>
      <c r="S96">
        <f>VLOOKUP(B96,Leonard2010!D:BI,58,FALSE)</f>
        <v>6.394513901635551</v>
      </c>
      <c r="T96">
        <v>468.11314427511752</v>
      </c>
      <c r="U96">
        <v>1702.3726438072792</v>
      </c>
      <c r="V96">
        <v>6190.966123950886</v>
      </c>
      <c r="W96">
        <f>VLOOKUP(B96,Leonard2010!D:CE,80,FALSE)</f>
        <v>619</v>
      </c>
      <c r="X96">
        <f>IF(W96=0,"NA",MIN(((17.5*(VLOOKUP(B96,Leonard2010!D:K,8,FALSE)*1000)^(2/3))/1000),(35-FaultGeometry!K95)/SIN(RADIANS(FaultGeometry!H95))))</f>
        <v>28.087431782652153</v>
      </c>
      <c r="Y96">
        <f t="shared" si="6"/>
        <v>407651059643036.62</v>
      </c>
      <c r="Z96">
        <f>VLOOKUP(A96,Leonard2010!A:U,21,FALSE)</f>
        <v>107</v>
      </c>
    </row>
    <row r="97" spans="1:26" x14ac:dyDescent="0.2">
      <c r="A97">
        <f>VLOOKUP(B97,Leonard2010!D:CC,78,FALSE)</f>
        <v>397</v>
      </c>
      <c r="B97" s="57" t="s">
        <v>278</v>
      </c>
      <c r="C97" s="57">
        <v>0.5</v>
      </c>
      <c r="D97">
        <v>-10.617000000000001</v>
      </c>
      <c r="E97">
        <v>34.19</v>
      </c>
      <c r="F97">
        <v>33.9</v>
      </c>
      <c r="G97">
        <v>341</v>
      </c>
      <c r="H97">
        <f>VLOOKUP(B97,Leonard2010!D:N,11,FALSE)</f>
        <v>53</v>
      </c>
      <c r="I97" t="str">
        <f>VLOOKUP(B97,Leonard2010!D:P,13,FALSE)</f>
        <v>NE</v>
      </c>
      <c r="J97">
        <f>VLOOKUP(B97,Leonard2010!D:Q,14,FALSE)</f>
        <v>0</v>
      </c>
      <c r="K97">
        <f>VLOOKUP(B97,Leonard2010!D:R,15,FALSE)</f>
        <v>0</v>
      </c>
      <c r="L97">
        <f t="shared" si="5"/>
        <v>18.330367868609443</v>
      </c>
      <c r="M97">
        <f>COUNTIF(SectionGeometry!B:B,FaultGeometry!B97)</f>
        <v>2</v>
      </c>
      <c r="N97">
        <f>VLOOKUP(B97,Leonard2010!D:AO,38,FALSE)</f>
        <v>1.5843135021055998E-2</v>
      </c>
      <c r="O97">
        <v>0.25733683025457421</v>
      </c>
      <c r="P97">
        <v>0.25591761419940123</v>
      </c>
      <c r="Q97">
        <f>VLOOKUP(B97,Leonard2010!D:BG,56,FALSE)</f>
        <v>6.392584209008473</v>
      </c>
      <c r="R97">
        <f>VLOOKUP(B97,Leonard2010!D:BH,57,FALSE)</f>
        <v>6.7354897357817931</v>
      </c>
      <c r="S97">
        <f>VLOOKUP(B97,Leonard2010!D:BI,58,FALSE)</f>
        <v>7.0684215020690031</v>
      </c>
      <c r="T97">
        <v>914.2823538578657</v>
      </c>
      <c r="U97">
        <v>3298.5751332511327</v>
      </c>
      <c r="V97">
        <v>11900.697704370457</v>
      </c>
      <c r="W97">
        <f>VLOOKUP(B97,Leonard2010!D:CE,80,FALSE)</f>
        <v>619</v>
      </c>
      <c r="X97">
        <f>IF(W97=0,"NA",MIN(((17.5*(VLOOKUP(B97,Leonard2010!D:K,8,FALSE)*1000)^(2/3))/1000),(35-FaultGeometry!K97)/SIN(RADIANS(FaultGeometry!H97))))</f>
        <v>28.087431782652153</v>
      </c>
      <c r="Y97">
        <f t="shared" si="6"/>
        <v>2157139479899466</v>
      </c>
      <c r="Z97">
        <f>VLOOKUP(A97,Leonard2010!A:U,21,FALSE)</f>
        <v>505</v>
      </c>
    </row>
    <row r="98" spans="1:26" x14ac:dyDescent="0.2">
      <c r="A98">
        <f>VLOOKUP(B98,Leonard2010!D:CC,78,FALSE)</f>
        <v>398</v>
      </c>
      <c r="B98" s="57" t="s">
        <v>491</v>
      </c>
      <c r="C98">
        <v>0.5</v>
      </c>
      <c r="D98">
        <v>-10.086</v>
      </c>
      <c r="E98">
        <v>33.951999999999998</v>
      </c>
      <c r="F98">
        <v>54.4</v>
      </c>
      <c r="G98">
        <v>140</v>
      </c>
      <c r="H98">
        <f>VLOOKUP(B98,Leonard2010!D:N,11,FALSE)</f>
        <v>53</v>
      </c>
      <c r="I98" t="str">
        <f>VLOOKUP(B98,Leonard2010!D:P,13,FALSE)</f>
        <v>W</v>
      </c>
      <c r="J98">
        <f>VLOOKUP(B98,Leonard2010!D:Q,14,FALSE)</f>
        <v>0</v>
      </c>
      <c r="K98">
        <f>VLOOKUP(B98,Leonard2010!D:R,15,FALSE)</f>
        <v>0</v>
      </c>
      <c r="L98">
        <f t="shared" si="5"/>
        <v>25.124879169076419</v>
      </c>
      <c r="M98">
        <f>COUNTIF(SectionGeometry!B:B,FaultGeometry!B98)</f>
        <v>3</v>
      </c>
      <c r="N98">
        <f>VLOOKUP(B98,Leonard2010!D:AO,38,FALSE)</f>
        <v>1.2611386738700806E-2</v>
      </c>
      <c r="O98">
        <v>0.23345846475286844</v>
      </c>
      <c r="P98">
        <v>0.23296575458634466</v>
      </c>
      <c r="Q98">
        <f>VLOOKUP(B98,Leonard2010!D:BG,56,FALSE)</f>
        <v>6.7349162115003027</v>
      </c>
      <c r="R98">
        <f>VLOOKUP(B98,Leonard2010!D:BH,57,FALSE)</f>
        <v>7.1679012391797272</v>
      </c>
      <c r="S98">
        <f>VLOOKUP(B98,Leonard2010!D:BI,58,FALSE)</f>
        <v>7.6557349654526803</v>
      </c>
      <c r="T98">
        <v>1617.896650274296</v>
      </c>
      <c r="U98">
        <v>5953.3370522984997</v>
      </c>
      <c r="V98">
        <v>21906.357277061772</v>
      </c>
      <c r="W98">
        <f>VLOOKUP(B98,Leonard2010!D:CE,80,FALSE)</f>
        <v>620</v>
      </c>
      <c r="X98">
        <f>IF(W98=0,"NA",MIN(((17.5*(VLOOKUP(B98,Leonard2010!D:K,8,FALSE)*1000)^(2/3))/1000),(35-FaultGeometry!K98)/SIN(RADIANS(FaultGeometry!H98))))</f>
        <v>36.486259918710751</v>
      </c>
      <c r="Y98">
        <f t="shared" si="6"/>
        <v>5321834835382812</v>
      </c>
      <c r="Z98">
        <f>VLOOKUP(A98,Leonard2010!A:U,21,FALSE)</f>
        <v>1366.7934267977571</v>
      </c>
    </row>
    <row r="99" spans="1:26" x14ac:dyDescent="0.2">
      <c r="A99">
        <f>VLOOKUP(B99,Leonard2010!D:CC,78,FALSE)</f>
        <v>399</v>
      </c>
      <c r="B99" s="57" t="s">
        <v>495</v>
      </c>
      <c r="C99">
        <v>0.5</v>
      </c>
      <c r="D99">
        <v>-10.151999999999999</v>
      </c>
      <c r="E99">
        <v>34.070999999999998</v>
      </c>
      <c r="F99">
        <v>40.6</v>
      </c>
      <c r="G99">
        <v>147</v>
      </c>
      <c r="H99">
        <f>VLOOKUP(B99,Leonard2010!D:N,11,FALSE)</f>
        <v>53</v>
      </c>
      <c r="I99" t="str">
        <f>VLOOKUP(B99,Leonard2010!D:P,13,FALSE)</f>
        <v>W</v>
      </c>
      <c r="J99">
        <f>VLOOKUP(B99,Leonard2010!D:Q,14,FALSE)</f>
        <v>0.5</v>
      </c>
      <c r="K99">
        <f>VLOOKUP(B99,Leonard2010!D:R,15,FALSE)</f>
        <v>0.5</v>
      </c>
      <c r="L99">
        <f t="shared" si="5"/>
        <v>20.672297087860741</v>
      </c>
      <c r="M99">
        <f>COUNTIF(SectionGeometry!B:B,FaultGeometry!B99)</f>
        <v>3</v>
      </c>
      <c r="N99">
        <f>VLOOKUP(B99,Leonard2010!D:AO,38,FALSE)</f>
        <v>1.3901251645921741E-2</v>
      </c>
      <c r="O99">
        <v>0.24809719179750236</v>
      </c>
      <c r="P99">
        <v>0.2440870112950205</v>
      </c>
      <c r="Q99">
        <f>VLOOKUP(B99,Leonard2010!D:BG,56,FALSE)</f>
        <v>6.5231281012986599</v>
      </c>
      <c r="R99">
        <f>VLOOKUP(B99,Leonard2010!D:BH,57,FALSE)</f>
        <v>6.9561131289780818</v>
      </c>
      <c r="S99">
        <f>VLOOKUP(B99,Leonard2010!D:BI,58,FALSE)</f>
        <v>7.4439468552510348</v>
      </c>
      <c r="T99">
        <v>1217.8818351699374</v>
      </c>
      <c r="U99">
        <v>4410.9434909561223</v>
      </c>
      <c r="V99">
        <v>15975.62416857405</v>
      </c>
      <c r="W99">
        <f>VLOOKUP(B99,Leonard2010!D:CE,80,FALSE)</f>
        <v>621</v>
      </c>
      <c r="X99">
        <f>IF(W99=0,"NA",MIN(((17.5*(VLOOKUP(B99,Leonard2010!D:K,8,FALSE)*1000)^(2/3))/1000),(35-FaultGeometry!K99)/SIN(RADIANS(FaultGeometry!H99))))</f>
        <v>36.664895663141692</v>
      </c>
      <c r="Y99">
        <f>C99*10^(R99*1.5+9.05)/U99</f>
        <v>3456274313763667.5</v>
      </c>
      <c r="Z99">
        <f>VLOOKUP(A99,Leonard2010!A:U,21,FALSE)</f>
        <v>839.29526176714614</v>
      </c>
    </row>
    <row r="100" spans="1:26" x14ac:dyDescent="0.2">
      <c r="A100">
        <f>VLOOKUP(B100,Leonard2010!D:CC,78,FALSE)</f>
        <v>400</v>
      </c>
      <c r="B100" s="57" t="s">
        <v>509</v>
      </c>
      <c r="C100">
        <v>0.5</v>
      </c>
      <c r="D100">
        <v>-9.9109999999999996</v>
      </c>
      <c r="E100">
        <v>33.872999999999998</v>
      </c>
      <c r="F100">
        <v>20.5</v>
      </c>
      <c r="G100">
        <v>152</v>
      </c>
      <c r="H100">
        <f>VLOOKUP(B100,Leonard2010!D:N,11,FALSE)</f>
        <v>53</v>
      </c>
      <c r="I100" t="str">
        <f>VLOOKUP(B100,Leonard2010!D:P,13,FALSE)</f>
        <v>W</v>
      </c>
      <c r="J100">
        <f>VLOOKUP(B100,Leonard2010!D:Q,14,FALSE)</f>
        <v>0.5</v>
      </c>
      <c r="K100">
        <f>VLOOKUP(B100,Leonard2010!D:R,15,FALSE)</f>
        <v>0.5</v>
      </c>
      <c r="L100">
        <f t="shared" si="5"/>
        <v>13.108126464782043</v>
      </c>
      <c r="M100">
        <f>COUNTIF(SectionGeometry!B:B,FaultGeometry!B100)</f>
        <v>0</v>
      </c>
      <c r="N100">
        <f>VLOOKUP(B100,Leonard2010!D:AO,38,FALSE)</f>
        <v>1.4696706373012772E-2</v>
      </c>
      <c r="O100">
        <v>0.25247783405604407</v>
      </c>
      <c r="P100">
        <v>0.25128509987120617</v>
      </c>
      <c r="Q100">
        <f>VLOOKUP(B100,Leonard2010!D:BG,56,FALSE)</f>
        <v>6.0285078137629284</v>
      </c>
      <c r="R100">
        <f>VLOOKUP(B100,Leonard2010!D:BH,57,FALSE)</f>
        <v>6.4614928414423503</v>
      </c>
      <c r="S100">
        <f>VLOOKUP(B100,Leonard2010!D:BI,58,FALSE)</f>
        <v>6.9493265677153033</v>
      </c>
      <c r="T100">
        <v>648.73987904384535</v>
      </c>
      <c r="U100">
        <v>2382.7134079393968</v>
      </c>
      <c r="V100">
        <v>8751.3090651090824</v>
      </c>
      <c r="W100">
        <f>VLOOKUP(B100,Leonard2010!D:CE,80,FALSE)</f>
        <v>620</v>
      </c>
      <c r="X100">
        <f>IF(W100=0,"NA",MIN(((17.5*(VLOOKUP(B100,Leonard2010!D:K,8,FALSE)*1000)^(2/3))/1000),(35-FaultGeometry!K100)/SIN(RADIANS(FaultGeometry!H100))))</f>
        <v>36.486259918710751</v>
      </c>
      <c r="Y100">
        <f t="shared" ref="Y100:Y119" si="7">C100*10^(R100*1.5+9.05)/U100</f>
        <v>1159144176893749.2</v>
      </c>
      <c r="Z100">
        <f>VLOOKUP(A100,Leonard2010!A:U,21,FALSE)</f>
        <v>268.71659252803187</v>
      </c>
    </row>
    <row r="101" spans="1:26" x14ac:dyDescent="0.2">
      <c r="A101">
        <f>VLOOKUP(B101,Leonard2010!D:CC,78,FALSE)</f>
        <v>401</v>
      </c>
      <c r="B101" s="57" t="s">
        <v>510</v>
      </c>
      <c r="C101">
        <v>0.5</v>
      </c>
      <c r="D101">
        <v>-9.9109999999999996</v>
      </c>
      <c r="E101">
        <v>33.872999999999998</v>
      </c>
      <c r="F101">
        <v>20.5</v>
      </c>
      <c r="G101">
        <v>152</v>
      </c>
      <c r="H101">
        <f>VLOOKUP(B101,Leonard2010!D:N,11,FALSE)</f>
        <v>53</v>
      </c>
      <c r="I101" t="str">
        <f>VLOOKUP(B101,Leonard2010!D:P,13,FALSE)</f>
        <v>W</v>
      </c>
      <c r="J101">
        <f>VLOOKUP(B101,Leonard2010!D:Q,14,FALSE)</f>
        <v>0.5</v>
      </c>
      <c r="K101">
        <f>VLOOKUP(B101,Leonard2010!D:R,15,FALSE)</f>
        <v>0.5</v>
      </c>
      <c r="L101">
        <f t="shared" ref="L101:L119" si="8">MIN((((F101*1000)^(2/3)*17.5)/1000),((35-K101)/SIN(RADIANS(H101))))</f>
        <v>13.108126464782043</v>
      </c>
      <c r="M101">
        <f>COUNTIF(SectionGeometry!B:B,FaultGeometry!B101)</f>
        <v>0</v>
      </c>
      <c r="N101">
        <f>VLOOKUP(B101,Leonard2010!D:AO,38,FALSE)</f>
        <v>1.4696706373012772E-2</v>
      </c>
      <c r="O101">
        <v>0.25882149201967719</v>
      </c>
      <c r="P101">
        <v>0.25937814251005148</v>
      </c>
      <c r="Q101">
        <f>VLOOKUP(B101,Leonard2010!D:BG,56,FALSE)</f>
        <v>6.0285078137629284</v>
      </c>
      <c r="R101">
        <f>VLOOKUP(B101,Leonard2010!D:BH,57,FALSE)</f>
        <v>6.4614928414423503</v>
      </c>
      <c r="S101">
        <f>VLOOKUP(B101,Leonard2010!D:BI,58,FALSE)</f>
        <v>6.9493265677153033</v>
      </c>
      <c r="T101">
        <v>637.60872099410255</v>
      </c>
      <c r="U101">
        <v>2338.1492641211225</v>
      </c>
      <c r="V101">
        <v>8574.1330086994003</v>
      </c>
      <c r="W101">
        <f>VLOOKUP(B101,Leonard2010!D:CE,80,FALSE)</f>
        <v>622</v>
      </c>
      <c r="X101">
        <f>IF(W101=0,"NA",MIN(((17.5*(VLOOKUP(B101,Leonard2010!D:K,8,FALSE)*1000)^(2/3))/1000),(35-FaultGeometry!K101)/SIN(RADIANS(FaultGeometry!H101))))</f>
        <v>20.740130788389592</v>
      </c>
      <c r="Y101">
        <f t="shared" si="7"/>
        <v>1181236978494516.5</v>
      </c>
      <c r="Z101">
        <f>VLOOKUP(A101,Leonard2010!A:U,21,FALSE)</f>
        <v>268.71659252803187</v>
      </c>
    </row>
    <row r="102" spans="1:26" x14ac:dyDescent="0.2">
      <c r="A102">
        <f>VLOOKUP(B102,Leonard2010!D:CC,78,FALSE)</f>
        <v>402</v>
      </c>
      <c r="B102" s="57" t="s">
        <v>499</v>
      </c>
      <c r="C102">
        <v>0.5</v>
      </c>
      <c r="D102">
        <v>-9.7349999999999994</v>
      </c>
      <c r="E102">
        <v>33.862000000000002</v>
      </c>
      <c r="F102">
        <v>55.3</v>
      </c>
      <c r="G102">
        <v>153</v>
      </c>
      <c r="H102">
        <f>VLOOKUP(B102,Leonard2010!D:N,11,FALSE)</f>
        <v>50</v>
      </c>
      <c r="I102" t="str">
        <f>VLOOKUP(B102,Leonard2010!D:P,13,FALSE)</f>
        <v>W</v>
      </c>
      <c r="J102">
        <f>VLOOKUP(B102,Leonard2010!D:Q,14,FALSE)</f>
        <v>1</v>
      </c>
      <c r="K102">
        <f>VLOOKUP(B102,Leonard2010!D:R,15,FALSE)</f>
        <v>1</v>
      </c>
      <c r="L102">
        <f t="shared" si="8"/>
        <v>25.401233274355985</v>
      </c>
      <c r="M102">
        <f>COUNTIF(SectionGeometry!B:B,FaultGeometry!B102)</f>
        <v>3</v>
      </c>
      <c r="N102">
        <f>VLOOKUP(B102,Leonard2010!D:AO,38,FALSE)</f>
        <v>1.7688667331899641E-2</v>
      </c>
      <c r="O102">
        <v>0.22554179009666059</v>
      </c>
      <c r="P102">
        <v>0.21145782753238107</v>
      </c>
      <c r="Q102">
        <f>VLOOKUP(B102,Leonard2010!D:BG,56,FALSE)</f>
        <v>6.7467932641778345</v>
      </c>
      <c r="R102">
        <f>VLOOKUP(B102,Leonard2010!D:BH,57,FALSE)</f>
        <v>7.1797782918572564</v>
      </c>
      <c r="S102">
        <f>VLOOKUP(B102,Leonard2010!D:BI,58,FALSE)</f>
        <v>7.6676120181302094</v>
      </c>
      <c r="T102">
        <v>1783.6312515463901</v>
      </c>
      <c r="U102">
        <v>6266.915499349434</v>
      </c>
      <c r="V102">
        <v>22019.254171475077</v>
      </c>
      <c r="W102">
        <f>VLOOKUP(B102,Leonard2010!D:CE,80,FALSE)</f>
        <v>621</v>
      </c>
      <c r="X102">
        <f>IF(W102=0,"NA",MIN(((17.5*(VLOOKUP(B102,Leonard2010!D:K,8,FALSE)*1000)^(2/3))/1000),(35-FaultGeometry!K106)/SIN(RADIANS(FaultGeometry!H106))))</f>
        <v>25.401233274355985</v>
      </c>
      <c r="Y102">
        <f t="shared" si="7"/>
        <v>5267246015036842</v>
      </c>
      <c r="Z102">
        <f>VLOOKUP(A102,Leonard2010!A:U,21,FALSE)</f>
        <v>1404.6882000718858</v>
      </c>
    </row>
    <row r="103" spans="1:26" x14ac:dyDescent="0.2">
      <c r="A103">
        <f>VLOOKUP(B103,Leonard2010!D:CC,78,FALSE)</f>
        <v>403</v>
      </c>
      <c r="B103" s="57" t="s">
        <v>504</v>
      </c>
      <c r="C103">
        <v>0.5</v>
      </c>
      <c r="D103">
        <v>-9.7349999999999994</v>
      </c>
      <c r="E103">
        <v>33.862000000000002</v>
      </c>
      <c r="F103">
        <v>69.599999999999994</v>
      </c>
      <c r="G103">
        <v>151</v>
      </c>
      <c r="H103">
        <f>VLOOKUP(B103,Leonard2010!D:N,11,FALSE)</f>
        <v>50</v>
      </c>
      <c r="I103" t="str">
        <f>VLOOKUP(B103,Leonard2010!D:P,13,FALSE)</f>
        <v>W</v>
      </c>
      <c r="J103">
        <f>VLOOKUP(B103,Leonard2010!D:Q,14,FALSE)</f>
        <v>1</v>
      </c>
      <c r="K103">
        <f>VLOOKUP(B103,Leonard2010!D:R,15,FALSE)</f>
        <v>1</v>
      </c>
      <c r="L103">
        <f t="shared" si="8"/>
        <v>29.610395514727642</v>
      </c>
      <c r="M103">
        <f>COUNTIF(SectionGeometry!B:B,FaultGeometry!B103)</f>
        <v>4</v>
      </c>
      <c r="N103">
        <f>VLOOKUP(B103,Leonard2010!D:AO,38,FALSE)</f>
        <v>1.7335702713002697E-2</v>
      </c>
      <c r="O103">
        <v>0.27578037610342915</v>
      </c>
      <c r="P103">
        <v>0.18895863273881627</v>
      </c>
      <c r="Q103">
        <f>VLOOKUP(B103,Leonard2010!D:BG,56,FALSE)</f>
        <v>6.9132667780209403</v>
      </c>
      <c r="R103">
        <f>VLOOKUP(B103,Leonard2010!D:BH,57,FALSE)</f>
        <v>7.3462518057003621</v>
      </c>
      <c r="S103">
        <f>VLOOKUP(B103,Leonard2010!D:BI,58,FALSE)</f>
        <v>7.8340855319733151</v>
      </c>
      <c r="T103">
        <v>445.4633162054522</v>
      </c>
      <c r="U103">
        <v>6106.7615804312345</v>
      </c>
      <c r="V103">
        <v>83716.291877626325</v>
      </c>
      <c r="W103">
        <f>VLOOKUP(B103,Leonard2010!D:CE,80,FALSE)</f>
        <v>0</v>
      </c>
      <c r="X103" t="str">
        <f>IF(W103=0,"NA",MIN(((17.5*(VLOOKUP(B103,Leonard2010!D:K,8,FALSE)*1000)^(2/3))/1000),(35-FaultGeometry!K107)/SIN(RADIANS(FaultGeometry!H107))))</f>
        <v>NA</v>
      </c>
      <c r="Y103">
        <f t="shared" si="7"/>
        <v>9605870959395390</v>
      </c>
      <c r="Z103">
        <f>VLOOKUP(A103,Leonard2010!A:U,21,FALSE)</f>
        <v>2060.8835278250435</v>
      </c>
    </row>
    <row r="104" spans="1:26" x14ac:dyDescent="0.2">
      <c r="A104">
        <f>VLOOKUP(B104,Leonard2010!D:CC,78,FALSE)</f>
        <v>404</v>
      </c>
      <c r="B104" s="57" t="s">
        <v>511</v>
      </c>
      <c r="C104">
        <v>0.5</v>
      </c>
      <c r="D104">
        <v>-9.8940000000000001</v>
      </c>
      <c r="E104">
        <v>33.840000000000003</v>
      </c>
      <c r="F104">
        <v>20.299999999999997</v>
      </c>
      <c r="G104">
        <v>356</v>
      </c>
      <c r="H104">
        <f>VLOOKUP(B104,Leonard2010!D:N,11,FALSE)</f>
        <v>60</v>
      </c>
      <c r="I104" t="str">
        <f>VLOOKUP(B104,Leonard2010!D:P,13,FALSE)</f>
        <v>E</v>
      </c>
      <c r="J104">
        <f>VLOOKUP(B104,Leonard2010!D:Q,14,FALSE)</f>
        <v>0</v>
      </c>
      <c r="K104">
        <f>VLOOKUP(B104,Leonard2010!D:R,15,FALSE)</f>
        <v>0</v>
      </c>
      <c r="L104">
        <f t="shared" si="8"/>
        <v>13.02273112533811</v>
      </c>
      <c r="M104">
        <f>COUNTIF(SectionGeometry!B:B,FaultGeometry!B104)</f>
        <v>5</v>
      </c>
      <c r="N104">
        <f>VLOOKUP(B104,Leonard2010!D:AO,38,FALSE)</f>
        <v>2.3564002462952892E-2</v>
      </c>
      <c r="O104">
        <v>0.28908371417605588</v>
      </c>
      <c r="P104">
        <v>0.26947703511525434</v>
      </c>
      <c r="Q104">
        <f>VLOOKUP(B104,Leonard2010!D:BG,56,FALSE)</f>
        <v>5.6381313960140789</v>
      </c>
      <c r="R104">
        <f>VLOOKUP(B104,Leonard2010!D:BH,57,FALSE)</f>
        <v>5.9072596210548314</v>
      </c>
      <c r="S104">
        <f>VLOOKUP(B104,Leonard2010!D:BI,58,FALSE)</f>
        <v>6.2401913873420414</v>
      </c>
      <c r="T104">
        <v>329.58594204162466</v>
      </c>
      <c r="U104">
        <v>1146.6796597495052</v>
      </c>
      <c r="V104">
        <v>3989.4730762429799</v>
      </c>
      <c r="W104">
        <f>VLOOKUP(B104,Leonard2010!D:CE,80,FALSE)</f>
        <v>621</v>
      </c>
      <c r="X104">
        <f>IF(W104=0,"NA",MIN(((17.5*(VLOOKUP(B104,Leonard2010!D:K,8,FALSE)*1000)^(2/3))/1000),(35-FaultGeometry!K104)/SIN(RADIANS(FaultGeometry!H104))))</f>
        <v>36.486259918710751</v>
      </c>
      <c r="Y104">
        <f t="shared" si="7"/>
        <v>355154504282913.19</v>
      </c>
      <c r="Z104">
        <f>VLOOKUP(A104,Leonard2010!A:U,21,FALSE)</f>
        <v>75</v>
      </c>
    </row>
    <row r="105" spans="1:26" x14ac:dyDescent="0.2">
      <c r="A105">
        <f>VLOOKUP(B105,Leonard2010!D:CC,78,FALSE)</f>
        <v>405</v>
      </c>
      <c r="B105" s="57" t="s">
        <v>512</v>
      </c>
      <c r="C105">
        <v>0.5</v>
      </c>
      <c r="D105">
        <v>-9.8940000000000001</v>
      </c>
      <c r="E105">
        <v>33.840000000000003</v>
      </c>
      <c r="F105">
        <v>20.299999999999997</v>
      </c>
      <c r="G105">
        <v>356</v>
      </c>
      <c r="H105">
        <f>VLOOKUP(B105,Leonard2010!D:N,11,FALSE)</f>
        <v>60</v>
      </c>
      <c r="I105" t="str">
        <f>VLOOKUP(B105,Leonard2010!D:P,13,FALSE)</f>
        <v>E</v>
      </c>
      <c r="J105">
        <f>VLOOKUP(B105,Leonard2010!D:Q,14,FALSE)</f>
        <v>0</v>
      </c>
      <c r="K105">
        <f>VLOOKUP(B105,Leonard2010!D:R,15,FALSE)</f>
        <v>0</v>
      </c>
      <c r="L105">
        <f t="shared" si="8"/>
        <v>13.02273112533811</v>
      </c>
      <c r="M105">
        <f>COUNTIF(SectionGeometry!B:B,FaultGeometry!B105)</f>
        <v>5</v>
      </c>
      <c r="N105">
        <f>VLOOKUP(B105,Leonard2010!D:AO,38,FALSE)</f>
        <v>2.3564002462952892E-2</v>
      </c>
      <c r="O105">
        <v>0.2868574853810632</v>
      </c>
      <c r="P105">
        <v>0.2685123568243411</v>
      </c>
      <c r="Q105">
        <f>VLOOKUP(B105,Leonard2010!D:BG,56,FALSE)</f>
        <v>5.6381313960140789</v>
      </c>
      <c r="R105">
        <f>VLOOKUP(B105,Leonard2010!D:BH,57,FALSE)</f>
        <v>5.9072596210548314</v>
      </c>
      <c r="S105">
        <f>VLOOKUP(B105,Leonard2010!D:BI,58,FALSE)</f>
        <v>6.2401913873420414</v>
      </c>
      <c r="T105">
        <v>327.14433222044454</v>
      </c>
      <c r="U105">
        <v>1143.6407714801571</v>
      </c>
      <c r="V105">
        <v>3997.9730210040684</v>
      </c>
      <c r="W105">
        <f>VLOOKUP(B105,Leonard2010!D:CE,80,FALSE)</f>
        <v>622</v>
      </c>
      <c r="X105">
        <f>IF(W105=0,"NA",MIN(((17.5*(VLOOKUP(B105,Leonard2010!D:K,8,FALSE)*1000)^(2/3))/1000),(35-FaultGeometry!K105)/SIN(RADIANS(FaultGeometry!H105))))</f>
        <v>20.740130788389592</v>
      </c>
      <c r="Y105">
        <f t="shared" si="7"/>
        <v>356098222698508.5</v>
      </c>
      <c r="Z105">
        <f>VLOOKUP(A105,Leonard2010!A:U,21,FALSE)</f>
        <v>75</v>
      </c>
    </row>
    <row r="106" spans="1:26" x14ac:dyDescent="0.2">
      <c r="A106">
        <f>VLOOKUP(B106,Leonard2010!D:CC,78,FALSE)</f>
        <v>406</v>
      </c>
      <c r="B106" s="57" t="s">
        <v>8</v>
      </c>
      <c r="C106">
        <v>1</v>
      </c>
      <c r="D106">
        <v>-9.2569999999999997</v>
      </c>
      <c r="E106">
        <v>33.893000000000001</v>
      </c>
      <c r="F106">
        <v>155</v>
      </c>
      <c r="G106">
        <v>151</v>
      </c>
      <c r="H106">
        <f>VLOOKUP(B106,Leonard2010!D:N,11,FALSE)</f>
        <v>65</v>
      </c>
      <c r="I106" t="str">
        <f>VLOOKUP(B106,Leonard2010!D:P,13,FALSE)</f>
        <v>W</v>
      </c>
      <c r="J106">
        <f>VLOOKUP(B106,Leonard2010!D:Q,14,FALSE)</f>
        <v>0</v>
      </c>
      <c r="K106">
        <f>VLOOKUP(B106,Leonard2010!D:R,15,FALSE)</f>
        <v>0</v>
      </c>
      <c r="L106">
        <f t="shared" si="8"/>
        <v>38.618227163687216</v>
      </c>
      <c r="M106">
        <f>COUNTIF(SectionGeometry!B:B,FaultGeometry!B106)</f>
        <v>3</v>
      </c>
      <c r="N106">
        <f>VLOOKUP(B106,Leonard2010!D:AO,38,FALSE)</f>
        <v>0.78002224363892192</v>
      </c>
      <c r="O106">
        <v>2.0299865359104579</v>
      </c>
      <c r="P106">
        <v>0.85971416539466949</v>
      </c>
      <c r="Q106">
        <f>VLOOKUP(B106,Leonard2010!D:BG,56,FALSE)</f>
        <v>7.4928042089538209</v>
      </c>
      <c r="R106">
        <f>VLOOKUP(B106,Leonard2010!D:BH,57,FALSE)</f>
        <v>7.8093223886972991</v>
      </c>
      <c r="S106">
        <f>VLOOKUP(B106,Leonard2010!D:BI,58,FALSE)</f>
        <v>8.1422541549845082</v>
      </c>
      <c r="T106">
        <v>550.32596861182333</v>
      </c>
      <c r="U106">
        <v>1445.704165367712</v>
      </c>
      <c r="V106">
        <v>3797.8591834102476</v>
      </c>
      <c r="W106">
        <f>VLOOKUP(B106,Leonard2010!D:CE,80,FALSE)</f>
        <v>0</v>
      </c>
      <c r="X106" t="str">
        <f>IF(W106=0,"NA",MIN(((17.5*(VLOOKUP(B106,Leonard2010!D:K,8,FALSE)*1000)^(2/3))/1000),(35-FaultGeometry!K102)/SIN(RADIANS(FaultGeometry!H102))))</f>
        <v>NA</v>
      </c>
      <c r="Y106">
        <f t="shared" si="7"/>
        <v>4.0170214496195514E+17</v>
      </c>
      <c r="Z106">
        <f>VLOOKUP(A106,Leonard2010!A:U,21,FALSE)</f>
        <v>5985.8252103715186</v>
      </c>
    </row>
    <row r="107" spans="1:26" x14ac:dyDescent="0.2">
      <c r="A107">
        <f>VLOOKUP(B107,Leonard2010!D:CC,78,FALSE)</f>
        <v>407</v>
      </c>
      <c r="B107" s="57" t="s">
        <v>5</v>
      </c>
      <c r="C107">
        <v>1</v>
      </c>
      <c r="D107">
        <v>-9.7070000000000007</v>
      </c>
      <c r="E107">
        <v>33.838000000000001</v>
      </c>
      <c r="F107">
        <v>40</v>
      </c>
      <c r="G107">
        <v>157</v>
      </c>
      <c r="H107">
        <f>VLOOKUP(B107,Leonard2010!D:N,11,FALSE)</f>
        <v>45</v>
      </c>
      <c r="I107" t="str">
        <f>VLOOKUP(B107,Leonard2010!D:P,13,FALSE)</f>
        <v>W</v>
      </c>
      <c r="J107">
        <f>VLOOKUP(B107,Leonard2010!D:Q,14,FALSE)</f>
        <v>0</v>
      </c>
      <c r="K107">
        <f>VLOOKUP(B107,Leonard2010!D:R,15,FALSE)</f>
        <v>0</v>
      </c>
      <c r="L107">
        <f t="shared" si="8"/>
        <v>20.468124167490053</v>
      </c>
      <c r="M107">
        <f>COUNTIF(SectionGeometry!B:B,FaultGeometry!B107)</f>
        <v>3</v>
      </c>
      <c r="N107">
        <f>VLOOKUP(B107,Leonard2010!D:AO,38,FALSE)</f>
        <v>1.66622659334505E-2</v>
      </c>
      <c r="O107">
        <v>0.20781866564541432</v>
      </c>
      <c r="P107">
        <v>0.19414252444793831</v>
      </c>
      <c r="Q107">
        <f>VLOOKUP(B107,Leonard2010!D:BG,56,FALSE)</f>
        <v>6.512351364216606</v>
      </c>
      <c r="R107">
        <f>VLOOKUP(B107,Leonard2010!D:BH,57,FALSE)</f>
        <v>6.9453363918960278</v>
      </c>
      <c r="S107">
        <f>VLOOKUP(B107,Leonard2010!D:BI,58,FALSE)</f>
        <v>7.4331701181689809</v>
      </c>
      <c r="T107">
        <v>1405.3254102219478</v>
      </c>
      <c r="U107">
        <v>5099.2684918623872</v>
      </c>
      <c r="V107">
        <v>18502.859880683318</v>
      </c>
      <c r="W107">
        <f>VLOOKUP(B107,Leonard2010!D:CE,80,FALSE)</f>
        <v>0</v>
      </c>
      <c r="X107" t="str">
        <f>IF(W107=0,"NA",MIN(((17.5*(VLOOKUP(B107,Leonard2010!D:K,8,FALSE)*1000)^(2/3))/1000),(35-FaultGeometry!K103)/SIN(RADIANS(FaultGeometry!H103))))</f>
        <v>NA</v>
      </c>
      <c r="Y107">
        <f t="shared" si="7"/>
        <v>5760984521318104</v>
      </c>
      <c r="Z107">
        <f>VLOOKUP(A107,Leonard2010!A:U,21,FALSE)</f>
        <v>818.72496669960219</v>
      </c>
    </row>
    <row r="108" spans="1:26" x14ac:dyDescent="0.2">
      <c r="A108">
        <f>VLOOKUP(B108,Leonard2010!D:CC,78,FALSE)</f>
        <v>408</v>
      </c>
      <c r="B108" s="57" t="s">
        <v>144</v>
      </c>
      <c r="C108">
        <v>1</v>
      </c>
      <c r="D108">
        <v>-9.625</v>
      </c>
      <c r="E108">
        <v>34.1</v>
      </c>
      <c r="F108">
        <v>21.7</v>
      </c>
      <c r="G108">
        <v>163</v>
      </c>
      <c r="H108">
        <f>VLOOKUP(B108,Leonard2010!D:N,11,FALSE)</f>
        <v>53</v>
      </c>
      <c r="I108" t="str">
        <f>VLOOKUP(B108,Leonard2010!D:P,13,FALSE)</f>
        <v>SW</v>
      </c>
      <c r="J108">
        <f>VLOOKUP(B108,Leonard2010!D:Q,14,FALSE)</f>
        <v>1.5</v>
      </c>
      <c r="K108">
        <f>VLOOKUP(B108,Leonard2010!D:R,15,FALSE)</f>
        <v>0.5</v>
      </c>
      <c r="L108">
        <f t="shared" si="8"/>
        <v>13.614798075262735</v>
      </c>
      <c r="M108">
        <f>COUNTIF(SectionGeometry!B:B,FaultGeometry!B108)</f>
        <v>0</v>
      </c>
      <c r="N108">
        <f>VLOOKUP(B108,Leonard2010!D:AO,38,FALSE)</f>
        <v>1.604572893022348E-2</v>
      </c>
      <c r="O108">
        <v>0.47188843067726755</v>
      </c>
      <c r="P108">
        <v>0.23185130918395266</v>
      </c>
      <c r="Q108">
        <f>VLOOKUP(B108,Leonard2010!D:BG,56,FALSE)</f>
        <v>6.0696842684175536</v>
      </c>
      <c r="R108">
        <f>VLOOKUP(B108,Leonard2010!D:BH,57,FALSE)</f>
        <v>6.5026692960969754</v>
      </c>
      <c r="S108">
        <f>VLOOKUP(B108,Leonard2010!D:BI,58,FALSE)</f>
        <v>6.9905030223699285</v>
      </c>
      <c r="T108">
        <v>263.27078214004456</v>
      </c>
      <c r="U108">
        <v>1329.373598970958</v>
      </c>
      <c r="V108">
        <v>6712.6103066801134</v>
      </c>
      <c r="W108">
        <f>VLOOKUP(B108,Leonard2010!D:CE,80,FALSE)</f>
        <v>623</v>
      </c>
      <c r="X108">
        <f>IF(W108=0,"NA",MIN(((17.5*(VLOOKUP(B108,Leonard2010!D:K,8,FALSE)*1000)^(2/3))/1000),(35-FaultGeometry!K108)/SIN(RADIANS(FaultGeometry!H108))))</f>
        <v>29.610395514727642</v>
      </c>
      <c r="Y108">
        <f t="shared" si="7"/>
        <v>4790235827102712</v>
      </c>
      <c r="Z108">
        <f>VLOOKUP(A108,Leonard2010!A:U,21,FALSE)</f>
        <v>295.44111823320134</v>
      </c>
    </row>
    <row r="109" spans="1:26" x14ac:dyDescent="0.2">
      <c r="A109">
        <f>VLOOKUP(B109,Leonard2010!D:CC,78,FALSE)</f>
        <v>409</v>
      </c>
      <c r="B109" s="57" t="s">
        <v>143</v>
      </c>
      <c r="C109">
        <v>1</v>
      </c>
      <c r="D109">
        <v>-9.9580000000000002</v>
      </c>
      <c r="E109">
        <v>34.325000000000003</v>
      </c>
      <c r="F109">
        <v>22.7</v>
      </c>
      <c r="G109">
        <v>169</v>
      </c>
      <c r="H109">
        <f>VLOOKUP(B109,Leonard2010!D:N,11,FALSE)</f>
        <v>53</v>
      </c>
      <c r="I109" t="str">
        <f>VLOOKUP(B109,Leonard2010!D:P,13,FALSE)</f>
        <v>W</v>
      </c>
      <c r="J109">
        <f>VLOOKUP(B109,Leonard2010!D:Q,14,FALSE)</f>
        <v>3</v>
      </c>
      <c r="K109">
        <f>VLOOKUP(B109,Leonard2010!D:R,15,FALSE)</f>
        <v>0.5</v>
      </c>
      <c r="L109">
        <f t="shared" si="8"/>
        <v>14.029922977559208</v>
      </c>
      <c r="M109">
        <f>COUNTIF(SectionGeometry!B:B,FaultGeometry!B109)</f>
        <v>0</v>
      </c>
      <c r="N109">
        <f>VLOOKUP(B109,Leonard2010!D:AO,38,FALSE)</f>
        <v>1.6139709416202536E-2</v>
      </c>
      <c r="O109">
        <v>0.27343569459067651</v>
      </c>
      <c r="P109">
        <v>0.12789626337153395</v>
      </c>
      <c r="Q109">
        <f>VLOOKUP(B109,Leonard2010!D:BG,56,FALSE)</f>
        <v>6.1022944739918756</v>
      </c>
      <c r="R109">
        <f>VLOOKUP(B109,Leonard2010!D:BH,57,FALSE)</f>
        <v>6.5352795016712975</v>
      </c>
      <c r="S109">
        <f>VLOOKUP(B109,Leonard2010!D:BI,58,FALSE)</f>
        <v>7.0231132279442505</v>
      </c>
      <c r="T109">
        <v>533.84173001385057</v>
      </c>
      <c r="U109">
        <v>2383.3421230489344</v>
      </c>
      <c r="V109">
        <v>10640.45644268391</v>
      </c>
      <c r="W109">
        <f>VLOOKUP(B109,Leonard2010!D:CE,80,FALSE)</f>
        <v>623</v>
      </c>
      <c r="X109">
        <f>IF(W109=0,"NA",MIN(((17.5*(VLOOKUP(B109,Leonard2010!D:K,8,FALSE)*1000)^(2/3))/1000),(35-FaultGeometry!K113)/SIN(RADIANS(FaultGeometry!H113))))</f>
        <v>29.610395514727642</v>
      </c>
      <c r="Y109">
        <f t="shared" si="7"/>
        <v>2990424648794736.5</v>
      </c>
      <c r="Z109">
        <f>VLOOKUP(A109,Leonard2010!A:U,21,FALSE)</f>
        <v>318.479251590594</v>
      </c>
    </row>
    <row r="110" spans="1:26" x14ac:dyDescent="0.2">
      <c r="A110">
        <f>VLOOKUP(B110,Leonard2010!D:CC,78,FALSE)</f>
        <v>410</v>
      </c>
      <c r="B110" s="57" t="s">
        <v>176</v>
      </c>
      <c r="C110">
        <v>1</v>
      </c>
      <c r="D110">
        <v>-9.8019999999999996</v>
      </c>
      <c r="E110">
        <v>34.216999999999999</v>
      </c>
      <c r="F110">
        <v>25.2</v>
      </c>
      <c r="G110">
        <v>155</v>
      </c>
      <c r="H110">
        <f>VLOOKUP(B110,Leonard2010!D:N,11,FALSE)</f>
        <v>53</v>
      </c>
      <c r="I110" t="str">
        <f>VLOOKUP(B110,Leonard2010!D:P,13,FALSE)</f>
        <v>SW</v>
      </c>
      <c r="J110">
        <f>VLOOKUP(B110,Leonard2010!D:Q,14,FALSE)</f>
        <v>3</v>
      </c>
      <c r="K110">
        <f>VLOOKUP(B110,Leonard2010!D:R,15,FALSE)</f>
        <v>0.5</v>
      </c>
      <c r="L110">
        <f t="shared" si="8"/>
        <v>15.041982388979044</v>
      </c>
      <c r="M110">
        <f>COUNTIF(SectionGeometry!B:B,FaultGeometry!B110)</f>
        <v>0</v>
      </c>
      <c r="N110">
        <f>VLOOKUP(B110,Leonard2010!D:AO,38,FALSE)</f>
        <v>1.5120643349735464E-2</v>
      </c>
      <c r="O110">
        <v>0.37984437863175025</v>
      </c>
      <c r="P110">
        <v>0.14559092847842936</v>
      </c>
      <c r="Q110">
        <f>VLOOKUP(B110,Leonard2010!D:BG,56,FALSE)</f>
        <v>6.1779189466392452</v>
      </c>
      <c r="R110">
        <f>VLOOKUP(B110,Leonard2010!D:BH,57,FALSE)</f>
        <v>6.6109039743186671</v>
      </c>
      <c r="S110">
        <f>VLOOKUP(B110,Leonard2010!D:BI,58,FALSE)</f>
        <v>7.0987377005916201</v>
      </c>
      <c r="T110">
        <v>582.72121942707736</v>
      </c>
      <c r="U110">
        <v>1885.2618368528811</v>
      </c>
      <c r="V110">
        <v>6099.3354540758737</v>
      </c>
      <c r="W110">
        <f>VLOOKUP(B110,Leonard2010!D:CE,80,FALSE)</f>
        <v>623</v>
      </c>
      <c r="X110">
        <f>IF(W110=0,"NA",MIN(((17.5*(VLOOKUP(B110,Leonard2010!D:K,8,FALSE)*1000)^(2/3))/1000),(35-FaultGeometry!K114)/SIN(RADIANS(FaultGeometry!H114))))</f>
        <v>29.610395514727642</v>
      </c>
      <c r="Y110">
        <f t="shared" si="7"/>
        <v>4908901131789315</v>
      </c>
      <c r="Z110">
        <f>VLOOKUP(A110,Leonard2010!A:U,21,FALSE)</f>
        <v>379.0579562022719</v>
      </c>
    </row>
    <row r="111" spans="1:26" x14ac:dyDescent="0.2">
      <c r="A111">
        <f>VLOOKUP(B111,Leonard2010!D:CC,78,FALSE)</f>
        <v>411</v>
      </c>
      <c r="B111" s="57" t="s">
        <v>332</v>
      </c>
      <c r="C111">
        <v>0.5</v>
      </c>
      <c r="D111">
        <v>-9.9979999999999993</v>
      </c>
      <c r="E111">
        <v>34.244999999999997</v>
      </c>
      <c r="F111">
        <v>45.099999999999994</v>
      </c>
      <c r="G111">
        <v>166</v>
      </c>
      <c r="H111">
        <f>VLOOKUP(B111,Leonard2010!D:N,11,FALSE)</f>
        <v>53</v>
      </c>
      <c r="I111" t="str">
        <f>VLOOKUP(B111,Leonard2010!D:P,13,FALSE)</f>
        <v>W</v>
      </c>
      <c r="J111">
        <f>VLOOKUP(B111,Leonard2010!D:Q,14,FALSE)</f>
        <v>2</v>
      </c>
      <c r="K111">
        <f>VLOOKUP(B111,Leonard2010!D:R,15,FALSE)</f>
        <v>0.5</v>
      </c>
      <c r="L111">
        <f t="shared" si="8"/>
        <v>22.17289548715268</v>
      </c>
      <c r="M111">
        <f>COUNTIF(SectionGeometry!B:B,FaultGeometry!B111)</f>
        <v>2</v>
      </c>
      <c r="N111">
        <f>VLOOKUP(B111,Leonard2010!D:AO,38,FALSE)</f>
        <v>1.6312894322839271E-2</v>
      </c>
      <c r="O111">
        <v>0.4434750763735068</v>
      </c>
      <c r="P111">
        <v>0.24711305058787889</v>
      </c>
      <c r="Q111">
        <f>VLOOKUP(B111,Leonard2010!D:BG,56,FALSE)</f>
        <v>6.5992122817999386</v>
      </c>
      <c r="R111">
        <f>VLOOKUP(B111,Leonard2010!D:BH,57,FALSE)</f>
        <v>7.0321973094793604</v>
      </c>
      <c r="S111">
        <f>VLOOKUP(B111,Leonard2010!D:BI,58,FALSE)</f>
        <v>7.5200310357523135</v>
      </c>
      <c r="T111">
        <v>355.67759328935603</v>
      </c>
      <c r="U111">
        <v>2650.7141002063436</v>
      </c>
      <c r="V111">
        <v>19754.646830722915</v>
      </c>
      <c r="W111">
        <f>VLOOKUP(B111,Leonard2010!D:CE,80,FALSE)</f>
        <v>624</v>
      </c>
      <c r="X111">
        <f>IF(W111=0,"NA",MIN(((17.5*(VLOOKUP(B111,Leonard2010!D:K,8,FALSE)*1000)^(2/3))/1000),(35-FaultGeometry!K109)/SIN(RADIANS(FaultGeometry!H109))))</f>
        <v>36.153341503991051</v>
      </c>
      <c r="Y111">
        <f t="shared" si="7"/>
        <v>7480025532154925</v>
      </c>
      <c r="Z111">
        <f>VLOOKUP(A111,Leonard2010!A:U,21,FALSE)</f>
        <v>999.9975864705857</v>
      </c>
    </row>
    <row r="112" spans="1:26" x14ac:dyDescent="0.2">
      <c r="A112">
        <f>VLOOKUP(B112,Leonard2010!D:CC,78,FALSE)</f>
        <v>412</v>
      </c>
      <c r="B112" s="57" t="s">
        <v>340</v>
      </c>
      <c r="C112">
        <v>0.5</v>
      </c>
      <c r="D112">
        <v>-9.7230000000000008</v>
      </c>
      <c r="E112">
        <v>33.957000000000001</v>
      </c>
      <c r="F112">
        <v>48.8</v>
      </c>
      <c r="G112">
        <v>137</v>
      </c>
      <c r="H112">
        <f>VLOOKUP(B112,Leonard2010!D:N,11,FALSE)</f>
        <v>53</v>
      </c>
      <c r="I112" t="str">
        <f>VLOOKUP(B112,Leonard2010!D:P,13,FALSE)</f>
        <v>W</v>
      </c>
      <c r="J112">
        <f>VLOOKUP(B112,Leonard2010!D:Q,14,FALSE)</f>
        <v>1.5</v>
      </c>
      <c r="K112">
        <f>VLOOKUP(B112,Leonard2010!D:R,15,FALSE)</f>
        <v>0.5</v>
      </c>
      <c r="L112">
        <f t="shared" si="8"/>
        <v>23.36959916020183</v>
      </c>
      <c r="M112">
        <f>COUNTIF(SectionGeometry!B:B,FaultGeometry!B112)</f>
        <v>0</v>
      </c>
      <c r="N112">
        <f>VLOOKUP(B112,Leonard2010!D:AO,38,FALSE)</f>
        <v>1.1999810504463649E-2</v>
      </c>
      <c r="O112">
        <v>0.33916656138615303</v>
      </c>
      <c r="P112">
        <v>0.19459315458344434</v>
      </c>
      <c r="Q112">
        <f>VLOOKUP(B112,Leonard2010!D:BG,56,FALSE)</f>
        <v>6.6562844153411875</v>
      </c>
      <c r="R112">
        <f>VLOOKUP(B112,Leonard2010!D:BH,57,FALSE)</f>
        <v>7.0892694430206094</v>
      </c>
      <c r="S112">
        <f>VLOOKUP(B112,Leonard2010!D:BI,58,FALSE)</f>
        <v>7.5771031692935624</v>
      </c>
      <c r="T112">
        <v>456.75957050412109</v>
      </c>
      <c r="U112">
        <v>3667.2983123557933</v>
      </c>
      <c r="V112">
        <v>29444.543213323472</v>
      </c>
      <c r="W112">
        <f>VLOOKUP(B112,Leonard2010!D:CE,80,FALSE)</f>
        <v>624</v>
      </c>
      <c r="X112">
        <f>IF(W112=0,"NA",MIN(((17.5*(VLOOKUP(B112,Leonard2010!D:K,8,FALSE)*1000)^(2/3))/1000),(35-FaultGeometry!K111)/SIN(RADIANS(FaultGeometry!H111))))</f>
        <v>36.153341503991051</v>
      </c>
      <c r="Y112">
        <f t="shared" si="7"/>
        <v>6584577751889558</v>
      </c>
      <c r="Z112">
        <f>VLOOKUP(A112,Leonard2010!A:U,21,FALSE)</f>
        <v>1140.4364390178491</v>
      </c>
    </row>
    <row r="113" spans="1:26" x14ac:dyDescent="0.2">
      <c r="A113">
        <f>VLOOKUP(B113,Leonard2010!D:CC,78,FALSE)</f>
        <v>413</v>
      </c>
      <c r="B113" s="57" t="s">
        <v>333</v>
      </c>
      <c r="C113">
        <v>0.5</v>
      </c>
      <c r="D113">
        <v>-9.9979999999999993</v>
      </c>
      <c r="E113">
        <v>34.244999999999997</v>
      </c>
      <c r="F113">
        <v>45.099999999999994</v>
      </c>
      <c r="G113">
        <v>166</v>
      </c>
      <c r="H113">
        <f>VLOOKUP(B113,Leonard2010!D:N,11,FALSE)</f>
        <v>53</v>
      </c>
      <c r="I113" t="str">
        <f>VLOOKUP(B113,Leonard2010!D:P,13,FALSE)</f>
        <v>W</v>
      </c>
      <c r="J113">
        <f>VLOOKUP(B113,Leonard2010!D:Q,14,FALSE)</f>
        <v>2</v>
      </c>
      <c r="K113">
        <f>VLOOKUP(B113,Leonard2010!D:R,15,FALSE)</f>
        <v>0.5</v>
      </c>
      <c r="L113">
        <f t="shared" si="8"/>
        <v>22.17289548715268</v>
      </c>
      <c r="M113">
        <f>COUNTIF(SectionGeometry!B:B,FaultGeometry!B113)</f>
        <v>2</v>
      </c>
      <c r="N113">
        <f>VLOOKUP(B113,Leonard2010!D:AO,38,FALSE)</f>
        <v>1.6312894322839271E-2</v>
      </c>
      <c r="O113">
        <v>0.44407721079811929</v>
      </c>
      <c r="P113">
        <v>0.24196491762080985</v>
      </c>
      <c r="Q113">
        <f>VLOOKUP(B113,Leonard2010!D:BG,56,FALSE)</f>
        <v>6.5992122817999386</v>
      </c>
      <c r="R113">
        <f>VLOOKUP(B113,Leonard2010!D:BH,57,FALSE)</f>
        <v>7.0321973094793604</v>
      </c>
      <c r="S113">
        <f>VLOOKUP(B113,Leonard2010!D:BI,58,FALSE)</f>
        <v>7.5200310357523135</v>
      </c>
      <c r="T113">
        <v>354.47706566357158</v>
      </c>
      <c r="U113">
        <v>2599.9929224050466</v>
      </c>
      <c r="V113">
        <v>19070.241353701869</v>
      </c>
      <c r="W113">
        <f>VLOOKUP(B113,Leonard2010!D:CE,80,FALSE)</f>
        <v>625</v>
      </c>
      <c r="X113">
        <f>IF(W113=0,"NA",MIN(((17.5*(VLOOKUP(B113,Leonard2010!D:K,8,FALSE)*1000)^(2/3))/1000),(35-FaultGeometry!K110)/SIN(RADIANS(FaultGeometry!H110))))</f>
        <v>35.560541407839736</v>
      </c>
      <c r="Y113">
        <f t="shared" si="7"/>
        <v>7625947354366549</v>
      </c>
      <c r="Z113">
        <f>VLOOKUP(A113,Leonard2010!A:U,21,FALSE)</f>
        <v>999.9975864705857</v>
      </c>
    </row>
    <row r="114" spans="1:26" x14ac:dyDescent="0.2">
      <c r="A114">
        <f>VLOOKUP(B114,Leonard2010!D:CC,78,FALSE)</f>
        <v>414</v>
      </c>
      <c r="B114" s="57" t="s">
        <v>295</v>
      </c>
      <c r="C114">
        <v>0.5</v>
      </c>
      <c r="D114">
        <v>-9.6839999999999993</v>
      </c>
      <c r="E114">
        <v>34.058</v>
      </c>
      <c r="F114">
        <v>46.5</v>
      </c>
      <c r="G114">
        <v>151</v>
      </c>
      <c r="H114">
        <f>VLOOKUP(B114,Leonard2010!D:N,11,FALSE)</f>
        <v>53</v>
      </c>
      <c r="I114" t="str">
        <f>VLOOKUP(B114,Leonard2010!D:P,13,FALSE)</f>
        <v>W</v>
      </c>
      <c r="J114">
        <f>VLOOKUP(B114,Leonard2010!D:Q,14,FALSE)</f>
        <v>1.5</v>
      </c>
      <c r="K114">
        <f>VLOOKUP(B114,Leonard2010!D:R,15,FALSE)</f>
        <v>0.5</v>
      </c>
      <c r="L114">
        <f t="shared" si="8"/>
        <v>22.629416229389616</v>
      </c>
      <c r="M114">
        <f>COUNTIF(SectionGeometry!B:B,FaultGeometry!B114)</f>
        <v>2</v>
      </c>
      <c r="N114">
        <f>VLOOKUP(B114,Leonard2010!D:AO,38,FALSE)</f>
        <v>1.4546381752679537E-2</v>
      </c>
      <c r="O114">
        <v>0.61696029568558497</v>
      </c>
      <c r="P114">
        <v>0.17740234422961448</v>
      </c>
      <c r="Q114">
        <f>VLOOKUP(B114,Leonard2010!D:BG,56,FALSE)</f>
        <v>6.6213396334865919</v>
      </c>
      <c r="R114">
        <f>VLOOKUP(B114,Leonard2010!D:BH,57,FALSE)</f>
        <v>7.0543246611660164</v>
      </c>
      <c r="S114">
        <f>VLOOKUP(B114,Leonard2010!D:BI,58,FALSE)</f>
        <v>7.5421583874389695</v>
      </c>
      <c r="T114">
        <v>754.41269364194295</v>
      </c>
      <c r="U114">
        <v>1943.0380554873561</v>
      </c>
      <c r="V114">
        <v>5004.4185588212722</v>
      </c>
      <c r="W114">
        <f>VLOOKUP(B114,Leonard2010!D:CE,80,FALSE)</f>
        <v>625</v>
      </c>
      <c r="X114">
        <f>IF(W114=0,"NA",MIN(((17.5*(VLOOKUP(B114,Leonard2010!D:K,8,FALSE)*1000)^(2/3))/1000),(35-FaultGeometry!K112)/SIN(RADIANS(FaultGeometry!H112))))</f>
        <v>35.560541407839736</v>
      </c>
      <c r="Y114">
        <f t="shared" si="7"/>
        <v>1.1014776504108436E+16</v>
      </c>
      <c r="Z114">
        <f>VLOOKUP(A114,Leonard2010!A:U,21,FALSE)</f>
        <v>1052.267854666617</v>
      </c>
    </row>
    <row r="115" spans="1:26" x14ac:dyDescent="0.2">
      <c r="A115">
        <f>VLOOKUP(B115,Leonard2010!D:CC,78,FALSE)</f>
        <v>415</v>
      </c>
      <c r="B115" s="57" t="s">
        <v>481</v>
      </c>
      <c r="C115">
        <v>0.5</v>
      </c>
      <c r="D115">
        <v>-9.8620000000000001</v>
      </c>
      <c r="E115">
        <v>34.036000000000001</v>
      </c>
      <c r="F115">
        <v>11.1</v>
      </c>
      <c r="G115">
        <v>137</v>
      </c>
      <c r="H115">
        <f>VLOOKUP(B115,Leonard2010!D:N,11,FALSE)</f>
        <v>53</v>
      </c>
      <c r="I115" t="str">
        <f>VLOOKUP(B115,Leonard2010!D:P,13,FALSE)</f>
        <v>SW</v>
      </c>
      <c r="J115">
        <f>VLOOKUP(B115,Leonard2010!D:Q,14,FALSE)</f>
        <v>1</v>
      </c>
      <c r="K115">
        <f>VLOOKUP(B115,Leonard2010!D:R,15,FALSE)</f>
        <v>0</v>
      </c>
      <c r="L115">
        <f t="shared" si="8"/>
        <v>8.7080323657395766</v>
      </c>
      <c r="M115">
        <f>COUNTIF(SectionGeometry!B:B,FaultGeometry!B115)</f>
        <v>0</v>
      </c>
      <c r="N115">
        <f>VLOOKUP(B115,Leonard2010!D:AO,38,FALSE)</f>
        <v>1.1999810504463649E-2</v>
      </c>
      <c r="O115">
        <v>0.3027613772644282</v>
      </c>
      <c r="P115">
        <v>0.15677764720092319</v>
      </c>
      <c r="Q115">
        <f>VLOOKUP(B115,Leonard2010!D:BG,56,FALSE)</f>
        <v>5.5844563433144314</v>
      </c>
      <c r="R115">
        <f>VLOOKUP(B115,Leonard2010!D:BH,57,FALSE)</f>
        <v>6.0174413709938532</v>
      </c>
      <c r="S115">
        <f>VLOOKUP(B115,Leonard2010!D:BI,58,FALSE)</f>
        <v>6.5052750972668081</v>
      </c>
      <c r="T115">
        <v>219.76286222752478</v>
      </c>
      <c r="U115">
        <v>1234.0554623546291</v>
      </c>
      <c r="V115">
        <v>6929.7099097235841</v>
      </c>
      <c r="W115">
        <f>VLOOKUP(B115,Leonard2010!D:CE,80,FALSE)</f>
        <v>626</v>
      </c>
      <c r="X115">
        <f>IF(W115=0,"NA",MIN(((17.5*(VLOOKUP(B115,Leonard2010!D:K,8,FALSE)*1000)^(2/3))/1000),(35-FaultGeometry!K115)/SIN(RADIANS(FaultGeometry!H115))))</f>
        <v>25.094079434961241</v>
      </c>
      <c r="Y115">
        <f t="shared" si="7"/>
        <v>482833485982619.38</v>
      </c>
      <c r="Z115">
        <f>VLOOKUP(A115,Leonard2010!A:U,21,FALSE)</f>
        <v>96.659159259709298</v>
      </c>
    </row>
    <row r="116" spans="1:26" x14ac:dyDescent="0.2">
      <c r="A116">
        <f>VLOOKUP(B116,Leonard2010!D:CC,78,FALSE)</f>
        <v>416</v>
      </c>
      <c r="B116" s="57" t="s">
        <v>482</v>
      </c>
      <c r="C116">
        <v>0.5</v>
      </c>
      <c r="D116">
        <v>-9.8620000000000001</v>
      </c>
      <c r="E116">
        <v>34.036000000000001</v>
      </c>
      <c r="F116">
        <v>11.1</v>
      </c>
      <c r="G116">
        <v>137</v>
      </c>
      <c r="H116">
        <f>VLOOKUP(B116,Leonard2010!D:N,11,FALSE)</f>
        <v>53</v>
      </c>
      <c r="I116" t="str">
        <f>VLOOKUP(B116,Leonard2010!D:P,13,FALSE)</f>
        <v>SW</v>
      </c>
      <c r="J116">
        <f>VLOOKUP(B116,Leonard2010!D:Q,14,FALSE)</f>
        <v>1</v>
      </c>
      <c r="K116">
        <f>VLOOKUP(B116,Leonard2010!D:R,15,FALSE)</f>
        <v>0</v>
      </c>
      <c r="L116">
        <f t="shared" si="8"/>
        <v>8.7080323657395766</v>
      </c>
      <c r="M116">
        <f>COUNTIF(SectionGeometry!B:B,FaultGeometry!B116)</f>
        <v>0</v>
      </c>
      <c r="N116">
        <f>VLOOKUP(B116,Leonard2010!D:AO,38,FALSE)</f>
        <v>1.1999810504463649E-2</v>
      </c>
      <c r="O116">
        <v>0.29862145472494406</v>
      </c>
      <c r="P116">
        <v>0.15884654964260603</v>
      </c>
      <c r="Q116">
        <f>VLOOKUP(B116,Leonard2010!D:BG,56,FALSE)</f>
        <v>5.5844563433144314</v>
      </c>
      <c r="R116">
        <f>VLOOKUP(B116,Leonard2010!D:BH,57,FALSE)</f>
        <v>6.0174413709938532</v>
      </c>
      <c r="S116">
        <f>VLOOKUP(B116,Leonard2010!D:BI,58,FALSE)</f>
        <v>6.5052750972668081</v>
      </c>
      <c r="T116">
        <v>210.30089856350088</v>
      </c>
      <c r="U116">
        <v>1245.1178325773856</v>
      </c>
      <c r="V116">
        <v>7371.9058149154034</v>
      </c>
      <c r="W116">
        <f>VLOOKUP(B116,Leonard2010!D:CE,80,FALSE)</f>
        <v>627</v>
      </c>
      <c r="X116">
        <f>IF(W116=0,"NA",MIN(((17.5*(VLOOKUP(B116,Leonard2010!D:K,8,FALSE)*1000)^(2/3))/1000),(35-FaultGeometry!K116)/SIN(RADIANS(FaultGeometry!H116))))</f>
        <v>27.619537968592098</v>
      </c>
      <c r="Y116">
        <f t="shared" si="7"/>
        <v>478543705017208.75</v>
      </c>
      <c r="Z116">
        <f>VLOOKUP(A116,Leonard2010!A:U,21,FALSE)</f>
        <v>96.659159259709298</v>
      </c>
    </row>
    <row r="117" spans="1:26" x14ac:dyDescent="0.2">
      <c r="A117">
        <f>VLOOKUP(B117,Leonard2010!D:CC,78,FALSE)</f>
        <v>417</v>
      </c>
      <c r="B117" s="57" t="s">
        <v>480</v>
      </c>
      <c r="C117">
        <v>0.5</v>
      </c>
      <c r="D117">
        <v>-9.9830000000000005</v>
      </c>
      <c r="E117">
        <v>34.14</v>
      </c>
      <c r="F117">
        <v>43.2</v>
      </c>
      <c r="G117">
        <v>165</v>
      </c>
      <c r="H117">
        <f>VLOOKUP(B117,Leonard2010!D:N,11,FALSE)</f>
        <v>53</v>
      </c>
      <c r="I117" t="str">
        <f>VLOOKUP(B117,Leonard2010!D:P,13,FALSE)</f>
        <v>SW</v>
      </c>
      <c r="J117">
        <f>VLOOKUP(B117,Leonard2010!D:Q,14,FALSE)</f>
        <v>1.5</v>
      </c>
      <c r="K117">
        <f>VLOOKUP(B117,Leonard2010!D:R,15,FALSE)</f>
        <v>0.5</v>
      </c>
      <c r="L117">
        <f t="shared" si="8"/>
        <v>21.545696928126397</v>
      </c>
      <c r="M117">
        <f>COUNTIF(SectionGeometry!B:B,FaultGeometry!B117)</f>
        <v>3</v>
      </c>
      <c r="N117">
        <f>VLOOKUP(B117,Leonard2010!D:AO,38,FALSE)</f>
        <v>1.6228773590344543E-2</v>
      </c>
      <c r="O117">
        <v>0.26103672281987395</v>
      </c>
      <c r="P117">
        <v>0.16441025855192318</v>
      </c>
      <c r="Q117">
        <f>VLOOKUP(B117,Leonard2010!D:BG,56,FALSE)</f>
        <v>6.5680576233615255</v>
      </c>
      <c r="R117">
        <f>VLOOKUP(B117,Leonard2010!D:BH,57,FALSE)</f>
        <v>7.0010426510409474</v>
      </c>
      <c r="S117">
        <f>VLOOKUP(B117,Leonard2010!D:BI,58,FALSE)</f>
        <v>7.4888763773139004</v>
      </c>
      <c r="T117">
        <v>410.6947949098851</v>
      </c>
      <c r="U117">
        <v>4280.5154184125176</v>
      </c>
      <c r="V117">
        <v>44614.181806924753</v>
      </c>
      <c r="W117">
        <f>VLOOKUP(B117,Leonard2010!D:CE,80,FALSE)</f>
        <v>626</v>
      </c>
      <c r="X117">
        <f>IF(W117=0,"NA",MIN(((17.5*(VLOOKUP(B117,Leonard2010!D:K,8,FALSE)*1000)^(2/3))/1000),(35-FaultGeometry!K118)/SIN(RADIANS(FaultGeometry!H118))))</f>
        <v>25.094079434961241</v>
      </c>
      <c r="Y117">
        <f t="shared" si="7"/>
        <v>4159469222930127</v>
      </c>
      <c r="Z117">
        <f>VLOOKUP(A117,Leonard2010!A:U,21,FALSE)</f>
        <v>930.77410729506039</v>
      </c>
    </row>
    <row r="118" spans="1:26" x14ac:dyDescent="0.2">
      <c r="A118">
        <f>VLOOKUP(B118,Leonard2010!D:CC,78,FALSE)</f>
        <v>418</v>
      </c>
      <c r="B118" s="57" t="s">
        <v>421</v>
      </c>
      <c r="C118">
        <v>0.5</v>
      </c>
      <c r="D118">
        <v>-9.9830000000000005</v>
      </c>
      <c r="E118">
        <v>34.14</v>
      </c>
      <c r="F118">
        <v>51.6</v>
      </c>
      <c r="G118">
        <v>166</v>
      </c>
      <c r="H118">
        <f>VLOOKUP(B118,Leonard2010!D:N,11,FALSE)</f>
        <v>53</v>
      </c>
      <c r="I118" t="str">
        <f>VLOOKUP(B118,Leonard2010!D:P,13,FALSE)</f>
        <v>SW</v>
      </c>
      <c r="J118">
        <f>VLOOKUP(B118,Leonard2010!D:Q,14,FALSE)</f>
        <v>1.5</v>
      </c>
      <c r="K118">
        <f>VLOOKUP(B118,Leonard2010!D:R,15,FALSE)</f>
        <v>0.5</v>
      </c>
      <c r="L118">
        <f t="shared" si="8"/>
        <v>24.255180811105657</v>
      </c>
      <c r="M118">
        <f>COUNTIF(SectionGeometry!B:B,FaultGeometry!B118)</f>
        <v>3</v>
      </c>
      <c r="N118">
        <f>VLOOKUP(B118,Leonard2010!D:AO,38,FALSE)</f>
        <v>1.6312894322839271E-2</v>
      </c>
      <c r="O118">
        <v>0.26484014617483892</v>
      </c>
      <c r="P118">
        <v>0.16523223384272578</v>
      </c>
      <c r="Q118">
        <f>VLOOKUP(B118,Leonard2010!D:BG,56,FALSE)</f>
        <v>6.6966675480486897</v>
      </c>
      <c r="R118">
        <f>VLOOKUP(B118,Leonard2010!D:BH,57,FALSE)</f>
        <v>7.1296525757281115</v>
      </c>
      <c r="S118">
        <f>VLOOKUP(B118,Leonard2010!D:BI,58,FALSE)</f>
        <v>7.6174863020010646</v>
      </c>
      <c r="T118">
        <v>492.51095101267845</v>
      </c>
      <c r="U118">
        <v>4812.2201462234234</v>
      </c>
      <c r="V118">
        <v>47019.183407197896</v>
      </c>
      <c r="W118">
        <f>VLOOKUP(B118,Leonard2010!D:CE,80,FALSE)</f>
        <v>627</v>
      </c>
      <c r="X118">
        <f>IF(W118=0,"NA",MIN(((17.5*(VLOOKUP(B118,Leonard2010!D:K,8,FALSE)*1000)^(2/3))/1000),(35-FaultGeometry!K119)/SIN(RADIANS(FaultGeometry!H119))))</f>
        <v>27.619537968592098</v>
      </c>
      <c r="Y118">
        <f t="shared" si="7"/>
        <v>5769037752614577</v>
      </c>
      <c r="Z118">
        <f>VLOOKUP(A118,Leonard2010!A:U,21,FALSE)</f>
        <v>1251.5673298530519</v>
      </c>
    </row>
    <row r="119" spans="1:26" x14ac:dyDescent="0.2">
      <c r="A119">
        <f>VLOOKUP(B119,Leonard2010!D:CC,78,FALSE)</f>
        <v>419</v>
      </c>
      <c r="B119" s="57" t="s">
        <v>177</v>
      </c>
      <c r="C119">
        <v>1</v>
      </c>
      <c r="D119">
        <v>-10.099</v>
      </c>
      <c r="E119">
        <v>34.21</v>
      </c>
      <c r="F119">
        <v>23.9</v>
      </c>
      <c r="G119">
        <v>155</v>
      </c>
      <c r="H119">
        <f>VLOOKUP(B119,Leonard2010!D:N,11,FALSE)</f>
        <v>53</v>
      </c>
      <c r="I119" t="str">
        <f>VLOOKUP(B119,Leonard2010!D:P,13,FALSE)</f>
        <v>W</v>
      </c>
      <c r="J119">
        <f>VLOOKUP(B119,Leonard2010!D:Q,14,FALSE)</f>
        <v>1.5</v>
      </c>
      <c r="K119">
        <f>VLOOKUP(B119,Leonard2010!D:R,15,FALSE)</f>
        <v>0.5</v>
      </c>
      <c r="L119">
        <f t="shared" si="8"/>
        <v>14.520112547333834</v>
      </c>
      <c r="M119">
        <f>COUNTIF(SectionGeometry!B:B,FaultGeometry!B119)</f>
        <v>0</v>
      </c>
      <c r="N119">
        <f>VLOOKUP(B119,Leonard2010!D:AO,38,FALSE)</f>
        <v>1.5120643349735464E-2</v>
      </c>
      <c r="O119">
        <v>0.33007793897920396</v>
      </c>
      <c r="P119">
        <v>0.2500345521226367</v>
      </c>
      <c r="Q119">
        <f>VLOOKUP(B119,Leonard2010!D:BG,56,FALSE)</f>
        <v>6.1395812135835683</v>
      </c>
      <c r="R119">
        <f>VLOOKUP(B119,Leonard2010!D:BH,57,FALSE)</f>
        <v>6.5725662412629902</v>
      </c>
      <c r="S119">
        <f>VLOOKUP(B119,Leonard2010!D:BI,58,FALSE)</f>
        <v>7.0603999675359432</v>
      </c>
      <c r="T119">
        <v>103.84831772622535</v>
      </c>
      <c r="U119">
        <v>2051.7968545427671</v>
      </c>
      <c r="V119">
        <v>40538.647370389255</v>
      </c>
      <c r="W119">
        <f>VLOOKUP(B119,Leonard2010!D:CE,80,FALSE)</f>
        <v>0</v>
      </c>
      <c r="X119" t="str">
        <f>IF(W119=0,"NA",MIN(((17.5*(VLOOKUP(B119,Leonard2010!D:K,8,FALSE)*1000)^(2/3))/1000),(35-FaultGeometry!K117)/SIN(RADIANS(FaultGeometry!H117))))</f>
        <v>NA</v>
      </c>
      <c r="Y119">
        <f t="shared" si="7"/>
        <v>3951072530749816</v>
      </c>
      <c r="Z119">
        <f>VLOOKUP(A119,Leonard2010!A:U,21,FALSE)</f>
        <v>347.03068988127865</v>
      </c>
    </row>
  </sheetData>
  <sortState xmlns:xlrd2="http://schemas.microsoft.com/office/spreadsheetml/2017/richdata2" ref="A2:Y119">
    <sortCondition ref="A2:A119"/>
  </sortState>
  <phoneticPr fontId="1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8EBA-9DEB-5143-A431-E3B2F257BE9D}">
  <dimension ref="A1:P28"/>
  <sheetViews>
    <sheetView workbookViewId="0">
      <selection activeCell="D2" sqref="D2"/>
    </sheetView>
  </sheetViews>
  <sheetFormatPr baseColWidth="10" defaultRowHeight="16" x14ac:dyDescent="0.2"/>
  <cols>
    <col min="1" max="1" width="17" customWidth="1"/>
    <col min="2" max="2" width="37" bestFit="1" customWidth="1"/>
    <col min="6" max="7" width="15.5" customWidth="1"/>
    <col min="12" max="14" width="13.33203125" customWidth="1"/>
    <col min="15" max="15" width="12.1640625" bestFit="1" customWidth="1"/>
  </cols>
  <sheetData>
    <row r="1" spans="1:16" ht="17" x14ac:dyDescent="0.2">
      <c r="A1" s="15" t="s">
        <v>227</v>
      </c>
      <c r="B1" t="s">
        <v>228</v>
      </c>
      <c r="C1" t="s">
        <v>260</v>
      </c>
      <c r="D1" t="s">
        <v>127</v>
      </c>
      <c r="E1" t="s">
        <v>199</v>
      </c>
      <c r="F1" t="s">
        <v>198</v>
      </c>
      <c r="G1" t="s">
        <v>200</v>
      </c>
      <c r="H1" t="s">
        <v>229</v>
      </c>
      <c r="I1" t="s">
        <v>321</v>
      </c>
      <c r="J1" t="s">
        <v>322</v>
      </c>
      <c r="K1" t="s">
        <v>323</v>
      </c>
      <c r="L1" t="s">
        <v>324</v>
      </c>
      <c r="M1" t="s">
        <v>325</v>
      </c>
      <c r="N1" t="s">
        <v>326</v>
      </c>
      <c r="O1" t="s">
        <v>339</v>
      </c>
      <c r="P1" t="s">
        <v>565</v>
      </c>
    </row>
    <row r="2" spans="1:16" x14ac:dyDescent="0.2">
      <c r="A2">
        <f>VLOOKUP(B2,Leonard2010!F:CE,78,FALSE)</f>
        <v>601</v>
      </c>
      <c r="B2" t="s">
        <v>2</v>
      </c>
      <c r="C2">
        <v>1</v>
      </c>
      <c r="D2">
        <f>VLOOKUP(B2,Leonard2010!F:K,6,FALSE)</f>
        <v>63.7</v>
      </c>
      <c r="E2">
        <f>VLOOKUP(B2,Leonard2010!F:AR,39,FALSE)</f>
        <v>8.9928861137391E-3</v>
      </c>
      <c r="F2">
        <v>7.8193447775450703E-2</v>
      </c>
      <c r="G2">
        <v>6.4495548372199438E-2</v>
      </c>
      <c r="H2">
        <f>COUNTIF(FaultGeometry!W:W,MultiFaultGeometry!A2)</f>
        <v>4</v>
      </c>
      <c r="I2">
        <f>VLOOKUP(B2,Leonard2010!F:BR,65,FALSE)</f>
        <v>6.8050421481944499</v>
      </c>
      <c r="J2">
        <f>VLOOKUP(B2,Leonard2010!F:BS,66,FALSE)</f>
        <v>7.1178456459599886</v>
      </c>
      <c r="K2">
        <f>VLOOKUP(B2,Leonard2010!F:BT,67,FALSE)</f>
        <v>7.4507774122471986</v>
      </c>
      <c r="L2">
        <v>4455.680500223717</v>
      </c>
      <c r="M2">
        <v>16788.832997040554</v>
      </c>
      <c r="N2">
        <v>63259.677929861748</v>
      </c>
      <c r="O2">
        <f>C2*(10^((J2*1.5)+9.05))/M2</f>
        <v>3175030926077126</v>
      </c>
      <c r="P2">
        <f>VLOOKUP(B2,Leonard2010!F:Y,20,FALSE)</f>
        <v>1218</v>
      </c>
    </row>
    <row r="3" spans="1:16" x14ac:dyDescent="0.2">
      <c r="A3">
        <f>VLOOKUP(B3,Leonard2010!F:CE,78,FALSE)</f>
        <v>602</v>
      </c>
      <c r="B3" s="8" t="s">
        <v>430</v>
      </c>
      <c r="C3">
        <v>1</v>
      </c>
      <c r="D3">
        <f>VLOOKUP(B3,Leonard2010!F:K,6,FALSE)</f>
        <v>72.599999999999994</v>
      </c>
      <c r="E3">
        <f>VLOOKUP(B3,Leonard2010!F:AR,39,FALSE)</f>
        <v>8.4851473806598077E-3</v>
      </c>
      <c r="F3">
        <v>7.6669619313863166E-2</v>
      </c>
      <c r="G3">
        <v>6.35791490680995E-2</v>
      </c>
      <c r="H3">
        <f>COUNTIF(FaultGeometry!W:W,MultiFaultGeometry!A3)</f>
        <v>2</v>
      </c>
      <c r="I3">
        <f>VLOOKUP(B3,Leonard2010!F:BR,65,FALSE)</f>
        <v>6.9438124131701597</v>
      </c>
      <c r="J3">
        <f>VLOOKUP(B3,Leonard2010!F:BS,66,FALSE)</f>
        <v>7.3642083135415604</v>
      </c>
      <c r="K3">
        <f>VLOOKUP(B3,Leonard2010!F:BT,67,FALSE)</f>
        <v>7.8646311671225346</v>
      </c>
      <c r="L3">
        <v>5878.694088854405</v>
      </c>
      <c r="M3">
        <v>22643.394055004865</v>
      </c>
      <c r="N3">
        <v>87217.209567396494</v>
      </c>
      <c r="O3">
        <f t="shared" ref="O3:O28" si="0">C3*(10^((J3*1.5)+9.05))/M3</f>
        <v>5512783611288923</v>
      </c>
      <c r="P3">
        <f>VLOOKUP(B3,Leonard2010!F:Y,20,FALSE)</f>
        <v>2147.8797121132443</v>
      </c>
    </row>
    <row r="4" spans="1:16" x14ac:dyDescent="0.2">
      <c r="A4">
        <f>VLOOKUP(B4,Leonard2010!F:CE,78,FALSE)</f>
        <v>604</v>
      </c>
      <c r="B4" s="8" t="s">
        <v>437</v>
      </c>
      <c r="C4">
        <v>1</v>
      </c>
      <c r="D4">
        <f>VLOOKUP(B4,Leonard2010!F:K,6,FALSE)</f>
        <v>26.200000000000003</v>
      </c>
      <c r="E4">
        <f>VLOOKUP(B4,Leonard2010!F:AR,39,FALSE)</f>
        <v>6.8023404788633939E-3</v>
      </c>
      <c r="F4">
        <v>4.3243463798458837E-2</v>
      </c>
      <c r="G4">
        <v>3.1064160922074011E-2</v>
      </c>
      <c r="H4">
        <f>COUNTIF(FaultGeometry!W:W,MultiFaultGeometry!A4)</f>
        <v>2</v>
      </c>
      <c r="I4">
        <f>VLOOKUP(B4,Leonard2010!F:BR,65,FALSE)</f>
        <v>6.2060868642029137</v>
      </c>
      <c r="J4">
        <f>VLOOKUP(B4,Leonard2010!F:BS,66,FALSE)</f>
        <v>6.6390718918823355</v>
      </c>
      <c r="K4">
        <f>VLOOKUP(B4,Leonard2010!F:BT,67,FALSE)</f>
        <v>7.1269056181552886</v>
      </c>
      <c r="L4">
        <v>4932.7189238436167</v>
      </c>
      <c r="M4">
        <v>16867.990422705061</v>
      </c>
      <c r="N4">
        <v>57682.001608711587</v>
      </c>
      <c r="O4">
        <f t="shared" si="0"/>
        <v>604706298374604</v>
      </c>
      <c r="P4">
        <f>VLOOKUP(B4,Leonard2010!F:Y,20,FALSE)</f>
        <v>404.45809706888934</v>
      </c>
    </row>
    <row r="5" spans="1:16" x14ac:dyDescent="0.2">
      <c r="A5">
        <f>VLOOKUP(B5,Leonard2010!F:CE,78,FALSE)</f>
        <v>603</v>
      </c>
      <c r="B5" s="11" t="s">
        <v>240</v>
      </c>
      <c r="C5" s="11">
        <v>1</v>
      </c>
      <c r="D5">
        <f>VLOOKUP(B5,Leonard2010!F:K,6,FALSE)</f>
        <v>114.6</v>
      </c>
      <c r="E5">
        <f>VLOOKUP(B5,Leonard2010!F:AR,39,FALSE)</f>
        <v>5.168471099698522E-3</v>
      </c>
      <c r="F5">
        <v>4.4052253241217691E-2</v>
      </c>
      <c r="G5">
        <v>3.5074728020236257E-2</v>
      </c>
      <c r="H5">
        <f>COUNTIF(FaultGeometry!W:W,MultiFaultGeometry!A5)</f>
        <v>2</v>
      </c>
      <c r="I5">
        <f>VLOOKUP(B5,Leonard2010!F:BR,65,FALSE)</f>
        <v>7.1122585074657039</v>
      </c>
      <c r="J5">
        <f>VLOOKUP(B5,Leonard2010!F:BS,66,FALSE)</f>
        <v>7.4160316693257586</v>
      </c>
      <c r="K5">
        <f>VLOOKUP(B5,Leonard2010!F:BT,67,FALSE)</f>
        <v>7.7489634356129686</v>
      </c>
      <c r="L5">
        <v>11513.585477757151</v>
      </c>
      <c r="M5">
        <v>42562.681950852377</v>
      </c>
      <c r="N5">
        <v>157342.9839339944</v>
      </c>
      <c r="O5">
        <f t="shared" si="0"/>
        <v>3507668302095957.5</v>
      </c>
      <c r="P5">
        <f>VLOOKUP(B5,Leonard2010!F:Y,20,FALSE)</f>
        <v>2420.1000000000004</v>
      </c>
    </row>
    <row r="6" spans="1:16" x14ac:dyDescent="0.2">
      <c r="A6">
        <f>VLOOKUP(B6,Leonard2010!F:CE,78,FALSE)</f>
        <v>605</v>
      </c>
      <c r="B6" s="50" t="s">
        <v>178</v>
      </c>
      <c r="C6">
        <v>1</v>
      </c>
      <c r="D6">
        <f>VLOOKUP(B6,Leonard2010!F:K,6,FALSE)</f>
        <v>50.5</v>
      </c>
      <c r="E6">
        <f>VLOOKUP(B6,Leonard2010!F:AR,39,FALSE)</f>
        <v>5.4857249378980023E-3</v>
      </c>
      <c r="F6">
        <v>8.0202864020930617E-2</v>
      </c>
      <c r="G6">
        <v>8.1469885419419463E-2</v>
      </c>
      <c r="H6">
        <f>COUNTIF(FaultGeometry!W:W,MultiFaultGeometry!A6)</f>
        <v>3</v>
      </c>
      <c r="I6">
        <f>VLOOKUP(B6,Leonard2010!F:BR,65,FALSE)</f>
        <v>6.6810703422011057</v>
      </c>
      <c r="J6">
        <f>VLOOKUP(B6,Leonard2010!F:BS,66,FALSE)</f>
        <v>7.1140553698805276</v>
      </c>
      <c r="K6">
        <f>VLOOKUP(B6,Leonard2010!F:BT,67,FALSE)</f>
        <v>7.6018890961534806</v>
      </c>
      <c r="L6">
        <v>4277.2473400480458</v>
      </c>
      <c r="M6">
        <v>15768.479065421965</v>
      </c>
      <c r="N6">
        <v>58131.997583721168</v>
      </c>
      <c r="O6">
        <f t="shared" si="0"/>
        <v>3336516285345584</v>
      </c>
      <c r="P6">
        <f>VLOOKUP(B6,Leonard2010!F:Y,20,FALSE)</f>
        <v>1207.4162380799787</v>
      </c>
    </row>
    <row r="7" spans="1:16" x14ac:dyDescent="0.2">
      <c r="A7">
        <f>VLOOKUP(B7,Leonard2010!F:CE,78,FALSE)</f>
        <v>606</v>
      </c>
      <c r="B7" s="50" t="s">
        <v>457</v>
      </c>
      <c r="C7" s="11">
        <v>0.5</v>
      </c>
      <c r="D7">
        <f>VLOOKUP(B7,Leonard2010!F:K,6,FALSE)</f>
        <v>108.1</v>
      </c>
      <c r="E7">
        <f>VLOOKUP(B7,Leonard2010!F:AR,39,FALSE)</f>
        <v>4.6000000000000008E-3</v>
      </c>
      <c r="F7">
        <v>7.6655709998605576E-2</v>
      </c>
      <c r="G7">
        <v>7.9774764693701358E-2</v>
      </c>
      <c r="H7">
        <f>COUNTIF(FaultGeometry!W:W,MultiFaultGeometry!A7)</f>
        <v>2</v>
      </c>
      <c r="I7">
        <f>VLOOKUP(B7,Leonard2010!F:BR,65,FALSE)</f>
        <v>7.1463953147759325</v>
      </c>
      <c r="J7">
        <f>VLOOKUP(B7,Leonard2010!F:BS,66,FALSE)</f>
        <v>7.5389014649745265</v>
      </c>
      <c r="K7">
        <f>VLOOKUP(B7,Leonard2010!F:BT,67,FALSE)</f>
        <v>7.8972170308318113</v>
      </c>
      <c r="L7">
        <v>7588.3477345821539</v>
      </c>
      <c r="M7">
        <v>28155.848019838355</v>
      </c>
      <c r="N7">
        <v>104469.61650208135</v>
      </c>
      <c r="O7">
        <f t="shared" si="0"/>
        <v>4052785228131231.5</v>
      </c>
      <c r="P7">
        <f>VLOOKUP(B7,Leonard2010!F:Y,20,FALSE)</f>
        <v>3211.4643646013355</v>
      </c>
    </row>
    <row r="8" spans="1:16" x14ac:dyDescent="0.2">
      <c r="A8">
        <f>VLOOKUP(B8,Leonard2010!F:CE,78,FALSE)</f>
        <v>607</v>
      </c>
      <c r="B8" s="50" t="s">
        <v>458</v>
      </c>
      <c r="C8" s="11">
        <v>0.5</v>
      </c>
      <c r="D8">
        <f>VLOOKUP(B8,Leonard2010!F:K,6,FALSE)</f>
        <v>108.1</v>
      </c>
      <c r="E8">
        <f>VLOOKUP(B8,Leonard2010!F:AR,39,FALSE)</f>
        <v>4.5319355818178699E-3</v>
      </c>
      <c r="F8">
        <v>7.6640851517603817E-2</v>
      </c>
      <c r="G8">
        <v>7.9254996758130927E-2</v>
      </c>
      <c r="H8">
        <f>COUNTIF(FaultGeometry!W:W,MultiFaultGeometry!A8)</f>
        <v>2</v>
      </c>
      <c r="I8">
        <f>VLOOKUP(B8,Leonard2010!F:BR,65,FALSE)</f>
        <v>7.1463953147759325</v>
      </c>
      <c r="J8">
        <f>VLOOKUP(B8,Leonard2010!F:BS,66,FALSE)</f>
        <v>7.5389014649745265</v>
      </c>
      <c r="K8">
        <f>VLOOKUP(B8,Leonard2010!F:BT,67,FALSE)</f>
        <v>7.8972170308318113</v>
      </c>
      <c r="L8">
        <v>7624.0321654374457</v>
      </c>
      <c r="M8">
        <v>28671.18494195809</v>
      </c>
      <c r="N8">
        <v>107821.79667375499</v>
      </c>
      <c r="O8">
        <f t="shared" si="0"/>
        <v>3979940318871097</v>
      </c>
      <c r="P8">
        <f>VLOOKUP(B8,Leonard2010!F:Y,20,FALSE)</f>
        <v>3211.4643646013355</v>
      </c>
    </row>
    <row r="9" spans="1:16" x14ac:dyDescent="0.2">
      <c r="A9">
        <f>VLOOKUP(B9,Leonard2010!F:CE,78,FALSE)</f>
        <v>608</v>
      </c>
      <c r="B9" s="50" t="s">
        <v>448</v>
      </c>
      <c r="C9">
        <f>1/3</f>
        <v>0.33333333333333331</v>
      </c>
      <c r="D9">
        <f>VLOOKUP(B9,Leonard2010!F:K,6,FALSE)</f>
        <v>268.8</v>
      </c>
      <c r="E9">
        <f>VLOOKUP(B9,Leonard2010!F:AR,39,FALSE)</f>
        <v>0.19882457360833455</v>
      </c>
      <c r="F9">
        <v>0.52422513746909749</v>
      </c>
      <c r="G9">
        <v>0.23399475370765069</v>
      </c>
      <c r="H9">
        <f>COUNTIF(FaultGeometry!W:W,MultiFaultGeometry!A9)</f>
        <v>2</v>
      </c>
      <c r="I9">
        <f>VLOOKUP(B9,Leonard2010!F:BR,65,FALSE)</f>
        <v>7.7625656982426179</v>
      </c>
      <c r="J9">
        <f>VLOOKUP(B9,Leonard2010!F:BS,66,FALSE)</f>
        <v>8.0747363573962048</v>
      </c>
      <c r="K9">
        <f>VLOOKUP(B9,Leonard2010!F:BT,67,FALSE)</f>
        <v>8.4076681236834148</v>
      </c>
      <c r="L9">
        <v>2992.1559655165129</v>
      </c>
      <c r="M9">
        <v>7718.6748203619072</v>
      </c>
      <c r="N9">
        <v>19911.375499506907</v>
      </c>
      <c r="O9">
        <f t="shared" si="0"/>
        <v>6.2724980710204808E+16</v>
      </c>
      <c r="P9">
        <f>VLOOKUP(B9,Leonard2010!F:Y,20,FALSE)</f>
        <v>11029.04731165713</v>
      </c>
    </row>
    <row r="10" spans="1:16" x14ac:dyDescent="0.2">
      <c r="A10">
        <f>VLOOKUP(B10,Leonard2010!F:CE,78,FALSE)</f>
        <v>609</v>
      </c>
      <c r="B10" s="50" t="s">
        <v>447</v>
      </c>
      <c r="C10">
        <f t="shared" ref="C10:C11" si="1">1/3</f>
        <v>0.33333333333333331</v>
      </c>
      <c r="D10">
        <f>VLOOKUP(B10,Leonard2010!F:K,6,FALSE)</f>
        <v>247.9</v>
      </c>
      <c r="E10">
        <f>VLOOKUP(B10,Leonard2010!F:AR,39,FALSE)</f>
        <v>0.19501398841113099</v>
      </c>
      <c r="F10">
        <v>0.523709189266788</v>
      </c>
      <c r="G10">
        <v>0.23364871750628585</v>
      </c>
      <c r="H10">
        <f>COUNTIF(FaultGeometry!W:W,MultiFaultGeometry!A10)</f>
        <v>2</v>
      </c>
      <c r="I10">
        <f>VLOOKUP(B10,Leonard2010!F:BR,65,FALSE)</f>
        <v>7.7218788571993047</v>
      </c>
      <c r="J10">
        <f>VLOOKUP(B10,Leonard2010!F:BS,66,FALSE)</f>
        <v>8.0347943470475958</v>
      </c>
      <c r="K10">
        <f>VLOOKUP(B10,Leonard2010!F:BT,67,FALSE)</f>
        <v>8.3869000508980491</v>
      </c>
      <c r="L10">
        <v>2865.8912415998993</v>
      </c>
      <c r="M10">
        <v>7309.6890327296715</v>
      </c>
      <c r="N10">
        <v>18643.957237323488</v>
      </c>
      <c r="O10">
        <f>C10*(10^((J10*1.5)+9.05))/M10</f>
        <v>5.769940891404288E+16</v>
      </c>
      <c r="P10">
        <f>VLOOKUP(B10,Leonard2010!F:Y,20,FALSE)</f>
        <v>10059.953872799522</v>
      </c>
    </row>
    <row r="11" spans="1:16" x14ac:dyDescent="0.2">
      <c r="A11">
        <f>VLOOKUP(B11,Leonard2010!F:CE,78,FALSE)</f>
        <v>610</v>
      </c>
      <c r="B11" s="50" t="s">
        <v>533</v>
      </c>
      <c r="C11">
        <f t="shared" si="1"/>
        <v>0.33333333333333331</v>
      </c>
      <c r="D11">
        <f>VLOOKUP(B11,Leonard2010!F:K,6,FALSE)</f>
        <v>226.6</v>
      </c>
      <c r="E11">
        <f>VLOOKUP(B11,Leonard2010!F:AR,39,FALSE)</f>
        <v>0.20728182110954105</v>
      </c>
      <c r="F11">
        <v>0.52777609132192416</v>
      </c>
      <c r="G11">
        <v>0.23306624200716539</v>
      </c>
      <c r="H11">
        <f>COUNTIF(FaultGeometry!W:W,MultiFaultGeometry!A11)</f>
        <v>3</v>
      </c>
      <c r="I11">
        <f>VLOOKUP(B11,Leonard2010!F:BR,65,FALSE)</f>
        <v>7.7600494660046833</v>
      </c>
      <c r="J11">
        <f>VLOOKUP(B11,Leonard2010!F:BS,66,FALSE)</f>
        <v>8.0291776910454349</v>
      </c>
      <c r="K11">
        <f>VLOOKUP(B11,Leonard2010!F:BT,67,FALSE)</f>
        <v>8.3621094573326449</v>
      </c>
      <c r="L11">
        <v>2781.3899375600658</v>
      </c>
      <c r="M11">
        <v>7228.0105061555614</v>
      </c>
      <c r="N11">
        <v>18783.463322271757</v>
      </c>
      <c r="O11">
        <f t="shared" si="0"/>
        <v>5.7230363809517904E+16</v>
      </c>
      <c r="P11">
        <f>VLOOKUP(B11,Leonard2010!F:Y,20,FALSE)</f>
        <v>9930.6879048370247</v>
      </c>
    </row>
    <row r="12" spans="1:16" x14ac:dyDescent="0.2">
      <c r="A12">
        <f>VLOOKUP(B12,Leonard2010!F:CE,78,FALSE)</f>
        <v>611</v>
      </c>
      <c r="B12" s="50" t="s">
        <v>415</v>
      </c>
      <c r="C12" s="11">
        <v>0.5</v>
      </c>
      <c r="D12">
        <f>VLOOKUP(B12,Leonard2010!F:K,6,FALSE)</f>
        <v>108</v>
      </c>
      <c r="E12">
        <f>VLOOKUP(B12,Leonard2010!F:AR,39,FALSE)</f>
        <v>5.200373024296827E-3</v>
      </c>
      <c r="F12">
        <v>7.9265062334828079E-2</v>
      </c>
      <c r="G12">
        <v>8.0633342688799473E-2</v>
      </c>
      <c r="H12">
        <f>COUNTIF(FaultGeometry!W:W,MultiFaultGeometry!A12)</f>
        <v>1</v>
      </c>
      <c r="I12">
        <f>VLOOKUP(B12,Leonard2010!F:BR,65,FALSE)</f>
        <v>7.1163268105408592</v>
      </c>
      <c r="J12">
        <f>VLOOKUP(B12,Leonard2010!F:BS,66,FALSE)</f>
        <v>7.5456990502086825</v>
      </c>
      <c r="K12">
        <f>VLOOKUP(B12,Leonard2010!F:BT,67,FALSE)</f>
        <v>7.9165954568676966</v>
      </c>
      <c r="L12">
        <v>7566.7207227760773</v>
      </c>
      <c r="M12">
        <v>27446.675657019594</v>
      </c>
      <c r="N12">
        <v>99556.998628760528</v>
      </c>
      <c r="O12">
        <f t="shared" si="0"/>
        <v>4256266662577376</v>
      </c>
      <c r="P12">
        <f>VLOOKUP(B12,Leonard2010!F:Y,20,FALSE)</f>
        <v>3262.1257058711794</v>
      </c>
    </row>
    <row r="13" spans="1:16" x14ac:dyDescent="0.2">
      <c r="A13">
        <f>VLOOKUP(B13,Leonard2010!F:CE,78,FALSE)</f>
        <v>613</v>
      </c>
      <c r="B13" s="11" t="s">
        <v>242</v>
      </c>
      <c r="C13">
        <v>1</v>
      </c>
      <c r="D13">
        <f>VLOOKUP(B13,Leonard2010!F:K,6,FALSE)</f>
        <v>50.199999999999996</v>
      </c>
      <c r="E13">
        <f>VLOOKUP(B13,Leonard2010!F:AR,39,FALSE)</f>
        <v>8.049705071915542E-3</v>
      </c>
      <c r="F13">
        <v>0.13427488150147587</v>
      </c>
      <c r="G13">
        <v>0.12924282676697751</v>
      </c>
      <c r="H13">
        <f>COUNTIF(FaultGeometry!W:W,MultiFaultGeometry!A13)</f>
        <v>2</v>
      </c>
      <c r="I13">
        <f>VLOOKUP(B13,Leonard2010!F:BR,65,FALSE)</f>
        <v>6.6767575739117007</v>
      </c>
      <c r="J13">
        <f>VLOOKUP(B13,Leonard2010!F:BS,66,FALSE)</f>
        <v>7.1097426015911251</v>
      </c>
      <c r="K13">
        <f>VLOOKUP(B13,Leonard2010!F:BT,67,FALSE)</f>
        <v>7.5975763278640782</v>
      </c>
      <c r="L13">
        <v>2591.4482604068448</v>
      </c>
      <c r="M13">
        <v>9462.9684227068683</v>
      </c>
      <c r="N13">
        <v>34555.106786152406</v>
      </c>
      <c r="O13">
        <f t="shared" si="0"/>
        <v>5477552029869076</v>
      </c>
      <c r="P13">
        <f>VLOOKUP(B13,Leonard2010!F:Y,20,FALSE)</f>
        <v>1195.4853100251732</v>
      </c>
    </row>
    <row r="14" spans="1:16" x14ac:dyDescent="0.2">
      <c r="A14">
        <f>VLOOKUP(B14,Leonard2010!F:CE,78,FALSE)</f>
        <v>614</v>
      </c>
      <c r="B14" s="11" t="s">
        <v>241</v>
      </c>
      <c r="C14" s="11">
        <v>1</v>
      </c>
      <c r="D14">
        <f>VLOOKUP(B14,Leonard2010!F:K,6,FALSE)</f>
        <v>74.900000000000006</v>
      </c>
      <c r="E14">
        <f>VLOOKUP(B14,Leonard2010!F:AR,39,FALSE)</f>
        <v>5.3028925968534157E-3</v>
      </c>
      <c r="F14">
        <v>0.10946953467207372</v>
      </c>
      <c r="G14">
        <v>0.10972420567523243</v>
      </c>
      <c r="H14">
        <f>COUNTIF(FaultGeometry!W:W,MultiFaultGeometry!A14)</f>
        <v>2</v>
      </c>
      <c r="I14">
        <f>VLOOKUP(B14,Leonard2010!F:BR,65,FALSE)</f>
        <v>6.9663877415024471</v>
      </c>
      <c r="J14">
        <f>VLOOKUP(B14,Leonard2010!F:BS,66,FALSE)</f>
        <v>7.3993727691818689</v>
      </c>
      <c r="K14">
        <f>VLOOKUP(B14,Leonard2010!F:BT,67,FALSE)</f>
        <v>7.877646268231369</v>
      </c>
      <c r="L14">
        <v>4600.7082845540162</v>
      </c>
      <c r="M14">
        <v>16626.573073624008</v>
      </c>
      <c r="N14">
        <v>60087.037706924886</v>
      </c>
      <c r="O14">
        <f t="shared" si="0"/>
        <v>8477277666799633</v>
      </c>
      <c r="P14">
        <f>VLOOKUP(B14,Leonard2010!F:Y,20,FALSE)</f>
        <v>2329.0264007380538</v>
      </c>
    </row>
    <row r="15" spans="1:16" x14ac:dyDescent="0.2">
      <c r="A15">
        <f>VLOOKUP(B15,Leonard2010!F:CE,78,FALSE)</f>
        <v>615</v>
      </c>
      <c r="B15" s="11" t="s">
        <v>243</v>
      </c>
      <c r="C15">
        <v>1</v>
      </c>
      <c r="D15">
        <f>VLOOKUP(B15,Leonard2010!F:K,6,FALSE)</f>
        <v>36.4</v>
      </c>
      <c r="E15">
        <f>VLOOKUP(B15,Leonard2010!F:AR,39,FALSE)</f>
        <v>7.3899450410246908E-3</v>
      </c>
      <c r="F15">
        <v>0.13253927432454066</v>
      </c>
      <c r="G15">
        <v>0.12546802661988096</v>
      </c>
      <c r="H15">
        <f>COUNTIF(FaultGeometry!W:W,MultiFaultGeometry!A15)</f>
        <v>2</v>
      </c>
      <c r="I15">
        <f>VLOOKUP(B15,Leonard2010!F:BR,65,FALSE)</f>
        <v>6.4440870180850967</v>
      </c>
      <c r="J15">
        <f>VLOOKUP(B15,Leonard2010!F:BS,66,FALSE)</f>
        <v>6.8770720457645185</v>
      </c>
      <c r="K15">
        <f>VLOOKUP(B15,Leonard2010!F:BT,67,FALSE)</f>
        <v>7.3649057720374715</v>
      </c>
      <c r="L15">
        <v>1991.7287046186345</v>
      </c>
      <c r="M15">
        <v>7280.289293709604</v>
      </c>
      <c r="N15">
        <v>26611.361315019749</v>
      </c>
      <c r="O15">
        <f t="shared" si="0"/>
        <v>3187567804226474.5</v>
      </c>
      <c r="P15">
        <f>VLOOKUP(B15,Leonard2010!F:Y,20,FALSE)</f>
        <v>699.63848082741072</v>
      </c>
    </row>
    <row r="16" spans="1:16" x14ac:dyDescent="0.2">
      <c r="A16">
        <f>VLOOKUP(B16,Leonard2010!F:CE,78,FALSE)</f>
        <v>616</v>
      </c>
      <c r="B16" s="11" t="s">
        <v>419</v>
      </c>
      <c r="C16" s="11">
        <v>1</v>
      </c>
      <c r="D16">
        <f>VLOOKUP(B16,Leonard2010!F:K,6,FALSE)</f>
        <v>72.600000000000009</v>
      </c>
      <c r="E16">
        <f>VLOOKUP(B16,Leonard2010!F:AR,39,FALSE)</f>
        <v>8.1698797955431154E-3</v>
      </c>
      <c r="F16">
        <v>0.13663779773624343</v>
      </c>
      <c r="G16">
        <v>0.1300182788005203</v>
      </c>
      <c r="H16">
        <f>COUNTIF(FaultGeometry!W:W,MultiFaultGeometry!A16)</f>
        <v>2</v>
      </c>
      <c r="I16">
        <f>VLOOKUP(B16,Leonard2010!F:BR,65,FALSE)</f>
        <v>6.7510390884557054</v>
      </c>
      <c r="J16">
        <f>VLOOKUP(B16,Leonard2010!F:BS,66,FALSE)</f>
        <v>7.1042504007732648</v>
      </c>
      <c r="K16">
        <f>VLOOKUP(B16,Leonard2010!F:BT,67,FALSE)</f>
        <v>7.483063958989983</v>
      </c>
      <c r="L16">
        <v>2686.8071757547186</v>
      </c>
      <c r="M16">
        <v>9426.7891793713206</v>
      </c>
      <c r="N16">
        <v>33074.332625805357</v>
      </c>
      <c r="O16">
        <f t="shared" si="0"/>
        <v>5395252895993221</v>
      </c>
      <c r="P16">
        <f>VLOOKUP(B16,Leonard2010!F:Y,20,FALSE)</f>
        <v>1180.4620863035011</v>
      </c>
    </row>
    <row r="17" spans="1:16" x14ac:dyDescent="0.2">
      <c r="A17">
        <f>VLOOKUP(B17,Leonard2010!F:CE,78,FALSE)</f>
        <v>617</v>
      </c>
      <c r="B17" s="11" t="s">
        <v>475</v>
      </c>
      <c r="C17">
        <v>1</v>
      </c>
      <c r="D17">
        <f>VLOOKUP(B17,Leonard2010!F:K,6,FALSE)</f>
        <v>97.5</v>
      </c>
      <c r="E17">
        <f>VLOOKUP(B17,Leonard2010!F:AR,39,FALSE)</f>
        <v>7.305063909819904E-3</v>
      </c>
      <c r="F17">
        <v>0.12986746947852312</v>
      </c>
      <c r="G17">
        <v>0.12594783520255903</v>
      </c>
      <c r="H17">
        <f>COUNTIF(FaultGeometry!W:W,MultiFaultGeometry!A17)</f>
        <v>3</v>
      </c>
      <c r="I17">
        <f>VLOOKUP(B17,Leonard2010!F:BR,65,FALSE)</f>
        <v>6.8967948038330817</v>
      </c>
      <c r="J17">
        <f>VLOOKUP(B17,Leonard2010!F:BS,66,FALSE)</f>
        <v>7.570394936012586</v>
      </c>
      <c r="K17">
        <f>VLOOKUP(B17,Leonard2010!F:BT,67,FALSE)</f>
        <v>7.9033267022997959</v>
      </c>
      <c r="L17">
        <v>4877.6521672041717</v>
      </c>
      <c r="M17">
        <v>17096.108827075019</v>
      </c>
      <c r="N17">
        <v>59921.644063177024</v>
      </c>
      <c r="O17">
        <f t="shared" si="0"/>
        <v>1.4883159303789038E+16</v>
      </c>
      <c r="P17">
        <f>VLOOKUP(B17,Leonard2010!F:Y,20,FALSE)</f>
        <v>3453</v>
      </c>
    </row>
    <row r="18" spans="1:16" x14ac:dyDescent="0.2">
      <c r="A18">
        <f>VLOOKUP(B18,Leonard2010!F:CE,78,FALSE)</f>
        <v>612</v>
      </c>
      <c r="B18" s="11" t="s">
        <v>136</v>
      </c>
      <c r="C18" s="11">
        <v>1</v>
      </c>
      <c r="D18">
        <f>VLOOKUP(B18,Leonard2010!F:K,6,FALSE)</f>
        <v>214.20000000000002</v>
      </c>
      <c r="E18">
        <f>VLOOKUP(B18,Leonard2010!F:AR,39,FALSE)</f>
        <v>0.44339670246148144</v>
      </c>
      <c r="F18">
        <v>1.2631480538767987</v>
      </c>
      <c r="G18">
        <v>0.58180458834858884</v>
      </c>
      <c r="H18">
        <f>COUNTIF(FaultGeometry!W:W,MultiFaultGeometry!A18)</f>
        <v>6</v>
      </c>
      <c r="I18">
        <f>VLOOKUP(B18,Leonard2010!F:BR,65,FALSE)</f>
        <v>7.6027604205210979</v>
      </c>
      <c r="J18">
        <f>VLOOKUP(B18,Leonard2010!F:BS,66,FALSE)</f>
        <v>7.9394835946067346</v>
      </c>
      <c r="K18">
        <f>VLOOKUP(B18,Leonard2010!F:BT,67,FALSE)</f>
        <v>8.2809122701004387</v>
      </c>
      <c r="L18">
        <v>1033.6212192881194</v>
      </c>
      <c r="M18">
        <v>2698.3269710456611</v>
      </c>
      <c r="N18">
        <v>7044.1360014716374</v>
      </c>
      <c r="O18">
        <f t="shared" si="0"/>
        <v>3.3738892114996781E+17</v>
      </c>
      <c r="P18">
        <f>VLOOKUP(B18,Leonard2010!F:Y,20,FALSE)</f>
        <v>8077.6538210014196</v>
      </c>
    </row>
    <row r="19" spans="1:16" x14ac:dyDescent="0.2">
      <c r="A19">
        <f>VLOOKUP(B19,Leonard2010!F:CE,78,FALSE)</f>
        <v>618</v>
      </c>
      <c r="B19" t="s">
        <v>313</v>
      </c>
      <c r="C19" s="29">
        <v>0.5</v>
      </c>
      <c r="D19">
        <f>VLOOKUP(B19,Leonard2010!F:K,6,FALSE)</f>
        <v>70.3</v>
      </c>
      <c r="E19">
        <f>VLOOKUP(B19,Leonard2010!F:AR,39,FALSE)</f>
        <v>1.4842554234214591E-2</v>
      </c>
      <c r="F19">
        <v>0.25453331333055967</v>
      </c>
      <c r="G19">
        <v>0.25337638565559556</v>
      </c>
      <c r="H19">
        <f>COUNTIF(FaultGeometry!W:W,MultiFaultGeometry!A19)</f>
        <v>3</v>
      </c>
      <c r="I19">
        <f>VLOOKUP(B19,Leonard2010!F:BR,65,FALSE)</f>
        <v>6.6361299012932564</v>
      </c>
      <c r="J19">
        <f>VLOOKUP(B19,Leonard2010!F:BS,66,FALSE)</f>
        <v>6.9672015091167863</v>
      </c>
      <c r="K19">
        <f>VLOOKUP(B19,Leonard2010!F:BT,67,FALSE)</f>
        <v>7.3001332754039963</v>
      </c>
      <c r="L19">
        <v>1215.7172625356777</v>
      </c>
      <c r="M19">
        <v>4359.5268790699884</v>
      </c>
      <c r="N19">
        <v>15633.137074728309</v>
      </c>
      <c r="O19">
        <f t="shared" si="0"/>
        <v>3633564788562645</v>
      </c>
      <c r="P19">
        <f>VLOOKUP(B19,Leonard2010!F:Y,20,FALSE)</f>
        <v>861</v>
      </c>
    </row>
    <row r="20" spans="1:16" x14ac:dyDescent="0.2">
      <c r="A20">
        <f>VLOOKUP(B20,Leonard2010!F:CE,78,FALSE)</f>
        <v>619</v>
      </c>
      <c r="B20" t="s">
        <v>314</v>
      </c>
      <c r="C20" s="29">
        <v>0.5</v>
      </c>
      <c r="D20">
        <f>VLOOKUP(B20,Leonard2010!F:K,6,FALSE)</f>
        <v>64.3</v>
      </c>
      <c r="E20">
        <f>VLOOKUP(B20,Leonard2010!F:AR,39,FALSE)</f>
        <v>1.4842554234214591E-2</v>
      </c>
      <c r="F20">
        <v>0.25752379178731316</v>
      </c>
      <c r="G20">
        <v>0.25627017950457381</v>
      </c>
      <c r="H20">
        <f>COUNTIF(FaultGeometry!W:W,MultiFaultGeometry!A20)</f>
        <v>3</v>
      </c>
      <c r="I20">
        <f>VLOOKUP(B20,Leonard2010!F:BR,65,FALSE)</f>
        <v>6.5509412189770018</v>
      </c>
      <c r="J20">
        <f>VLOOKUP(B20,Leonard2010!F:BS,66,FALSE)</f>
        <v>6.8919369238602783</v>
      </c>
      <c r="K20">
        <f>VLOOKUP(B20,Leonard2010!F:BT,67,FALSE)</f>
        <v>7.2248686901474883</v>
      </c>
      <c r="L20">
        <v>1105.4836133172359</v>
      </c>
      <c r="M20">
        <v>4014.1150706907883</v>
      </c>
      <c r="N20">
        <v>14575.62971231759</v>
      </c>
      <c r="O20">
        <f t="shared" si="0"/>
        <v>3042885229431187.5</v>
      </c>
      <c r="P20">
        <f>VLOOKUP(B20,Leonard2010!F:Y,20,FALSE)</f>
        <v>724</v>
      </c>
    </row>
    <row r="21" spans="1:16" x14ac:dyDescent="0.2">
      <c r="A21">
        <f>VLOOKUP(B21,Leonard2010!F:CE,78,FALSE)</f>
        <v>620</v>
      </c>
      <c r="B21" s="57" t="s">
        <v>519</v>
      </c>
      <c r="C21" s="29">
        <v>0.5</v>
      </c>
      <c r="D21">
        <f>VLOOKUP(B21,Leonard2010!F:K,6,FALSE)</f>
        <v>95.2</v>
      </c>
      <c r="E21">
        <f>VLOOKUP(B21,Leonard2010!F:AR,39,FALSE)</f>
        <v>1.4232486745677181E-2</v>
      </c>
      <c r="F21">
        <v>0.25474891572405867</v>
      </c>
      <c r="G21">
        <v>0.25453132791964617</v>
      </c>
      <c r="H21">
        <f>COUNTIF(FaultGeometry!W:W,MultiFaultGeometry!A21)</f>
        <v>2</v>
      </c>
      <c r="I21">
        <f>VLOOKUP(B21,Leonard2010!F:BR,65,FALSE)</f>
        <v>6.9202371963496914</v>
      </c>
      <c r="J21">
        <f>VLOOKUP(B21,Leonard2010!F:BS,66,FALSE)</f>
        <v>7.3460344889352625</v>
      </c>
      <c r="K21">
        <f>VLOOKUP(B21,Leonard2010!F:BT,67,FALSE)</f>
        <v>7.8874259583389472</v>
      </c>
      <c r="L21">
        <v>1843.4237515189097</v>
      </c>
      <c r="M21">
        <v>6726.4899316594765</v>
      </c>
      <c r="N21">
        <v>24544.365756075127</v>
      </c>
      <c r="O21">
        <f t="shared" si="0"/>
        <v>8714314734333403</v>
      </c>
      <c r="P21">
        <f>VLOOKUP(B21,Leonard2010!F:Y,20,FALSE)</f>
        <v>2059.8525395778647</v>
      </c>
    </row>
    <row r="22" spans="1:16" x14ac:dyDescent="0.2">
      <c r="A22">
        <f>VLOOKUP(B22,Leonard2010!F:CE,78,FALSE)</f>
        <v>622</v>
      </c>
      <c r="B22" s="29" t="s">
        <v>528</v>
      </c>
      <c r="C22" s="29">
        <v>0.5</v>
      </c>
      <c r="D22">
        <f>VLOOKUP(B22,Leonard2010!F:K,6,FALSE)</f>
        <v>40.799999999999997</v>
      </c>
      <c r="E22">
        <f>VLOOKUP(B22,Leonard2010!F:AR,39,FALSE)</f>
        <v>1.5734583309934887E-2</v>
      </c>
      <c r="F22">
        <v>0.26275741464092189</v>
      </c>
      <c r="G22">
        <v>0.26055553656331804</v>
      </c>
      <c r="H22">
        <f>COUNTIF(FaultGeometry!W:W,MultiFaultGeometry!A22)</f>
        <v>2</v>
      </c>
      <c r="I22">
        <f>VLOOKUP(B22,Leonard2010!F:BR,65,FALSE)</f>
        <v>6.327199779925067</v>
      </c>
      <c r="J22">
        <f>VLOOKUP(B22,Leonard2010!F:BS,66,FALSE)</f>
        <v>6.7313183250564039</v>
      </c>
      <c r="K22">
        <f>VLOOKUP(B22,Leonard2010!F:BT,67,FALSE)</f>
        <v>7.1711980928435279</v>
      </c>
      <c r="L22">
        <v>897.1100944781515</v>
      </c>
      <c r="M22">
        <v>3237.7643188755665</v>
      </c>
      <c r="N22">
        <v>11685.430639014019</v>
      </c>
      <c r="O22">
        <f t="shared" si="0"/>
        <v>2166218493672762.2</v>
      </c>
      <c r="P22">
        <f>VLOOKUP(B22,Leonard2010!F:Y,20,FALSE)</f>
        <v>500.17268116198665</v>
      </c>
    </row>
    <row r="23" spans="1:16" x14ac:dyDescent="0.2">
      <c r="A23">
        <f>VLOOKUP(B23,Leonard2010!F:CE,78,FALSE)</f>
        <v>621</v>
      </c>
      <c r="B23" s="29" t="s">
        <v>503</v>
      </c>
      <c r="C23" s="29">
        <v>0.5</v>
      </c>
      <c r="D23">
        <f>VLOOKUP(B23,Leonard2010!F:K,6,FALSE)</f>
        <v>95.9</v>
      </c>
      <c r="E23">
        <f>VLOOKUP(B23,Leonard2010!F:AR,39,FALSE)</f>
        <v>1.4546381752679537E-2</v>
      </c>
      <c r="F23">
        <v>0.25138830095250025</v>
      </c>
      <c r="G23">
        <v>0.25230598286381145</v>
      </c>
      <c r="H23">
        <f>COUNTIF(FaultGeometry!W:W,MultiFaultGeometry!A23)</f>
        <v>3</v>
      </c>
      <c r="I23">
        <f>VLOOKUP(B23,Leonard2010!F:BR,65,FALSE)</f>
        <v>7.1452823906211096</v>
      </c>
      <c r="J23">
        <f>VLOOKUP(B23,Leonard2010!F:BS,66,FALSE)</f>
        <v>7.5782674183005314</v>
      </c>
      <c r="K23">
        <f>VLOOKUP(B23,Leonard2010!F:BT,67,FALSE)</f>
        <v>7.9824192096989295</v>
      </c>
      <c r="L23">
        <v>2545.8839833921111</v>
      </c>
      <c r="M23">
        <v>9112.9940289399619</v>
      </c>
      <c r="N23">
        <v>32619.970396626188</v>
      </c>
      <c r="O23">
        <f t="shared" si="0"/>
        <v>1.4345313578995918E+16</v>
      </c>
      <c r="P23">
        <f>VLOOKUP(B23,Leonard2010!F:Y,20,FALSE)</f>
        <v>3516.1634940952886</v>
      </c>
    </row>
    <row r="24" spans="1:16" x14ac:dyDescent="0.2">
      <c r="A24">
        <f>VLOOKUP(B24,Leonard2010!F:CE,78,FALSE)</f>
        <v>623</v>
      </c>
      <c r="B24" s="29" t="s">
        <v>244</v>
      </c>
      <c r="C24" s="29">
        <v>1</v>
      </c>
      <c r="D24">
        <f>VLOOKUP(B24,Leonard2010!F:K,6,FALSE)</f>
        <v>69.599999999999994</v>
      </c>
      <c r="E24">
        <f>VLOOKUP(B24,Leonard2010!F:AR,39,FALSE)</f>
        <v>1.4983880909613622E-2</v>
      </c>
      <c r="F24">
        <v>0.37202924910066942</v>
      </c>
      <c r="G24">
        <v>0.16805761890269955</v>
      </c>
      <c r="H24">
        <f>COUNTIF(FaultGeometry!W:W,MultiFaultGeometry!A24)</f>
        <v>3</v>
      </c>
      <c r="I24">
        <f>VLOOKUP(B24,Leonard2010!F:BR,65,FALSE)</f>
        <v>6.9132667780209403</v>
      </c>
      <c r="J24">
        <f>VLOOKUP(B24,Leonard2010!F:BS,66,FALSE)</f>
        <v>7.3462518057003621</v>
      </c>
      <c r="K24">
        <f>VLOOKUP(B24,Leonard2010!F:BT,67,FALSE)</f>
        <v>7.8340855319733151</v>
      </c>
      <c r="L24">
        <v>1073.0610240308663</v>
      </c>
      <c r="M24">
        <v>4502.5905403696715</v>
      </c>
      <c r="N24">
        <v>18892.9810329625</v>
      </c>
      <c r="O24">
        <f t="shared" si="0"/>
        <v>2.6056450479105624E+16</v>
      </c>
      <c r="P24">
        <f>VLOOKUP(B24,Leonard2010!F:Y,20,FALSE)</f>
        <v>2060.8835278250435</v>
      </c>
    </row>
    <row r="25" spans="1:16" x14ac:dyDescent="0.2">
      <c r="A25">
        <f>VLOOKUP(B25,Leonard2010!F:CE,78,FALSE)</f>
        <v>624</v>
      </c>
      <c r="B25" s="29" t="s">
        <v>420</v>
      </c>
      <c r="C25" s="29">
        <v>0.5</v>
      </c>
      <c r="D25">
        <f>VLOOKUP(B25,Leonard2010!F:K,6,FALSE)</f>
        <v>93.899999999999991</v>
      </c>
      <c r="E25">
        <f>VLOOKUP(B25,Leonard2010!F:AR,39,FALSE)</f>
        <v>1.4391626163550476E-2</v>
      </c>
      <c r="F25">
        <v>0.38920182197570063</v>
      </c>
      <c r="G25">
        <v>0.21903891740621964</v>
      </c>
      <c r="H25">
        <f>COUNTIF(FaultGeometry!W:W,MultiFaultGeometry!A25)</f>
        <v>2</v>
      </c>
      <c r="I25">
        <f>VLOOKUP(B25,Leonard2010!F:BR,65,FALSE)</f>
        <v>7.1300273657801867</v>
      </c>
      <c r="J25">
        <f>VLOOKUP(B25,Leonard2010!F:BS,66,FALSE)</f>
        <v>7.5630123934596112</v>
      </c>
      <c r="K25">
        <f>VLOOKUP(B25,Leonard2010!F:BT,67,FALSE)</f>
        <v>7.9732661947943768</v>
      </c>
      <c r="L25">
        <v>737.23987168876192</v>
      </c>
      <c r="M25">
        <v>5501.6238881639629</v>
      </c>
      <c r="N25">
        <v>41055.654433723401</v>
      </c>
      <c r="O25">
        <f t="shared" si="0"/>
        <v>2.254227260732866E+16</v>
      </c>
      <c r="P25">
        <f>VLOOKUP(B25,Leonard2010!F:Y,20,FALSE)</f>
        <v>3394.7987672247596</v>
      </c>
    </row>
    <row r="26" spans="1:16" x14ac:dyDescent="0.2">
      <c r="A26">
        <f>VLOOKUP(B26,Leonard2010!F:CE,78,FALSE)</f>
        <v>625</v>
      </c>
      <c r="B26" s="29" t="s">
        <v>479</v>
      </c>
      <c r="C26" s="29">
        <v>0.5</v>
      </c>
      <c r="D26">
        <f>VLOOKUP(B26,Leonard2010!F:K,6,FALSE)</f>
        <v>91.6</v>
      </c>
      <c r="E26">
        <f>VLOOKUP(B26,Leonard2010!F:AR,39,FALSE)</f>
        <v>1.5503135694059566E-2</v>
      </c>
      <c r="F26">
        <v>0.53229922891763326</v>
      </c>
      <c r="G26">
        <v>0.21420003050812841</v>
      </c>
      <c r="H26">
        <f>COUNTIF(FaultGeometry!W:W,MultiFaultGeometry!A26)</f>
        <v>2</v>
      </c>
      <c r="I26">
        <f>VLOOKUP(B26,Leonard2010!F:BR,65,FALSE)</f>
        <v>7.1120771681164214</v>
      </c>
      <c r="J26">
        <f>VLOOKUP(B26,Leonard2010!F:BS,66,FALSE)</f>
        <v>7.5450621957958433</v>
      </c>
      <c r="K26">
        <f>VLOOKUP(B26,Leonard2010!F:BT,67,FALSE)</f>
        <v>7.962496076196115</v>
      </c>
      <c r="L26">
        <v>1142.3380730739548</v>
      </c>
      <c r="M26">
        <v>3954.129165655233</v>
      </c>
      <c r="N26">
        <v>13686.961703563158</v>
      </c>
      <c r="O26">
        <f t="shared" si="0"/>
        <v>2.947897957190376E+16</v>
      </c>
      <c r="P26">
        <f>VLOOKUP(B26,Leonard2010!F:Y,20,FALSE)</f>
        <v>3257.3455929581196</v>
      </c>
    </row>
    <row r="27" spans="1:16" x14ac:dyDescent="0.2">
      <c r="A27">
        <f>VLOOKUP(B27,Leonard2010!F:CE,78,FALSE)</f>
        <v>626</v>
      </c>
      <c r="B27" s="29" t="s">
        <v>489</v>
      </c>
      <c r="C27" s="29">
        <v>0.5</v>
      </c>
      <c r="D27">
        <f>VLOOKUP(B27,Leonard2010!F:K,6,FALSE)</f>
        <v>54.300000000000004</v>
      </c>
      <c r="E27">
        <f>VLOOKUP(B27,Leonard2010!F:AR,39,FALSE)</f>
        <v>1.5503135694059566E-2</v>
      </c>
      <c r="F27">
        <v>0.2672644859462599</v>
      </c>
      <c r="G27">
        <v>0.16557669645436623</v>
      </c>
      <c r="H27">
        <f>COUNTIF(FaultGeometry!W:W,MultiFaultGeometry!A27)</f>
        <v>2</v>
      </c>
      <c r="I27">
        <f>VLOOKUP(B27,Leonard2010!F:BR,65,FALSE)</f>
        <v>6.7335844279847477</v>
      </c>
      <c r="J27">
        <f>VLOOKUP(B27,Leonard2010!F:BS,66,FALSE)</f>
        <v>7.1665694556641713</v>
      </c>
      <c r="K27">
        <f>VLOOKUP(B27,Leonard2010!F:BT,67,FALSE)</f>
        <v>7.6544031819371243</v>
      </c>
      <c r="L27">
        <v>557.97847419566915</v>
      </c>
      <c r="M27">
        <v>5270.0036999267677</v>
      </c>
      <c r="N27">
        <v>49774.212235116691</v>
      </c>
      <c r="O27">
        <f t="shared" si="0"/>
        <v>5984298768369729</v>
      </c>
      <c r="P27">
        <f>VLOOKUP(B27,Leonard2010!F:Y,20,FALSE)</f>
        <v>1362.6085133183956</v>
      </c>
    </row>
    <row r="28" spans="1:16" x14ac:dyDescent="0.2">
      <c r="A28">
        <f>VLOOKUP(B28,Leonard2010!F:CE,78,FALSE)</f>
        <v>627</v>
      </c>
      <c r="B28" s="29" t="s">
        <v>490</v>
      </c>
      <c r="C28" s="29">
        <v>0.5</v>
      </c>
      <c r="D28">
        <f>VLOOKUP(B28,Leonard2010!F:K,6,FALSE)</f>
        <v>62.7</v>
      </c>
      <c r="E28">
        <f>VLOOKUP(B28,Leonard2010!F:AR,39,FALSE)</f>
        <v>1.5621238692313235E-2</v>
      </c>
      <c r="F28">
        <v>0.26511977383803803</v>
      </c>
      <c r="G28">
        <v>0.16639426193643231</v>
      </c>
      <c r="H28">
        <f>COUNTIF(FaultGeometry!W:W,MultiFaultGeometry!A28)</f>
        <v>2</v>
      </c>
      <c r="I28">
        <f>VLOOKUP(B28,Leonard2010!F:BR,65,FALSE)</f>
        <v>6.8376972800545301</v>
      </c>
      <c r="J28">
        <f>VLOOKUP(B28,Leonard2010!F:BS,66,FALSE)</f>
        <v>7.2706823077339537</v>
      </c>
      <c r="K28">
        <f>VLOOKUP(B28,Leonard2010!F:BT,67,FALSE)</f>
        <v>7.7585160340069068</v>
      </c>
      <c r="L28">
        <v>619.01902336513263</v>
      </c>
      <c r="M28">
        <v>5933.5784917244273</v>
      </c>
      <c r="N28">
        <v>56876.044820172567</v>
      </c>
      <c r="O28">
        <f t="shared" si="0"/>
        <v>7615120399550798</v>
      </c>
      <c r="P28">
        <f>VLOOKUP(B28,Leonard2010!F:Y,20,FALSE)</f>
        <v>1731.7450306307246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32FB-C195-A94E-86EA-31985B5C6D45}">
  <dimension ref="A1:O81"/>
  <sheetViews>
    <sheetView workbookViewId="0">
      <selection activeCell="P1" sqref="P1"/>
    </sheetView>
  </sheetViews>
  <sheetFormatPr baseColWidth="10" defaultRowHeight="16" x14ac:dyDescent="0.2"/>
  <cols>
    <col min="2" max="2" width="35" bestFit="1" customWidth="1"/>
    <col min="13" max="14" width="12.1640625" bestFit="1" customWidth="1"/>
  </cols>
  <sheetData>
    <row r="1" spans="1:15" x14ac:dyDescent="0.2">
      <c r="A1" t="s">
        <v>351</v>
      </c>
      <c r="B1" t="s">
        <v>352</v>
      </c>
      <c r="C1" t="s">
        <v>346</v>
      </c>
      <c r="D1" t="s">
        <v>126</v>
      </c>
      <c r="E1" t="s">
        <v>199</v>
      </c>
      <c r="F1" t="s">
        <v>198</v>
      </c>
      <c r="G1" t="s">
        <v>200</v>
      </c>
      <c r="H1" t="s">
        <v>356</v>
      </c>
      <c r="I1" t="s">
        <v>355</v>
      </c>
      <c r="J1" t="s">
        <v>354</v>
      </c>
      <c r="K1" t="s">
        <v>353</v>
      </c>
      <c r="L1" t="s">
        <v>406</v>
      </c>
      <c r="M1" t="s">
        <v>422</v>
      </c>
      <c r="N1" t="s">
        <v>423</v>
      </c>
    </row>
    <row r="2" spans="1:15" x14ac:dyDescent="0.2">
      <c r="A2">
        <f>VLOOKUP(B2,Leonard2010!D:CC,78,FALSE)</f>
        <v>316</v>
      </c>
      <c r="B2" t="s">
        <v>6</v>
      </c>
      <c r="C2">
        <f>IF(A2&lt;600,VLOOKUP(B2,FaultGeometry!B:C,2,FALSE),VLOOKUP(B2,MultiFaultGeometry!B:C,2,FALSE))</f>
        <v>1</v>
      </c>
      <c r="D2">
        <f>IF(A2&gt;600,VLOOKUP(B2,Leonard2010!F:L,7,FALSE),VLOOKUP(A2,Leonard2010!A:J,10,FALSE))</f>
        <v>1</v>
      </c>
      <c r="E2">
        <f>$C2*IF($A2&lt;600,(VLOOKUP($B2,FaultGeometry!$B:$P,13,FALSE)),VLOOKUP($B2,MultiFaultGeometry!$B:$G,4,FALSE))</f>
        <v>6.5634599841512958E-3</v>
      </c>
      <c r="F2">
        <f>$C2*IF($A2&lt;600,(VLOOKUP($B2,FaultGeometry!$B:$P,14,FALSE)),VLOOKUP($B2,MultiFaultGeometry!$B:$G,5,FALSE))</f>
        <v>4.787358236550928E-2</v>
      </c>
      <c r="G2">
        <f>$C2*IF($A2&lt;600,(VLOOKUP($B2,FaultGeometry!$B:$P,15,FALSE)),VLOOKUP($B2,MultiFaultGeometry!$B:$G,6,FALSE))</f>
        <v>3.6225835200355778E-2</v>
      </c>
      <c r="H2" t="str">
        <f>IF(A2&lt;600,VLOOKUP(B2,Leonard2010!D:S,16,FALSE),VLOOKUP(B2,Leonard2010!F:W,18,FALSE))</f>
        <v>Y</v>
      </c>
      <c r="I2" s="49">
        <f>IF(A2&lt;600,VLOOKUP(B2,Leonard2010!D:U,18,FALSE),VLOOKUP(B2,Leonard2010!F:Y,21,FALSE))</f>
        <v>606</v>
      </c>
      <c r="J2" t="s">
        <v>308</v>
      </c>
      <c r="K2">
        <v>604</v>
      </c>
      <c r="L2" s="49">
        <f>IF(A2&lt;600,VLOOKUP(B2,Leonard2010!D:BH,57,FALSE),VLOOKUP(B2,Leonard2010!F:BS,66,FALSE))</f>
        <v>6.8146709818294182</v>
      </c>
      <c r="M2">
        <f>I2*10^6*F2*10^-3*3.3*10^10</f>
        <v>957375900145454.5</v>
      </c>
      <c r="N2">
        <f>K2*10^6*F2*10^-3*3.3*10^10</f>
        <v>954216243709331</v>
      </c>
      <c r="O2">
        <f>N2/M2</f>
        <v>0.99669966996699677</v>
      </c>
    </row>
    <row r="3" spans="1:15" x14ac:dyDescent="0.2">
      <c r="A3">
        <f>VLOOKUP(B3,Leonard2010!D:CC,78,FALSE)</f>
        <v>318</v>
      </c>
      <c r="B3" t="s">
        <v>246</v>
      </c>
      <c r="C3">
        <f>IF(A3&lt;600,VLOOKUP(B3,FaultGeometry!B:C,2,FALSE),VLOOKUP(B3,MultiFaultGeometry!B:C,2,FALSE))</f>
        <v>0.5</v>
      </c>
      <c r="D3">
        <f>IF(A3&gt;600,VLOOKUP(B3,Leonard2010!F:L,7,FALSE),VLOOKUP(A3,Leonard2010!A:J,10,FALSE))</f>
        <v>16</v>
      </c>
      <c r="E3">
        <f>$C3*IF($A3&lt;600,(VLOOKUP($B3,FaultGeometry!$B:$P,13,FALSE)),VLOOKUP($B3,MultiFaultGeometry!$B:$G,4,FALSE))</f>
        <v>2.082758325137277E-3</v>
      </c>
      <c r="F3">
        <f>$C3*IF($A3&lt;600,(VLOOKUP($B3,FaultGeometry!$B:$P,14,FALSE)),VLOOKUP($B3,MultiFaultGeometry!$B:$G,5,FALSE))</f>
        <v>2.0846510644805888E-2</v>
      </c>
      <c r="G3">
        <f>$C3*IF($A3&lt;600,(VLOOKUP($B3,FaultGeometry!$B:$P,15,FALSE)),VLOOKUP($B3,MultiFaultGeometry!$B:$G,6,FALSE))</f>
        <v>1.7164637000396096E-2</v>
      </c>
      <c r="H3" t="str">
        <f>IF(A3&lt;600,VLOOKUP(B3,Leonard2010!D:S,16,FALSE),VLOOKUP(B3,Leonard2010!F:W,18,FALSE))</f>
        <v>N</v>
      </c>
      <c r="I3" s="49">
        <f>IF(A3&lt;600,VLOOKUP(B3,Leonard2010!D:U,18,FALSE),VLOOKUP(B3,Leonard2010!F:Y,21,FALSE))</f>
        <v>948.79803585434172</v>
      </c>
      <c r="J3" t="s">
        <v>308</v>
      </c>
      <c r="K3">
        <v>1266</v>
      </c>
      <c r="L3" s="49">
        <f>IF(A3&lt;600,VLOOKUP(B3,Leonard2010!D:BH,57,FALSE),VLOOKUP(B3,Leonard2010!F:BS,66,FALSE))</f>
        <v>7.0093721346334616</v>
      </c>
      <c r="M3">
        <f t="shared" ref="M3:M66" si="0">I3*10^6*F3*10^-3*3.3*10^10</f>
        <v>652711235688879</v>
      </c>
      <c r="N3">
        <f t="shared" ref="N3:N66" si="1">K3*10^6*F3*10^-3*3.3*10^10</f>
        <v>870925521718700.38</v>
      </c>
      <c r="O3">
        <f t="shared" ref="O3:O66" si="2">N3/M3</f>
        <v>1.3343197942647878</v>
      </c>
    </row>
    <row r="4" spans="1:15" x14ac:dyDescent="0.2">
      <c r="A4">
        <f>VLOOKUP(B4,Leonard2010!D:CC,78,FALSE)</f>
        <v>319</v>
      </c>
      <c r="B4" t="s">
        <v>247</v>
      </c>
      <c r="C4">
        <f>IF(A4&lt;600,VLOOKUP(B4,FaultGeometry!B:C,2,FALSE),VLOOKUP(B4,MultiFaultGeometry!B:C,2,FALSE))</f>
        <v>0.5</v>
      </c>
      <c r="D4">
        <f>IF(A4&gt;600,VLOOKUP(B4,Leonard2010!F:L,7,FALSE),VLOOKUP(A4,Leonard2010!A:J,10,FALSE))</f>
        <v>2</v>
      </c>
      <c r="E4">
        <f>$C4*IF($A4&lt;600,(VLOOKUP($B4,FaultGeometry!$B:$P,13,FALSE)),VLOOKUP($B4,MultiFaultGeometry!$B:$G,4,FALSE))</f>
        <v>3.2079226820471273E-3</v>
      </c>
      <c r="F4">
        <f>$C4*IF($A4&lt;600,(VLOOKUP($B4,FaultGeometry!$B:$P,14,FALSE)),VLOOKUP($B4,MultiFaultGeometry!$B:$G,5,FALSE))</f>
        <v>2.3355877614590192E-2</v>
      </c>
      <c r="G4">
        <f>$C4*IF($A4&lt;600,(VLOOKUP($B4,FaultGeometry!$B:$P,15,FALSE)),VLOOKUP($B4,MultiFaultGeometry!$B:$G,6,FALSE))</f>
        <v>1.7960581367129743E-2</v>
      </c>
      <c r="H4" t="str">
        <f>IF(A4&lt;600,VLOOKUP(B4,Leonard2010!D:S,16,FALSE),VLOOKUP(B4,Leonard2010!F:W,18,FALSE))</f>
        <v>N</v>
      </c>
      <c r="I4" s="49">
        <f>IF(A4&lt;600,VLOOKUP(B4,Leonard2010!D:U,18,FALSE),VLOOKUP(B4,Leonard2010!F:Y,21,FALSE))</f>
        <v>1109.4475556285938</v>
      </c>
      <c r="J4" t="s">
        <v>308</v>
      </c>
      <c r="K4">
        <v>1267</v>
      </c>
      <c r="L4" s="49">
        <f>IF(A4&lt;600,VLOOKUP(B4,Leonard2010!D:BH,57,FALSE),VLOOKUP(B4,Leonard2010!F:BS,66,FALSE))</f>
        <v>7.0773051353087366</v>
      </c>
      <c r="M4">
        <f t="shared" si="0"/>
        <v>855100003859233.5</v>
      </c>
      <c r="N4">
        <f t="shared" si="1"/>
        <v>976532598943630.62</v>
      </c>
      <c r="O4">
        <f t="shared" si="2"/>
        <v>1.1420098170229775</v>
      </c>
    </row>
    <row r="5" spans="1:15" x14ac:dyDescent="0.2">
      <c r="A5">
        <f>VLOOKUP(B5,Leonard2010!D:CC,78,FALSE)</f>
        <v>334</v>
      </c>
      <c r="B5" t="s">
        <v>32</v>
      </c>
      <c r="C5">
        <f>IF(A5&lt;600,VLOOKUP(B5,FaultGeometry!B:C,2,FALSE),VLOOKUP(B5,MultiFaultGeometry!B:C,2,FALSE))</f>
        <v>1</v>
      </c>
      <c r="D5">
        <f>IF(A5&gt;600,VLOOKUP(B5,Leonard2010!F:L,7,FALSE),VLOOKUP(A5,Leonard2010!A:J,10,FALSE))</f>
        <v>177</v>
      </c>
      <c r="E5">
        <f>$C5*IF($A5&lt;600,(VLOOKUP($B5,FaultGeometry!$B:$P,13,FALSE)),VLOOKUP($B5,MultiFaultGeometry!$B:$G,4,FALSE))</f>
        <v>0.14039148269761881</v>
      </c>
      <c r="F5">
        <f>$C5*IF($A5&lt;600,(VLOOKUP($B5,FaultGeometry!$B:$P,14,FALSE)),VLOOKUP($B5,MultiFaultGeometry!$B:$G,5,FALSE))</f>
        <v>0.40540376058763361</v>
      </c>
      <c r="G5">
        <f>$C5*IF($A5&lt;600,(VLOOKUP($B5,FaultGeometry!$B:$P,15,FALSE)),VLOOKUP($B5,MultiFaultGeometry!$B:$G,6,FALSE))</f>
        <v>0.1926195931030667</v>
      </c>
      <c r="H5" t="str">
        <f>IF(A5&lt;600,VLOOKUP(B5,Leonard2010!D:S,16,FALSE),VLOOKUP(B5,Leonard2010!F:W,18,FALSE))</f>
        <v>N</v>
      </c>
      <c r="I5" s="49">
        <f>IF(A5&lt;600,VLOOKUP(B5,Leonard2010!D:U,18,FALSE),VLOOKUP(B5,Leonard2010!F:Y,21,FALSE))</f>
        <v>5345.3544641457493</v>
      </c>
      <c r="J5" t="s">
        <v>211</v>
      </c>
      <c r="K5">
        <f>IF(J5="Y","TBC",IF(A5&lt;600,VLOOKUP(A5,FaultGeometry!A:F,6,FALSE)*((35-VLOOKUP(A5,FaultGeometry!A:K,11,FALSE))/SIN(RADIANS(VLOOKUP(A5,FaultGeometry!A:H,8,FALSE)))),VLOOKUP(A5,MultiFaultGeometry!A:D,4,FALSE)*((35-VLOOKUP(B5,Leonard2010!F:R,13,FALSE))/SIN(RADIANS(VLOOKUP(B5,Leonard2010!F:Q,9,FALSE))))))</f>
        <v>5403.5914327731907</v>
      </c>
      <c r="L5" s="49">
        <f>IF(A5&lt;600,VLOOKUP(B5,Leonard2010!D:BH,57,FALSE),VLOOKUP(B5,Leonard2010!F:BS,66,FALSE))</f>
        <v>7.7601748673423119</v>
      </c>
      <c r="M5">
        <f t="shared" si="0"/>
        <v>7.15118844474732E+16</v>
      </c>
      <c r="N5">
        <f t="shared" si="1"/>
        <v>7.2290997488337232E+16</v>
      </c>
      <c r="O5">
        <f t="shared" si="2"/>
        <v>1.0108948749831408</v>
      </c>
    </row>
    <row r="6" spans="1:15" x14ac:dyDescent="0.2">
      <c r="A6">
        <f>VLOOKUP(B6,Leonard2010!D:CC,78,FALSE)</f>
        <v>313</v>
      </c>
      <c r="B6" t="s">
        <v>4</v>
      </c>
      <c r="C6">
        <f>IF(A6&lt;600,VLOOKUP(B6,FaultGeometry!B:C,2,FALSE),VLOOKUP(B6,MultiFaultGeometry!B:C,2,FALSE))</f>
        <v>1</v>
      </c>
      <c r="D6">
        <f>IF(A6&gt;600,VLOOKUP(B6,Leonard2010!F:L,7,FALSE),VLOOKUP(A6,Leonard2010!A:J,10,FALSE))</f>
        <v>205</v>
      </c>
      <c r="E6">
        <f>$C6*IF($A6&lt;600,(VLOOKUP($B6,FaultGeometry!$B:$P,13,FALSE)),VLOOKUP($B6,MultiFaultGeometry!$B:$G,4,FALSE))</f>
        <v>7.7372618461397757E-2</v>
      </c>
      <c r="F6">
        <f>$C6*IF($A6&lt;600,(VLOOKUP($B6,FaultGeometry!$B:$P,14,FALSE)),VLOOKUP($B6,MultiFaultGeometry!$B:$G,5,FALSE))</f>
        <v>0.531749897333336</v>
      </c>
      <c r="G6">
        <f>$C6*IF($A6&lt;600,(VLOOKUP($B6,FaultGeometry!$B:$P,15,FALSE)),VLOOKUP($B6,MultiFaultGeometry!$B:$G,6,FALSE))</f>
        <v>0.35045279680560676</v>
      </c>
      <c r="H6" t="str">
        <f>IF(A6&lt;600,VLOOKUP(B6,Leonard2010!D:S,16,FALSE),VLOOKUP(B6,Leonard2010!F:W,18,FALSE))</f>
        <v>N</v>
      </c>
      <c r="I6" s="49">
        <f>IF(A6&lt;600,VLOOKUP(B6,Leonard2010!D:U,18,FALSE),VLOOKUP(B6,Leonard2010!F:Y,21,FALSE))</f>
        <v>2100.515129114342</v>
      </c>
      <c r="J6" t="s">
        <v>211</v>
      </c>
      <c r="K6">
        <f>IF(J6="Y","TBC",IF(A6&lt;600,VLOOKUP(A6,FaultGeometry!A:F,6,FALSE)*((35-VLOOKUP(A6,FaultGeometry!A:K,11,FALSE))/SIN(RADIANS(VLOOKUP(A6,FaultGeometry!A:H,8,FALSE)))),VLOOKUP(A6,MultiFaultGeometry!A:D,4,FALSE)*((35-VLOOKUP(B6,Leonard2010!F:R,13,FALSE))/SIN(RADIANS(VLOOKUP(B6,Leonard2010!F:Q,9,FALSE))))))</f>
        <v>3085.2622616969402</v>
      </c>
      <c r="L6" s="49">
        <f>IF(A6&lt;600,VLOOKUP(B6,Leonard2010!D:BH,57,FALSE),VLOOKUP(B6,Leonard2010!F:BS,66,FALSE))</f>
        <v>7.3545241715862799</v>
      </c>
      <c r="M6">
        <f t="shared" si="0"/>
        <v>3.6859307240371128E+16</v>
      </c>
      <c r="N6">
        <f t="shared" si="1"/>
        <v>5.41394003998242E+16</v>
      </c>
      <c r="O6">
        <f t="shared" si="2"/>
        <v>1.4688122065551628</v>
      </c>
    </row>
    <row r="7" spans="1:15" x14ac:dyDescent="0.2">
      <c r="A7">
        <f>VLOOKUP(B7,Leonard2010!D:CC,78,FALSE)</f>
        <v>301</v>
      </c>
      <c r="B7" t="s">
        <v>1</v>
      </c>
      <c r="C7">
        <f>IF(A7&lt;600,VLOOKUP(B7,FaultGeometry!B:C,2,FALSE),VLOOKUP(B7,MultiFaultGeometry!B:C,2,FALSE))</f>
        <v>1</v>
      </c>
      <c r="D7">
        <f>IF(A7&gt;600,VLOOKUP(B7,Leonard2010!F:L,7,FALSE),VLOOKUP(A7,Leonard2010!A:J,10,FALSE))</f>
        <v>22</v>
      </c>
      <c r="E7">
        <f>$C7*IF($A7&lt;600,(VLOOKUP($B7,FaultGeometry!$B:$P,13,FALSE)),VLOOKUP($B7,MultiFaultGeometry!$B:$G,4,FALSE))</f>
        <v>4.2699836733571294E-3</v>
      </c>
      <c r="F7">
        <f>$C7*IF($A7&lt;600,(VLOOKUP($B7,FaultGeometry!$B:$P,14,FALSE)),VLOOKUP($B7,MultiFaultGeometry!$B:$G,5,FALSE))</f>
        <v>0.18306490950828774</v>
      </c>
      <c r="G7">
        <f>$C7*IF($A7&lt;600,(VLOOKUP($B7,FaultGeometry!$B:$P,15,FALSE)),VLOOKUP($B7,MultiFaultGeometry!$B:$G,6,FALSE))</f>
        <v>0.14850193969402931</v>
      </c>
      <c r="H7" t="str">
        <f>IF(A7&lt;600,VLOOKUP(B7,Leonard2010!D:S,16,FALSE),VLOOKUP(B7,Leonard2010!F:W,18,FALSE))</f>
        <v>N</v>
      </c>
      <c r="I7" s="49">
        <f>IF(A7&lt;600,VLOOKUP(B7,Leonard2010!D:U,18,FALSE),VLOOKUP(B7,Leonard2010!F:Y,21,FALSE))</f>
        <v>600.16157730612485</v>
      </c>
      <c r="J7" t="s">
        <v>211</v>
      </c>
      <c r="K7">
        <f>IF(J7="Y","TBC",IF(A7&lt;600,VLOOKUP(A7,FaultGeometry!A:F,6,FALSE)*((35-VLOOKUP(A7,FaultGeometry!A:K,11,FALSE))/SIN(RADIANS(VLOOKUP(A7,FaultGeometry!A:H,8,FALSE)))),VLOOKUP(A7,MultiFaultGeometry!A:D,4,FALSE)*((35-VLOOKUP(B7,Leonard2010!F:R,13,FALSE))/SIN(RADIANS(VLOOKUP(B7,Leonard2010!F:Q,9,FALSE))))))</f>
        <v>1454.9816347775343</v>
      </c>
      <c r="L7" s="49">
        <f>IF(A7&lt;600,VLOOKUP(B7,Leonard2010!D:BH,57,FALSE),VLOOKUP(B7,Leonard2010!F:BS,66,FALSE))</f>
        <v>6.8104665458561513</v>
      </c>
      <c r="M7">
        <f t="shared" si="0"/>
        <v>3625661319716600</v>
      </c>
      <c r="N7">
        <f t="shared" si="1"/>
        <v>8789750683123405</v>
      </c>
      <c r="O7">
        <f t="shared" si="2"/>
        <v>2.4243165337380317</v>
      </c>
    </row>
    <row r="8" spans="1:15" x14ac:dyDescent="0.2">
      <c r="A8">
        <f>VLOOKUP(B8,Leonard2010!D:CC,78,FALSE)</f>
        <v>309</v>
      </c>
      <c r="B8" t="s">
        <v>53</v>
      </c>
      <c r="C8">
        <f>IF(A8&lt;600,VLOOKUP(B8,FaultGeometry!B:C,2,FALSE),VLOOKUP(B8,MultiFaultGeometry!B:C,2,FALSE))</f>
        <v>1</v>
      </c>
      <c r="D8">
        <f>IF(A8&gt;600,VLOOKUP(B8,Leonard2010!F:L,7,FALSE),VLOOKUP(A8,Leonard2010!A:J,10,FALSE))</f>
        <v>135</v>
      </c>
      <c r="E8">
        <f>$C8*IF($A8&lt;600,(VLOOKUP($B8,FaultGeometry!$B:$P,13,FALSE)),VLOOKUP($B8,MultiFaultGeometry!$B:$G,4,FALSE))</f>
        <v>7.9670708025339401E-3</v>
      </c>
      <c r="F8">
        <f>$C8*IF($A8&lt;600,(VLOOKUP($B8,FaultGeometry!$B:$P,14,FALSE)),VLOOKUP($B8,MultiFaultGeometry!$B:$G,5,FALSE))</f>
        <v>7.7196851564620125E-2</v>
      </c>
      <c r="G8">
        <f>$C8*IF($A8&lt;600,(VLOOKUP($B8,FaultGeometry!$B:$P,15,FALSE)),VLOOKUP($B8,MultiFaultGeometry!$B:$G,6,FALSE))</f>
        <v>6.2864210413160787E-2</v>
      </c>
      <c r="H8" t="str">
        <f>IF(A8&lt;600,VLOOKUP(B8,Leonard2010!D:S,16,FALSE),VLOOKUP(B8,Leonard2010!F:W,18,FALSE))</f>
        <v>N</v>
      </c>
      <c r="I8" s="49">
        <f>IF(A8&lt;600,VLOOKUP(B8,Leonard2010!D:U,18,FALSE),VLOOKUP(B8,Leonard2010!F:Y,21,FALSE))</f>
        <v>686.87158409054859</v>
      </c>
      <c r="J8" t="s">
        <v>211</v>
      </c>
      <c r="K8">
        <f>IF(J8="Y","TBC",IF(A8&lt;600,VLOOKUP(A8,FaultGeometry!A:F,6,FALSE)*((35-VLOOKUP(A8,FaultGeometry!A:K,11,FALSE))/SIN(RADIANS(VLOOKUP(A8,FaultGeometry!A:H,8,FALSE)))),VLOOKUP(A8,MultiFaultGeometry!A:D,4,FALSE)*((35-VLOOKUP(B8,Leonard2010!F:R,13,FALSE))/SIN(RADIANS(VLOOKUP(B8,Leonard2010!F:Q,9,FALSE))))))</f>
        <v>1577.6909292768444</v>
      </c>
      <c r="L8" s="49">
        <f>IF(A8&lt;600,VLOOKUP(B8,Leonard2010!D:BH,57,FALSE),VLOOKUP(B8,Leonard2010!F:BS,66,FALSE))</f>
        <v>6.8690739076282386</v>
      </c>
      <c r="M8">
        <f t="shared" si="0"/>
        <v>1749802682792787.8</v>
      </c>
      <c r="N8">
        <f t="shared" si="1"/>
        <v>4019161491913660.5</v>
      </c>
      <c r="O8">
        <f t="shared" si="2"/>
        <v>2.2969226938770277</v>
      </c>
    </row>
    <row r="9" spans="1:15" x14ac:dyDescent="0.2">
      <c r="A9">
        <f>VLOOKUP(B9,Leonard2010!D:CC,78,FALSE)</f>
        <v>329</v>
      </c>
      <c r="B9" t="s">
        <v>261</v>
      </c>
      <c r="C9">
        <f>IF(A9&lt;600,VLOOKUP(B9,FaultGeometry!B:C,2,FALSE),VLOOKUP(B9,MultiFaultGeometry!B:C,2,FALSE))</f>
        <v>0.5</v>
      </c>
      <c r="D9">
        <f>IF(A9&gt;600,VLOOKUP(B9,Leonard2010!F:L,7,FALSE),VLOOKUP(A9,Leonard2010!A:J,10,FALSE))</f>
        <v>329</v>
      </c>
      <c r="E9">
        <f>$C9*IF($A9&lt;600,(VLOOKUP($B9,FaultGeometry!$B:$P,13,FALSE)),VLOOKUP($B9,MultiFaultGeometry!$B:$G,4,FALSE))</f>
        <v>3.6179393132643313E-3</v>
      </c>
      <c r="F9">
        <f>$C9*IF($A9&lt;600,(VLOOKUP($B9,FaultGeometry!$B:$P,14,FALSE)),VLOOKUP($B9,MultiFaultGeometry!$B:$G,5,FALSE))</f>
        <v>1.6533984882565883E-2</v>
      </c>
      <c r="G9">
        <f>$C9*IF($A9&lt;600,(VLOOKUP($B9,FaultGeometry!$B:$P,15,FALSE)),VLOOKUP($B9,MultiFaultGeometry!$B:$G,6,FALSE))</f>
        <v>1.0629721500162803E-2</v>
      </c>
      <c r="H9" t="str">
        <f>IF(A9&lt;600,VLOOKUP(B9,Leonard2010!D:S,16,FALSE),VLOOKUP(B9,Leonard2010!F:W,18,FALSE))</f>
        <v>Y</v>
      </c>
      <c r="I9" s="49">
        <f>IF(A9&lt;600,VLOOKUP(B9,Leonard2010!D:U,18,FALSE),VLOOKUP(B9,Leonard2010!F:Y,21,FALSE))</f>
        <v>5140</v>
      </c>
      <c r="J9" t="s">
        <v>308</v>
      </c>
      <c r="K9" s="49">
        <v>5509</v>
      </c>
      <c r="L9" s="49">
        <f>IF(A9&lt;600,VLOOKUP(B9,Leonard2010!D:BH,57,FALSE),VLOOKUP(B9,Leonard2010!F:BS,66,FALSE))</f>
        <v>7.7431614766584076</v>
      </c>
      <c r="M9">
        <f t="shared" si="0"/>
        <v>2804494515780824.5</v>
      </c>
      <c r="N9">
        <f t="shared" si="1"/>
        <v>3005828849695830</v>
      </c>
      <c r="O9">
        <f t="shared" si="2"/>
        <v>1.0717898832684827</v>
      </c>
    </row>
    <row r="10" spans="1:15" x14ac:dyDescent="0.2">
      <c r="A10">
        <f>VLOOKUP(B10,Leonard2010!D:CC,78,FALSE)</f>
        <v>330</v>
      </c>
      <c r="B10" t="s">
        <v>264</v>
      </c>
      <c r="C10">
        <f>IF(A10&lt;600,VLOOKUP(B10,FaultGeometry!B:C,2,FALSE),VLOOKUP(B10,MultiFaultGeometry!B:C,2,FALSE))</f>
        <v>0.5</v>
      </c>
      <c r="D10">
        <f>IF(A10&gt;600,VLOOKUP(B10,Leonard2010!F:L,7,FALSE),VLOOKUP(A10,Leonard2010!A:J,10,FALSE))</f>
        <v>329</v>
      </c>
      <c r="E10">
        <f>$C10*IF($A10&lt;600,(VLOOKUP($B10,FaultGeometry!$B:$P,13,FALSE)),VLOOKUP($B10,MultiFaultGeometry!$B:$G,4,FALSE))</f>
        <v>3.6179393132643313E-3</v>
      </c>
      <c r="F10">
        <f>$C10*IF($A10&lt;600,(VLOOKUP($B10,FaultGeometry!$B:$P,14,FALSE)),VLOOKUP($B10,MultiFaultGeometry!$B:$G,5,FALSE))</f>
        <v>1.6409264625684081E-2</v>
      </c>
      <c r="G10">
        <f>$C10*IF($A10&lt;600,(VLOOKUP($B10,FaultGeometry!$B:$P,15,FALSE)),VLOOKUP($B10,MultiFaultGeometry!$B:$G,6,FALSE))</f>
        <v>1.0644195810228648E-2</v>
      </c>
      <c r="H10" t="str">
        <f>IF(A10&lt;600,VLOOKUP(B10,Leonard2010!D:S,16,FALSE),VLOOKUP(B10,Leonard2010!F:W,18,FALSE))</f>
        <v>Y</v>
      </c>
      <c r="I10" s="49">
        <f>IF(A10&lt;600,VLOOKUP(B10,Leonard2010!D:U,18,FALSE),VLOOKUP(B10,Leonard2010!F:Y,21,FALSE))</f>
        <v>5440</v>
      </c>
      <c r="J10" t="s">
        <v>308</v>
      </c>
      <c r="K10" s="49">
        <v>5742</v>
      </c>
      <c r="L10" s="49">
        <f>IF(A10&lt;600,VLOOKUP(B10,Leonard2010!D:BH,57,FALSE),VLOOKUP(B10,Leonard2010!F:BS,66,FALSE))</f>
        <v>7.7677972573613117</v>
      </c>
      <c r="M10">
        <f t="shared" si="0"/>
        <v>2945791185602806.5</v>
      </c>
      <c r="N10">
        <f t="shared" si="1"/>
        <v>3109325916862373.5</v>
      </c>
      <c r="O10">
        <f t="shared" si="2"/>
        <v>1.0555147058823529</v>
      </c>
    </row>
    <row r="11" spans="1:15" x14ac:dyDescent="0.2">
      <c r="A11">
        <f>VLOOKUP(B11,Leonard2010!D:CC,78,FALSE)</f>
        <v>302</v>
      </c>
      <c r="B11" t="s">
        <v>3</v>
      </c>
      <c r="C11">
        <f>IF(A11&lt;600,VLOOKUP(B11,FaultGeometry!B:C,2,FALSE),VLOOKUP(B11,MultiFaultGeometry!B:C,2,FALSE))</f>
        <v>1</v>
      </c>
      <c r="D11">
        <f>IF(A11&gt;600,VLOOKUP(B11,Leonard2010!F:L,7,FALSE),VLOOKUP(A11,Leonard2010!A:J,10,FALSE))</f>
        <v>127</v>
      </c>
      <c r="E11">
        <f>$C11*IF($A11&lt;600,(VLOOKUP($B11,FaultGeometry!$B:$P,13,FALSE)),VLOOKUP($B11,MultiFaultGeometry!$B:$G,4,FALSE))</f>
        <v>0.24826003176656056</v>
      </c>
      <c r="F11">
        <f>$C11*IF($A11&lt;600,(VLOOKUP($B11,FaultGeometry!$B:$P,14,FALSE)),VLOOKUP($B11,MultiFaultGeometry!$B:$G,5,FALSE))</f>
        <v>0.80550693463341816</v>
      </c>
      <c r="G11">
        <f>$C11*IF($A11&lt;600,(VLOOKUP($B11,FaultGeometry!$B:$P,15,FALSE)),VLOOKUP($B11,MultiFaultGeometry!$B:$G,6,FALSE))</f>
        <v>0.43207842206346375</v>
      </c>
      <c r="H11" t="str">
        <f>IF(A11&lt;600,VLOOKUP(B11,Leonard2010!D:S,16,FALSE),VLOOKUP(B11,Leonard2010!F:W,18,FALSE))</f>
        <v>N</v>
      </c>
      <c r="I11" s="49">
        <f>IF(A11&lt;600,VLOOKUP(B11,Leonard2010!D:U,18,FALSE),VLOOKUP(B11,Leonard2010!F:Y,21,FALSE))</f>
        <v>6310.7637171073766</v>
      </c>
      <c r="J11" t="s">
        <v>211</v>
      </c>
      <c r="K11">
        <f>IF(J11="Y","TBC",IF(A11&lt;600,VLOOKUP(A11,FaultGeometry!A:F,6,FALSE)*((35-VLOOKUP(A11,FaultGeometry!A:K,11,FALSE))/SIN(RADIANS(VLOOKUP(A11,FaultGeometry!A:H,8,FALSE)))),VLOOKUP(A11,MultiFaultGeometry!A:D,4,FALSE)*((35-VLOOKUP(B11,Leonard2010!F:R,13,FALSE))/SIN(RADIANS(VLOOKUP(B11,Leonard2010!F:Q,9,FALSE))))))</f>
        <v>6310.7637171073766</v>
      </c>
      <c r="L11" s="49">
        <f>IF(A11&lt;600,VLOOKUP(B11,Leonard2010!D:BH,57,FALSE),VLOOKUP(B11,Leonard2010!F:BS,66,FALSE))</f>
        <v>7.8322802776133074</v>
      </c>
      <c r="M11">
        <f t="shared" si="0"/>
        <v>1.6775100991977763E+17</v>
      </c>
      <c r="N11">
        <f t="shared" si="1"/>
        <v>1.6775100991977763E+17</v>
      </c>
      <c r="O11">
        <f t="shared" si="2"/>
        <v>1</v>
      </c>
    </row>
    <row r="12" spans="1:15" x14ac:dyDescent="0.2">
      <c r="A12">
        <f>VLOOKUP(B12,Leonard2010!D:CC,78,FALSE)</f>
        <v>331</v>
      </c>
      <c r="B12" t="s">
        <v>15</v>
      </c>
      <c r="C12">
        <f>IF(A12&lt;600,VLOOKUP(B12,FaultGeometry!B:C,2,FALSE),VLOOKUP(B12,MultiFaultGeometry!B:C,2,FALSE))</f>
        <v>1</v>
      </c>
      <c r="D12">
        <f>IF(A12&gt;600,VLOOKUP(B12,Leonard2010!F:L,7,FALSE),VLOOKUP(A12,Leonard2010!A:J,10,FALSE))</f>
        <v>208</v>
      </c>
      <c r="E12">
        <f>$C12*IF($A12&lt;600,(VLOOKUP($B12,FaultGeometry!$B:$P,13,FALSE)),VLOOKUP($B12,MultiFaultGeometry!$B:$G,4,FALSE))</f>
        <v>2.8741753885153346E-3</v>
      </c>
      <c r="F12">
        <f>$C12*IF($A12&lt;600,(VLOOKUP($B12,FaultGeometry!$B:$P,14,FALSE)),VLOOKUP($B12,MultiFaultGeometry!$B:$G,5,FALSE))</f>
        <v>3.2517079840730774E-2</v>
      </c>
      <c r="G12">
        <f>$C12*IF($A12&lt;600,(VLOOKUP($B12,FaultGeometry!$B:$P,15,FALSE)),VLOOKUP($B12,MultiFaultGeometry!$B:$G,6,FALSE))</f>
        <v>2.7674935457023833E-2</v>
      </c>
      <c r="H12" t="str">
        <f>IF(A12&lt;600,VLOOKUP(B12,Leonard2010!D:S,16,FALSE),VLOOKUP(B12,Leonard2010!F:W,18,FALSE))</f>
        <v>Y</v>
      </c>
      <c r="I12" s="49">
        <f>IF(A12&lt;600,VLOOKUP(B12,Leonard2010!D:U,18,FALSE),VLOOKUP(B12,Leonard2010!F:Y,21,FALSE))</f>
        <v>149.15650625550674</v>
      </c>
      <c r="J12" t="s">
        <v>211</v>
      </c>
      <c r="K12">
        <f>IF(J12="Y","TBC",IF(A12&lt;600,VLOOKUP(A12,FaultGeometry!A:F,6,FALSE)*((35-VLOOKUP(A12,FaultGeometry!A:K,11,FALSE))/SIN(RADIANS(VLOOKUP(A12,FaultGeometry!A:H,8,FALSE)))),VLOOKUP(A12,MultiFaultGeometry!A:D,4,FALSE)*((35-VLOOKUP(B12,Leonard2010!F:R,13,FALSE))/SIN(RADIANS(VLOOKUP(B12,Leonard2010!F:Q,9,FALSE))))))</f>
        <v>631.0763717107377</v>
      </c>
      <c r="L12" s="49">
        <f>IF(A12&lt;600,VLOOKUP(B12,Leonard2010!D:BH,57,FALSE),VLOOKUP(B12,Leonard2010!F:BS,66,FALSE))</f>
        <v>6.2058405598415076</v>
      </c>
      <c r="M12">
        <f t="shared" si="0"/>
        <v>160054422748267.47</v>
      </c>
      <c r="N12">
        <f t="shared" si="1"/>
        <v>677185105229052.75</v>
      </c>
      <c r="O12">
        <f t="shared" si="2"/>
        <v>4.2309677770924514</v>
      </c>
    </row>
    <row r="13" spans="1:15" x14ac:dyDescent="0.2">
      <c r="A13">
        <f>VLOOKUP(B13,Leonard2010!D:CC,78,FALSE)</f>
        <v>317</v>
      </c>
      <c r="B13" t="s">
        <v>7</v>
      </c>
      <c r="C13">
        <f>IF(A13&lt;600,VLOOKUP(B13,FaultGeometry!B:C,2,FALSE),VLOOKUP(B13,MultiFaultGeometry!B:C,2,FALSE))</f>
        <v>1</v>
      </c>
      <c r="D13">
        <f>IF(A13&gt;600,VLOOKUP(B13,Leonard2010!F:L,7,FALSE),VLOOKUP(A13,Leonard2010!A:J,10,FALSE))</f>
        <v>360</v>
      </c>
      <c r="E13">
        <f>$C13*IF($A13&lt;600,(VLOOKUP($B13,FaultGeometry!$B:$P,13,FALSE)),VLOOKUP($B13,MultiFaultGeometry!$B:$G,4,FALSE))</f>
        <v>6.709075310715496E-3</v>
      </c>
      <c r="F13">
        <f>$C13*IF($A13&lt;600,(VLOOKUP($B13,FaultGeometry!$B:$P,14,FALSE)),VLOOKUP($B13,MultiFaultGeometry!$B:$G,5,FALSE))</f>
        <v>4.7943014128407603E-2</v>
      </c>
      <c r="G13">
        <f>$C13*IF($A13&lt;600,(VLOOKUP($B13,FaultGeometry!$B:$P,15,FALSE)),VLOOKUP($B13,MultiFaultGeometry!$B:$G,6,FALSE))</f>
        <v>3.6269781121626085E-2</v>
      </c>
      <c r="H13" t="str">
        <f>IF(A13&lt;600,VLOOKUP(B13,Leonard2010!D:S,16,FALSE),VLOOKUP(B13,Leonard2010!F:W,18,FALSE))</f>
        <v>N</v>
      </c>
      <c r="I13" s="49">
        <f>IF(A13&lt;600,VLOOKUP(B13,Leonard2010!D:U,18,FALSE),VLOOKUP(B13,Leonard2010!F:Y,21,FALSE))</f>
        <v>144.01351032968788</v>
      </c>
      <c r="J13" t="s">
        <v>308</v>
      </c>
      <c r="K13">
        <v>240</v>
      </c>
      <c r="L13" s="49">
        <f>IF(A13&lt;600,VLOOKUP(B13,Leonard2010!D:BH,57,FALSE),VLOOKUP(B13,Leonard2010!F:BS,66,FALSE))</f>
        <v>6.1906015941083936</v>
      </c>
      <c r="M13">
        <f t="shared" si="0"/>
        <v>227846578093787.41</v>
      </c>
      <c r="N13">
        <f t="shared" si="1"/>
        <v>379708671896988.19</v>
      </c>
      <c r="O13">
        <f t="shared" si="2"/>
        <v>1.6665103117795805</v>
      </c>
    </row>
    <row r="14" spans="1:15" x14ac:dyDescent="0.2">
      <c r="A14">
        <f>VLOOKUP(B14,Leonard2010!D:CC,78,FALSE)</f>
        <v>320</v>
      </c>
      <c r="B14" t="s">
        <v>248</v>
      </c>
      <c r="C14">
        <f>IF(A14&lt;600,VLOOKUP(B14,FaultGeometry!B:C,2,FALSE),VLOOKUP(B14,MultiFaultGeometry!B:C,2,FALSE))</f>
        <v>0.5</v>
      </c>
      <c r="D14">
        <f>IF(A14&gt;600,VLOOKUP(B14,Leonard2010!F:L,7,FALSE),VLOOKUP(A14,Leonard2010!A:J,10,FALSE))</f>
        <v>358</v>
      </c>
      <c r="E14">
        <f>$C14*IF($A14&lt;600,(VLOOKUP($B14,FaultGeometry!$B:$P,13,FALSE)),VLOOKUP($B14,MultiFaultGeometry!$B:$G,4,FALSE))</f>
        <v>3.4970656412622318E-3</v>
      </c>
      <c r="F14">
        <f>$C14*IF($A14&lt;600,(VLOOKUP($B14,FaultGeometry!$B:$P,14,FALSE)),VLOOKUP($B14,MultiFaultGeometry!$B:$G,5,FALSE))</f>
        <v>2.3936193343298901E-2</v>
      </c>
      <c r="G14">
        <f>$C14*IF($A14&lt;600,(VLOOKUP($B14,FaultGeometry!$B:$P,15,FALSE)),VLOOKUP($B14,MultiFaultGeometry!$B:$G,6,FALSE))</f>
        <v>1.8265766806985533E-2</v>
      </c>
      <c r="H14" t="str">
        <f>IF(A14&lt;600,VLOOKUP(B14,Leonard2010!D:S,16,FALSE),VLOOKUP(B14,Leonard2010!F:W,18,FALSE))</f>
        <v>N</v>
      </c>
      <c r="I14" s="49">
        <f>IF(A14&lt;600,VLOOKUP(B14,Leonard2010!D:U,18,FALSE),VLOOKUP(B14,Leonard2010!F:Y,21,FALSE))</f>
        <v>1438.7195690046478</v>
      </c>
      <c r="J14" t="s">
        <v>308</v>
      </c>
      <c r="K14">
        <v>2175</v>
      </c>
      <c r="L14" s="49">
        <f>IF(A14&lt;600,VLOOKUP(B14,Leonard2010!D:BH,57,FALSE),VLOOKUP(B14,Leonard2010!F:BS,66,FALSE))</f>
        <v>7.1901745084430289</v>
      </c>
      <c r="M14">
        <f t="shared" si="0"/>
        <v>1136436502425936.2</v>
      </c>
      <c r="N14">
        <f t="shared" si="1"/>
        <v>1718020277215278.5</v>
      </c>
      <c r="O14">
        <f t="shared" si="2"/>
        <v>1.5117609066127697</v>
      </c>
    </row>
    <row r="15" spans="1:15" x14ac:dyDescent="0.2">
      <c r="A15">
        <f>VLOOKUP(B15,Leonard2010!D:CC,78,FALSE)</f>
        <v>321</v>
      </c>
      <c r="B15" t="s">
        <v>251</v>
      </c>
      <c r="C15">
        <f>IF(A15&lt;600,VLOOKUP(B15,FaultGeometry!B:C,2,FALSE),VLOOKUP(B15,MultiFaultGeometry!B:C,2,FALSE))</f>
        <v>0.5</v>
      </c>
      <c r="D15">
        <f>IF(A15&gt;600,VLOOKUP(B15,Leonard2010!F:L,7,FALSE),VLOOKUP(A15,Leonard2010!A:J,10,FALSE))</f>
        <v>6</v>
      </c>
      <c r="E15">
        <f>$C15*IF($A15&lt;600,(VLOOKUP($B15,FaultGeometry!$B:$P,13,FALSE)),VLOOKUP($B15,MultiFaultGeometry!$B:$G,4,FALSE))</f>
        <v>2.9031510459843505E-3</v>
      </c>
      <c r="F15">
        <f>$C15*IF($A15&lt;600,(VLOOKUP($B15,FaultGeometry!$B:$P,14,FALSE)),VLOOKUP($B15,MultiFaultGeometry!$B:$G,5,FALSE))</f>
        <v>2.3018176261696149E-2</v>
      </c>
      <c r="G15">
        <f>$C15*IF($A15&lt;600,(VLOOKUP($B15,FaultGeometry!$B:$P,15,FALSE)),VLOOKUP($B15,MultiFaultGeometry!$B:$G,6,FALSE))</f>
        <v>1.7861183654671237E-2</v>
      </c>
      <c r="H15" t="str">
        <f>IF(A15&lt;600,VLOOKUP(B15,Leonard2010!D:S,16,FALSE),VLOOKUP(B15,Leonard2010!F:W,18,FALSE))</f>
        <v>N</v>
      </c>
      <c r="I15" s="49">
        <f>IF(A15&lt;600,VLOOKUP(B15,Leonard2010!D:U,18,FALSE),VLOOKUP(B15,Leonard2010!F:Y,21,FALSE))</f>
        <v>1235.4390286518824</v>
      </c>
      <c r="J15" t="s">
        <v>308</v>
      </c>
      <c r="K15">
        <v>1979</v>
      </c>
      <c r="L15" s="49">
        <f>IF(A15&lt;600,VLOOKUP(B15,Leonard2010!D:BH,57,FALSE),VLOOKUP(B15,Leonard2010!F:BS,66,FALSE))</f>
        <v>7.1240196746424758</v>
      </c>
      <c r="M15">
        <f t="shared" si="0"/>
        <v>938439259628894.38</v>
      </c>
      <c r="N15">
        <f t="shared" si="1"/>
        <v>1503248037122590.2</v>
      </c>
      <c r="O15">
        <f t="shared" si="2"/>
        <v>1.6018597066335964</v>
      </c>
    </row>
    <row r="16" spans="1:15" x14ac:dyDescent="0.2">
      <c r="A16">
        <f>VLOOKUP(B16,Leonard2010!D:CC,78,FALSE)</f>
        <v>322</v>
      </c>
      <c r="B16" t="s">
        <v>218</v>
      </c>
      <c r="C16">
        <f>IF(A16&lt;600,VLOOKUP(B16,FaultGeometry!B:C,2,FALSE),VLOOKUP(B16,MultiFaultGeometry!B:C,2,FALSE))</f>
        <v>1</v>
      </c>
      <c r="D16">
        <f>IF(A16&gt;600,VLOOKUP(B16,Leonard2010!F:L,7,FALSE),VLOOKUP(A16,Leonard2010!A:J,10,FALSE))</f>
        <v>9</v>
      </c>
      <c r="E16">
        <f>$C16*IF($A16&lt;600,(VLOOKUP($B16,FaultGeometry!$B:$P,13,FALSE)),VLOOKUP($B16,MultiFaultGeometry!$B:$G,4,FALSE))</f>
        <v>5.59749774112305E-3</v>
      </c>
      <c r="F16">
        <f>$C16*IF($A16&lt;600,(VLOOKUP($B16,FaultGeometry!$B:$P,14,FALSE)),VLOOKUP($B16,MultiFaultGeometry!$B:$G,5,FALSE))</f>
        <v>4.0497100421336529E-2</v>
      </c>
      <c r="G16">
        <f>$C16*IF($A16&lt;600,(VLOOKUP($B16,FaultGeometry!$B:$P,15,FALSE)),VLOOKUP($B16,MultiFaultGeometry!$B:$G,6,FALSE))</f>
        <v>3.0207736536341054E-2</v>
      </c>
      <c r="H16" t="str">
        <f>IF(A16&lt;600,VLOOKUP(B16,Leonard2010!D:S,16,FALSE),VLOOKUP(B16,Leonard2010!F:W,18,FALSE))</f>
        <v>N</v>
      </c>
      <c r="I16" s="49">
        <f>IF(A16&lt;600,VLOOKUP(B16,Leonard2010!D:U,18,FALSE),VLOOKUP(B16,Leonard2010!F:Y,21,FALSE))</f>
        <v>142.31525047231068</v>
      </c>
      <c r="J16" t="s">
        <v>211</v>
      </c>
      <c r="K16">
        <f>IF(J16="Y","TBC",IF(A16&lt;600,VLOOKUP(A16,FaultGeometry!A:F,6,FALSE)*((35-VLOOKUP(A16,FaultGeometry!A:K,11,FALSE))/SIN(RADIANS(VLOOKUP(A16,FaultGeometry!A:H,8,FALSE)))),VLOOKUP(A16,MultiFaultGeometry!A:D,4,FALSE)*((35-VLOOKUP(B16,Leonard2010!F:R,13,FALSE))/SIN(RADIANS(VLOOKUP(B16,Leonard2010!F:Q,9,FALSE))))))</f>
        <v>613.54647249655056</v>
      </c>
      <c r="L16" s="49">
        <f>IF(A16&lt;600,VLOOKUP(B16,Leonard2010!D:BH,57,FALSE),VLOOKUP(B16,Leonard2010!F:BS,66,FALSE))</f>
        <v>6.1854497991464896</v>
      </c>
      <c r="M16">
        <f t="shared" si="0"/>
        <v>190190714665539.28</v>
      </c>
      <c r="N16">
        <f t="shared" si="1"/>
        <v>819946152625036.75</v>
      </c>
      <c r="O16">
        <f t="shared" si="2"/>
        <v>4.3111786717188414</v>
      </c>
    </row>
    <row r="17" spans="1:15" x14ac:dyDescent="0.2">
      <c r="A17">
        <f>VLOOKUP(B17,Leonard2010!D:CC,78,FALSE)</f>
        <v>327</v>
      </c>
      <c r="B17" t="s">
        <v>256</v>
      </c>
      <c r="C17">
        <f>IF(A17&lt;600,VLOOKUP(B17,FaultGeometry!B:C,2,FALSE),VLOOKUP(B17,MultiFaultGeometry!B:C,2,FALSE))</f>
        <v>0.5</v>
      </c>
      <c r="D17">
        <f>IF(A17&gt;600,VLOOKUP(B17,Leonard2010!F:L,7,FALSE),VLOOKUP(A17,Leonard2010!A:J,10,FALSE))</f>
        <v>342</v>
      </c>
      <c r="E17">
        <f>$C17*IF($A17&lt;600,(VLOOKUP($B17,FaultGeometry!$B:$P,13,FALSE)),VLOOKUP($B17,MultiFaultGeometry!$B:$G,4,FALSE))</f>
        <v>8.2123193446920803E-2</v>
      </c>
      <c r="F17">
        <f>$C17*IF($A17&lt;600,(VLOOKUP($B17,FaultGeometry!$B:$P,14,FALSE)),VLOOKUP($B17,MultiFaultGeometry!$B:$G,5,FALSE))</f>
        <v>0.20879941062466337</v>
      </c>
      <c r="G17">
        <f>$C17*IF($A17&lt;600,(VLOOKUP($B17,FaultGeometry!$B:$P,15,FALSE)),VLOOKUP($B17,MultiFaultGeometry!$B:$G,6,FALSE))</f>
        <v>9.6209729895164742E-2</v>
      </c>
      <c r="H17" t="str">
        <f>IF(A17&lt;600,VLOOKUP(B17,Leonard2010!D:S,16,FALSE),VLOOKUP(B17,Leonard2010!F:W,18,FALSE))</f>
        <v>N</v>
      </c>
      <c r="I17" s="49">
        <f>IF(A17&lt;600,VLOOKUP(B17,Leonard2010!D:U,18,FALSE),VLOOKUP(B17,Leonard2010!F:Y,21,FALSE))</f>
        <v>4207.1707314687465</v>
      </c>
      <c r="J17" t="s">
        <v>211</v>
      </c>
      <c r="K17">
        <f>IF(J17="Y","TBC",IF(A17&lt;600,VLOOKUP(A17,FaultGeometry!A:F,6,FALSE)*((35-VLOOKUP(A17,FaultGeometry!A:K,11,FALSE))/SIN(RADIANS(VLOOKUP(A17,FaultGeometry!A:H,8,FALSE)))),VLOOKUP(A17,MultiFaultGeometry!A:D,4,FALSE)*((35-VLOOKUP(B17,Leonard2010!F:R,13,FALSE))/SIN(RADIANS(VLOOKUP(B17,Leonard2010!F:Q,9,FALSE))))))</f>
        <v>4680.4830901879714</v>
      </c>
      <c r="L17" s="49">
        <f>IF(A17&lt;600,VLOOKUP(B17,Leonard2010!D:BH,57,FALSE),VLOOKUP(B17,Leonard2010!F:BS,66,FALSE))</f>
        <v>7.6561884941703227</v>
      </c>
      <c r="M17">
        <f t="shared" si="0"/>
        <v>2.8989007381224268E+16</v>
      </c>
      <c r="N17">
        <f t="shared" si="1"/>
        <v>3.2250309652108396E+16</v>
      </c>
      <c r="O17">
        <f t="shared" si="2"/>
        <v>1.1125013432849178</v>
      </c>
    </row>
    <row r="18" spans="1:15" x14ac:dyDescent="0.2">
      <c r="A18">
        <f>VLOOKUP(B18,Leonard2010!D:CC,78,FALSE)</f>
        <v>328</v>
      </c>
      <c r="B18" t="s">
        <v>258</v>
      </c>
      <c r="C18">
        <f>IF(A18&lt;600,VLOOKUP(B18,FaultGeometry!B:C,2,FALSE),VLOOKUP(B18,MultiFaultGeometry!B:C,2,FALSE))</f>
        <v>0.5</v>
      </c>
      <c r="D18">
        <f>IF(A18&gt;600,VLOOKUP(B18,Leonard2010!F:L,7,FALSE),VLOOKUP(A18,Leonard2010!A:J,10,FALSE))</f>
        <v>342</v>
      </c>
      <c r="E18">
        <f>$C18*IF($A18&lt;600,(VLOOKUP($B18,FaultGeometry!$B:$P,13,FALSE)),VLOOKUP($B18,MultiFaultGeometry!$B:$G,4,FALSE))</f>
        <v>8.2123193446920803E-2</v>
      </c>
      <c r="F18">
        <f>$C18*IF($A18&lt;600,(VLOOKUP($B18,FaultGeometry!$B:$P,14,FALSE)),VLOOKUP($B18,MultiFaultGeometry!$B:$G,5,FALSE))</f>
        <v>0.20861327529065152</v>
      </c>
      <c r="G18">
        <f>$C18*IF($A18&lt;600,(VLOOKUP($B18,FaultGeometry!$B:$P,15,FALSE)),VLOOKUP($B18,MultiFaultGeometry!$B:$G,6,FALSE))</f>
        <v>9.5809500425279803E-2</v>
      </c>
      <c r="H18" t="str">
        <f>IF(A18&lt;600,VLOOKUP(B18,Leonard2010!D:S,16,FALSE),VLOOKUP(B18,Leonard2010!F:W,18,FALSE))</f>
        <v>N</v>
      </c>
      <c r="I18" s="49">
        <f>IF(A18&lt;600,VLOOKUP(B18,Leonard2010!D:U,18,FALSE),VLOOKUP(B18,Leonard2010!F:Y,21,FALSE))</f>
        <v>5208.7781424717959</v>
      </c>
      <c r="J18" t="s">
        <v>211</v>
      </c>
      <c r="K18">
        <f>IF(J18="Y","TBC",IF(A18&lt;600,VLOOKUP(A18,FaultGeometry!A:F,6,FALSE)*((35-VLOOKUP(A18,FaultGeometry!A:K,11,FALSE))/SIN(RADIANS(VLOOKUP(A18,FaultGeometry!A:H,8,FALSE)))),VLOOKUP(A18,MultiFaultGeometry!A:D,4,FALSE)*((35-VLOOKUP(B18,Leonard2010!F:R,13,FALSE))/SIN(RADIANS(VLOOKUP(B18,Leonard2010!F:Q,9,FALSE))))))</f>
        <v>5320.3244115058033</v>
      </c>
      <c r="L18" s="49">
        <f>IF(A18&lt;600,VLOOKUP(B18,Leonard2010!D:BH,57,FALSE),VLOOKUP(B18,Leonard2010!F:BS,66,FALSE))</f>
        <v>7.7489342175814899</v>
      </c>
      <c r="M18">
        <f t="shared" si="0"/>
        <v>3.5858468862592108E+16</v>
      </c>
      <c r="N18">
        <f t="shared" si="1"/>
        <v>3.6626379936070104E+16</v>
      </c>
      <c r="O18">
        <f t="shared" si="2"/>
        <v>1.021415054737016</v>
      </c>
    </row>
    <row r="19" spans="1:15" x14ac:dyDescent="0.2">
      <c r="A19">
        <f>VLOOKUP(B19,Leonard2010!D:CC,78,FALSE)</f>
        <v>310</v>
      </c>
      <c r="B19" t="s">
        <v>433</v>
      </c>
      <c r="C19">
        <f>IF(A19&lt;600,VLOOKUP(B19,FaultGeometry!B:C,2,FALSE),VLOOKUP(B19,MultiFaultGeometry!B:C,2,FALSE))</f>
        <v>0.25</v>
      </c>
      <c r="D19">
        <f>IF(A19&gt;600,VLOOKUP(B19,Leonard2010!F:L,7,FALSE),VLOOKUP(A19,Leonard2010!A:J,10,FALSE))</f>
        <v>146</v>
      </c>
      <c r="E19">
        <f>$C19*IF($A19&lt;600,(VLOOKUP($B19,FaultGeometry!$B:$P,13,FALSE)),VLOOKUP($B19,MultiFaultGeometry!$B:$G,4,FALSE))</f>
        <v>4.0049072007842502E-2</v>
      </c>
      <c r="F19">
        <f>$C19*IF($A19&lt;600,(VLOOKUP($B19,FaultGeometry!$B:$P,14,FALSE)),VLOOKUP($B19,MultiFaultGeometry!$B:$G,5,FALSE))</f>
        <v>0.14242963525800856</v>
      </c>
      <c r="G19">
        <f>$C19*IF($A19&lt;600,(VLOOKUP($B19,FaultGeometry!$B:$P,15,FALSE)),VLOOKUP($B19,MultiFaultGeometry!$B:$G,6,FALSE))</f>
        <v>8.280830183400964E-2</v>
      </c>
      <c r="H19" t="str">
        <f>IF(A19&lt;600,VLOOKUP(B19,Leonard2010!D:S,16,FALSE),VLOOKUP(B19,Leonard2010!F:W,18,FALSE))</f>
        <v>N</v>
      </c>
      <c r="I19" s="49">
        <f>IF(A19&lt;600,VLOOKUP(B19,Leonard2010!D:U,18,FALSE),VLOOKUP(B19,Leonard2010!F:Y,21,FALSE))</f>
        <v>3467.4130304069204</v>
      </c>
      <c r="J19" t="s">
        <v>211</v>
      </c>
      <c r="K19">
        <f>IF(J19="Y","TBC",IF(A19&lt;600,VLOOKUP(A19,FaultGeometry!A:F,6,FALSE)*((35-VLOOKUP(A19,FaultGeometry!A:K,11,FALSE))/SIN(RADIANS(VLOOKUP(A19,FaultGeometry!A:H,8,FALSE)))),VLOOKUP(A19,MultiFaultGeometry!A:D,4,FALSE)*((35-VLOOKUP(B19,Leonard2010!F:R,13,FALSE))/SIN(RADIANS(VLOOKUP(B19,Leonard2010!F:Q,9,FALSE))))))</f>
        <v>4167.7335381729972</v>
      </c>
      <c r="L19" s="49">
        <f>IF(A19&lt;600,VLOOKUP(B19,Leonard2010!D:BH,57,FALSE),VLOOKUP(B19,Leonard2010!F:BS,66,FALSE))</f>
        <v>7.5722039345784493</v>
      </c>
      <c r="M19">
        <f t="shared" si="0"/>
        <v>1.6297458315920886E+16</v>
      </c>
      <c r="N19">
        <f t="shared" si="1"/>
        <v>1.9589089333920128E+16</v>
      </c>
      <c r="O19">
        <f t="shared" si="2"/>
        <v>1.2019720470635393</v>
      </c>
    </row>
    <row r="20" spans="1:15" x14ac:dyDescent="0.2">
      <c r="A20">
        <f>VLOOKUP(B20,Leonard2010!D:CC,78,FALSE)</f>
        <v>311</v>
      </c>
      <c r="B20" t="s">
        <v>434</v>
      </c>
      <c r="C20">
        <f>IF(A20&lt;600,VLOOKUP(B20,FaultGeometry!B:C,2,FALSE),VLOOKUP(B20,MultiFaultGeometry!B:C,2,FALSE))</f>
        <v>0.25</v>
      </c>
      <c r="D20">
        <f>IF(A20&gt;600,VLOOKUP(B20,Leonard2010!F:L,7,FALSE),VLOOKUP(A20,Leonard2010!A:J,10,FALSE))</f>
        <v>139</v>
      </c>
      <c r="E20">
        <f>$C20*IF($A20&lt;600,(VLOOKUP($B20,FaultGeometry!$B:$P,13,FALSE)),VLOOKUP($B20,MultiFaultGeometry!$B:$G,4,FALSE))</f>
        <v>3.3723322926521637E-2</v>
      </c>
      <c r="F20">
        <f>$C20*IF($A20&lt;600,(VLOOKUP($B20,FaultGeometry!$B:$P,14,FALSE)),VLOOKUP($B20,MultiFaultGeometry!$B:$G,5,FALSE))</f>
        <v>0.13710443291781282</v>
      </c>
      <c r="G20">
        <f>$C20*IF($A20&lt;600,(VLOOKUP($B20,FaultGeometry!$B:$P,15,FALSE)),VLOOKUP($B20,MultiFaultGeometry!$B:$G,6,FALSE))</f>
        <v>8.2172080435377326E-2</v>
      </c>
      <c r="H20" t="str">
        <f>IF(A20&lt;600,VLOOKUP(B20,Leonard2010!D:S,16,FALSE),VLOOKUP(B20,Leonard2010!F:W,18,FALSE))</f>
        <v>N</v>
      </c>
      <c r="I20" s="49">
        <f>IF(A20&lt;600,VLOOKUP(B20,Leonard2010!D:U,18,FALSE),VLOOKUP(B20,Leonard2010!F:Y,21,FALSE))</f>
        <v>863.55128504148388</v>
      </c>
      <c r="J20" t="s">
        <v>211</v>
      </c>
      <c r="K20">
        <f>IF(J20="Y","TBC",IF(A20&lt;600,VLOOKUP(A20,FaultGeometry!A:F,6,FALSE)*((35-VLOOKUP(A20,FaultGeometry!A:K,11,FALSE))/SIN(RADIANS(VLOOKUP(A20,FaultGeometry!A:H,8,FALSE)))),VLOOKUP(A20,MultiFaultGeometry!A:D,4,FALSE)*((35-VLOOKUP(B20,Leonard2010!F:R,13,FALSE))/SIN(RADIANS(VLOOKUP(B20,Leonard2010!F:Q,9,FALSE))))))</f>
        <v>1809.9620938648241</v>
      </c>
      <c r="L20" s="49">
        <f>IF(A20&lt;600,VLOOKUP(B20,Leonard2010!D:BH,57,FALSE),VLOOKUP(B20,Leonard2010!F:BS,66,FALSE))</f>
        <v>6.9684864924434278</v>
      </c>
      <c r="M20">
        <f t="shared" si="0"/>
        <v>3907091404625019</v>
      </c>
      <c r="N20">
        <f t="shared" si="1"/>
        <v>8189076273908436</v>
      </c>
      <c r="O20">
        <f t="shared" si="2"/>
        <v>2.0959520589189742</v>
      </c>
    </row>
    <row r="21" spans="1:15" x14ac:dyDescent="0.2">
      <c r="A21">
        <f>VLOOKUP(B21,Leonard2010!D:CC,78,FALSE)</f>
        <v>312</v>
      </c>
      <c r="B21" t="s">
        <v>245</v>
      </c>
      <c r="C21">
        <f>IF(A21&lt;600,VLOOKUP(B21,FaultGeometry!B:C,2,FALSE),VLOOKUP(B21,MultiFaultGeometry!B:C,2,FALSE))</f>
        <v>0.5</v>
      </c>
      <c r="D21">
        <f>IF(A21&gt;600,VLOOKUP(B21,Leonard2010!F:L,7,FALSE),VLOOKUP(A21,Leonard2010!A:J,10,FALSE))</f>
        <v>142</v>
      </c>
      <c r="E21">
        <f>$C21*IF($A21&lt;600,(VLOOKUP($B21,FaultGeometry!$B:$P,13,FALSE)),VLOOKUP($B21,MultiFaultGeometry!$B:$G,4,FALSE))</f>
        <v>7.3003208947684015E-2</v>
      </c>
      <c r="F21">
        <f>$C21*IF($A21&lt;600,(VLOOKUP($B21,FaultGeometry!$B:$P,14,FALSE)),VLOOKUP($B21,MultiFaultGeometry!$B:$G,5,FALSE))</f>
        <v>0.2777892263839063</v>
      </c>
      <c r="G21">
        <f>$C21*IF($A21&lt;600,(VLOOKUP($B21,FaultGeometry!$B:$P,15,FALSE)),VLOOKUP($B21,MultiFaultGeometry!$B:$G,6,FALSE))</f>
        <v>0.16262117706075535</v>
      </c>
      <c r="H21" t="str">
        <f>IF(A21&lt;600,VLOOKUP(B21,Leonard2010!D:S,16,FALSE),VLOOKUP(B21,Leonard2010!F:W,18,FALSE))</f>
        <v>N</v>
      </c>
      <c r="I21" s="49">
        <f>IF(A21&lt;600,VLOOKUP(B21,Leonard2010!D:U,18,FALSE),VLOOKUP(B21,Leonard2010!F:Y,21,FALSE))</f>
        <v>2236.4902555655462</v>
      </c>
      <c r="J21" t="s">
        <v>211</v>
      </c>
      <c r="K21">
        <f>IF(J21="Y","TBC",IF(A21&lt;600,VLOOKUP(A21,FaultGeometry!A:F,6,FALSE)*((35-VLOOKUP(A21,FaultGeometry!A:K,11,FALSE))/SIN(RADIANS(VLOOKUP(A21,FaultGeometry!A:H,8,FALSE)))),VLOOKUP(A21,MultiFaultGeometry!A:D,4,FALSE)*((35-VLOOKUP(B21,Leonard2010!F:R,13,FALSE))/SIN(RADIANS(VLOOKUP(B21,Leonard2010!F:Q,9,FALSE))))))</f>
        <v>3203.5890813927031</v>
      </c>
      <c r="L21" s="49">
        <f>IF(A21&lt;600,VLOOKUP(B21,Leonard2010!D:BH,57,FALSE),VLOOKUP(B21,Leonard2010!F:BS,66,FALSE))</f>
        <v>7.3817653679458601</v>
      </c>
      <c r="M21">
        <f t="shared" si="0"/>
        <v>2.0502005630987032E+16</v>
      </c>
      <c r="N21">
        <f t="shared" si="1"/>
        <v>2.9367443574876264E+16</v>
      </c>
      <c r="O21">
        <f t="shared" si="2"/>
        <v>1.4324180815992889</v>
      </c>
    </row>
    <row r="22" spans="1:15" x14ac:dyDescent="0.2">
      <c r="A22">
        <f>VLOOKUP(B22,Leonard2010!D:CC,78,FALSE)</f>
        <v>332</v>
      </c>
      <c r="B22" s="13" t="s">
        <v>440</v>
      </c>
      <c r="C22">
        <f>IF(A22&lt;600,VLOOKUP(B22,FaultGeometry!B:C,2,FALSE),VLOOKUP(B22,MultiFaultGeometry!B:C,2,FALSE))</f>
        <v>1</v>
      </c>
      <c r="D22">
        <f>IF(A22&gt;600,VLOOKUP(B22,Leonard2010!F:L,7,FALSE),VLOOKUP(A22,Leonard2010!A:J,10,FALSE))</f>
        <v>159</v>
      </c>
      <c r="E22">
        <f>$C22*IF($A22&lt;600,(VLOOKUP($B22,FaultGeometry!$B:$P,13,FALSE)),VLOOKUP($B22,MultiFaultGeometry!$B:$G,4,FALSE))</f>
        <v>7.9725361529109015E-3</v>
      </c>
      <c r="F22">
        <f>$C22*IF($A22&lt;600,(VLOOKUP($B22,FaultGeometry!$B:$P,14,FALSE)),VLOOKUP($B22,MultiFaultGeometry!$B:$G,5,FALSE))</f>
        <v>4.4649896114576135E-2</v>
      </c>
      <c r="G22">
        <f>$C22*IF($A22&lt;600,(VLOOKUP($B22,FaultGeometry!$B:$P,15,FALSE)),VLOOKUP($B22,MultiFaultGeometry!$B:$G,6,FALSE))</f>
        <v>3.1803451293652536E-2</v>
      </c>
      <c r="H22" t="s">
        <v>211</v>
      </c>
      <c r="I22" s="49">
        <f>IF(A22&lt;600,VLOOKUP(B22,Leonard2010!D:U,18,FALSE),VLOOKUP(B22,Leonard2010!F:Y,21,FALSE))</f>
        <v>224.4232016113346</v>
      </c>
      <c r="J22" t="s">
        <v>308</v>
      </c>
      <c r="K22">
        <v>289</v>
      </c>
      <c r="L22" s="49">
        <f>IF(A22&lt;600,VLOOKUP(B22,Leonard2010!D:BH,57,FALSE),VLOOKUP(B22,Leonard2010!F:BS,66,FALSE))</f>
        <v>6.3832661113653204</v>
      </c>
      <c r="M22">
        <f t="shared" si="0"/>
        <v>330675597042339.94</v>
      </c>
      <c r="N22">
        <f t="shared" si="1"/>
        <v>425826059244712.62</v>
      </c>
      <c r="O22">
        <f t="shared" si="2"/>
        <v>1.287745642718805</v>
      </c>
    </row>
    <row r="23" spans="1:15" x14ac:dyDescent="0.2">
      <c r="A23">
        <f>VLOOKUP(B23,Leonard2010!D:CC,78,FALSE)</f>
        <v>314</v>
      </c>
      <c r="B23" t="s">
        <v>31</v>
      </c>
      <c r="C23">
        <f>IF(A23&lt;600,VLOOKUP(B23,FaultGeometry!B:C,2,FALSE),VLOOKUP(B23,MultiFaultGeometry!B:C,2,FALSE))</f>
        <v>1</v>
      </c>
      <c r="D23">
        <f>IF(A23&gt;600,VLOOKUP(B23,Leonard2010!F:L,7,FALSE),VLOOKUP(A23,Leonard2010!A:J,10,FALSE))</f>
        <v>205</v>
      </c>
      <c r="E23">
        <f>$C23*IF($A23&lt;600,(VLOOKUP($B23,FaultGeometry!$B:$P,13,FALSE)),VLOOKUP($B23,MultiFaultGeometry!$B:$G,4,FALSE))</f>
        <v>3.3612539154819483E-3</v>
      </c>
      <c r="F23">
        <f>$C23*IF($A23&lt;600,(VLOOKUP($B23,FaultGeometry!$B:$P,14,FALSE)),VLOOKUP($B23,MultiFaultGeometry!$B:$G,5,FALSE))</f>
        <v>4.0267063853132661E-2</v>
      </c>
      <c r="G23">
        <f>$C23*IF($A23&lt;600,(VLOOKUP($B23,FaultGeometry!$B:$P,15,FALSE)),VLOOKUP($B23,MultiFaultGeometry!$B:$G,6,FALSE))</f>
        <v>3.426780264833592E-2</v>
      </c>
      <c r="H23" t="str">
        <f>IF(A23&lt;600,VLOOKUP(B23,Leonard2010!D:S,16,FALSE),VLOOKUP(B23,Leonard2010!F:W,18,FALSE))</f>
        <v>N</v>
      </c>
      <c r="I23" s="49">
        <f>IF(A23&lt;600,VLOOKUP(B23,Leonard2010!D:U,18,FALSE),VLOOKUP(B23,Leonard2010!F:Y,21,FALSE))</f>
        <v>2599.2897468231536</v>
      </c>
      <c r="J23" t="s">
        <v>211</v>
      </c>
      <c r="K23">
        <f>IF(J23="Y","TBC",IF(A23&lt;600,VLOOKUP(A23,FaultGeometry!A:F,6,FALSE)*((35-VLOOKUP(A23,FaultGeometry!A:K,11,FALSE))/SIN(RADIANS(VLOOKUP(A23,FaultGeometry!A:H,8,FALSE)))),VLOOKUP(A23,MultiFaultGeometry!A:D,4,FALSE)*((35-VLOOKUP(B23,Leonard2010!F:R,13,FALSE))/SIN(RADIANS(VLOOKUP(B23,Leonard2010!F:Q,9,FALSE))))))</f>
        <v>3505.979842837432</v>
      </c>
      <c r="L23" s="49">
        <f>IF(A23&lt;600,VLOOKUP(B23,Leonard2010!D:BH,57,FALSE),VLOOKUP(B23,Leonard2010!F:BS,66,FALSE))</f>
        <v>7.4470530513359989</v>
      </c>
      <c r="M23">
        <f t="shared" si="0"/>
        <v>3453970284867991</v>
      </c>
      <c r="N23">
        <f t="shared" si="1"/>
        <v>4658791968577919</v>
      </c>
      <c r="O23">
        <f t="shared" si="2"/>
        <v>1.34882224927884</v>
      </c>
    </row>
    <row r="24" spans="1:15" x14ac:dyDescent="0.2">
      <c r="A24">
        <f>VLOOKUP(B24,Leonard2010!D:CC,78,FALSE)</f>
        <v>325</v>
      </c>
      <c r="B24" s="13" t="s">
        <v>235</v>
      </c>
      <c r="C24">
        <f>IF(A24&lt;600,VLOOKUP(B24,FaultGeometry!B:C,2,FALSE),VLOOKUP(B24,MultiFaultGeometry!B:C,2,FALSE))</f>
        <v>1</v>
      </c>
      <c r="D24">
        <f>IF(A24&gt;600,VLOOKUP(B24,Leonard2010!F:L,7,FALSE),VLOOKUP(A24,Leonard2010!A:J,10,FALSE))</f>
        <v>197</v>
      </c>
      <c r="E24">
        <f>$C24*IF($A24&lt;600,(VLOOKUP($B24,FaultGeometry!$B:$P,13,FALSE)),VLOOKUP($B24,MultiFaultGeometry!$B:$G,4,FALSE))</f>
        <v>4.5092273369818723E-3</v>
      </c>
      <c r="F24">
        <f>$C24*IF($A24&lt;600,(VLOOKUP($B24,FaultGeometry!$B:$P,14,FALSE)),VLOOKUP($B24,MultiFaultGeometry!$B:$G,5,FALSE))</f>
        <v>3.7329078005964467E-2</v>
      </c>
      <c r="G24">
        <f>$C24*IF($A24&lt;600,(VLOOKUP($B24,FaultGeometry!$B:$P,15,FALSE)),VLOOKUP($B24,MultiFaultGeometry!$B:$G,6,FALSE))</f>
        <v>2.9526474564144138E-2</v>
      </c>
      <c r="H24" t="str">
        <f>IF(A24&lt;600,VLOOKUP(B24,Leonard2010!D:S,16,FALSE),VLOOKUP(B24,Leonard2010!F:W,18,FALSE))</f>
        <v>N</v>
      </c>
      <c r="I24" s="49">
        <f>IF(A24&lt;600,VLOOKUP(B24,Leonard2010!D:U,18,FALSE),VLOOKUP(B24,Leonard2010!F:Y,21,FALSE))</f>
        <v>140.62505838814229</v>
      </c>
      <c r="J24" t="s">
        <v>308</v>
      </c>
      <c r="K24">
        <v>313</v>
      </c>
      <c r="L24" s="49">
        <f>IF(A24&lt;600,VLOOKUP(B24,Leonard2010!D:BH,57,FALSE),VLOOKUP(B24,Leonard2010!F:BS,66,FALSE))</f>
        <v>6.180261073439584</v>
      </c>
      <c r="M24">
        <f t="shared" si="0"/>
        <v>173230324547420.94</v>
      </c>
      <c r="N24">
        <f t="shared" si="1"/>
        <v>385572046723607</v>
      </c>
      <c r="O24">
        <f t="shared" si="2"/>
        <v>2.2257768536250624</v>
      </c>
    </row>
    <row r="25" spans="1:15" x14ac:dyDescent="0.2">
      <c r="A25">
        <f>VLOOKUP(B25,Leonard2010!D:CC,78,FALSE)</f>
        <v>326</v>
      </c>
      <c r="B25" s="13" t="s">
        <v>236</v>
      </c>
      <c r="C25">
        <f>IF(A25&lt;600,VLOOKUP(B25,FaultGeometry!B:C,2,FALSE),VLOOKUP(B25,MultiFaultGeometry!B:C,2,FALSE))</f>
        <v>1</v>
      </c>
      <c r="D25">
        <f>IF(A25&gt;600,VLOOKUP(B25,Leonard2010!F:L,7,FALSE),VLOOKUP(A25,Leonard2010!A:J,10,FALSE))</f>
        <v>172</v>
      </c>
      <c r="E25">
        <f>$C25*IF($A25&lt;600,(VLOOKUP($B25,FaultGeometry!$B:$P,13,FALSE)),VLOOKUP($B25,MultiFaultGeometry!$B:$G,4,FALSE))</f>
        <v>7.5246888567615773E-3</v>
      </c>
      <c r="F25">
        <f>$C25*IF($A25&lt;600,(VLOOKUP($B25,FaultGeometry!$B:$P,14,FALSE)),VLOOKUP($B25,MultiFaultGeometry!$B:$G,5,FALSE))</f>
        <v>4.3898692952988552E-2</v>
      </c>
      <c r="G25">
        <f>$C25*IF($A25&lt;600,(VLOOKUP($B25,FaultGeometry!$B:$P,15,FALSE)),VLOOKUP($B25,MultiFaultGeometry!$B:$G,6,FALSE))</f>
        <v>3.1521933308519906E-2</v>
      </c>
      <c r="H25" t="str">
        <f>IF(A25&lt;600,VLOOKUP(B25,Leonard2010!D:S,16,FALSE),VLOOKUP(B25,Leonard2010!F:W,18,FALSE))</f>
        <v>Y</v>
      </c>
      <c r="I25" s="49">
        <f>IF(A25&lt;600,VLOOKUP(B25,Leonard2010!D:U,18,FALSE),VLOOKUP(B25,Leonard2010!F:Y,21,FALSE))</f>
        <v>935</v>
      </c>
      <c r="J25" t="s">
        <v>308</v>
      </c>
      <c r="K25" s="49">
        <v>935</v>
      </c>
      <c r="L25" s="49">
        <f>IF(A25&lt;600,VLOOKUP(B25,Leonard2010!D:BH,57,FALSE),VLOOKUP(B25,Leonard2010!F:BS,66,FALSE))</f>
        <v>7.0030099685356504</v>
      </c>
      <c r="M25">
        <f t="shared" si="0"/>
        <v>1354494171064462</v>
      </c>
      <c r="N25">
        <f t="shared" si="1"/>
        <v>1354494171064462</v>
      </c>
      <c r="O25">
        <f t="shared" si="2"/>
        <v>1</v>
      </c>
    </row>
    <row r="26" spans="1:15" x14ac:dyDescent="0.2">
      <c r="A26">
        <f>VLOOKUP(B26,Leonard2010!D:CC,78,FALSE)</f>
        <v>335</v>
      </c>
      <c r="B26" s="52" t="s">
        <v>104</v>
      </c>
      <c r="C26">
        <f>IF(A26&lt;600,VLOOKUP(B26,FaultGeometry!B:C,2,FALSE),VLOOKUP(B26,MultiFaultGeometry!B:C,2,FALSE))</f>
        <v>1</v>
      </c>
      <c r="D26">
        <f>IF(A26&gt;600,VLOOKUP(B26,Leonard2010!F:L,7,FALSE),VLOOKUP(A26,Leonard2010!A:J,10,FALSE))</f>
        <v>351</v>
      </c>
      <c r="E26">
        <f>$C26*IF($A26&lt;600,(VLOOKUP($B26,FaultGeometry!$B:$P,13,FALSE)),VLOOKUP($B26,MultiFaultGeometry!$B:$G,4,FALSE))</f>
        <v>5.2519807290297791E-3</v>
      </c>
      <c r="F26">
        <f>$C26*IF($A26&lt;600,(VLOOKUP($B26,FaultGeometry!$B:$P,14,FALSE)),VLOOKUP($B26,MultiFaultGeometry!$B:$G,5,FALSE))</f>
        <v>7.9632377964045389E-2</v>
      </c>
      <c r="G26">
        <f>$C26*IF($A26&lt;600,(VLOOKUP($B26,FaultGeometry!$B:$P,15,FALSE)),VLOOKUP($B26,MultiFaultGeometry!$B:$G,6,FALSE))</f>
        <v>8.1335568149096094E-2</v>
      </c>
      <c r="H26" t="str">
        <f>IF(A26&lt;600,VLOOKUP(B26,Leonard2010!D:S,16,FALSE),VLOOKUP(B26,Leonard2010!F:W,18,FALSE))</f>
        <v>Y</v>
      </c>
      <c r="I26" s="49">
        <f>IF(A26&lt;600,VLOOKUP(B26,Leonard2010!D:U,18,FALSE),VLOOKUP(B26,Leonard2010!F:Y,21,FALSE))</f>
        <v>184</v>
      </c>
      <c r="J26" t="s">
        <v>308</v>
      </c>
      <c r="K26">
        <v>200</v>
      </c>
      <c r="L26" s="49">
        <f>IF(A26&lt;600,VLOOKUP(B26,Leonard2010!D:BH,57,FALSE),VLOOKUP(B26,Leonard2010!F:BS,66,FALSE))</f>
        <v>6.2970161806726681</v>
      </c>
      <c r="M26">
        <f t="shared" si="0"/>
        <v>483527798997683.56</v>
      </c>
      <c r="N26">
        <f t="shared" si="1"/>
        <v>525573694562699.5</v>
      </c>
      <c r="O26">
        <f t="shared" si="2"/>
        <v>1.0869565217391304</v>
      </c>
    </row>
    <row r="27" spans="1:15" x14ac:dyDescent="0.2">
      <c r="A27">
        <f>VLOOKUP(B27,Leonard2010!D:CC,78,FALSE)</f>
        <v>337</v>
      </c>
      <c r="B27" s="52" t="s">
        <v>267</v>
      </c>
      <c r="C27">
        <f>IF(A27&lt;600,VLOOKUP(B27,FaultGeometry!B:C,2,FALSE),VLOOKUP(B27,MultiFaultGeometry!B:C,2,FALSE))</f>
        <v>0.5</v>
      </c>
      <c r="D27">
        <f>IF(A27&gt;600,VLOOKUP(B27,Leonard2010!F:L,7,FALSE),VLOOKUP(A27,Leonard2010!A:J,10,FALSE))</f>
        <v>159</v>
      </c>
      <c r="E27">
        <f>$C27*IF($A27&lt;600,(VLOOKUP($B27,FaultGeometry!$B:$P,13,FALSE)),VLOOKUP($B27,MultiFaultGeometry!$B:$G,4,FALSE))</f>
        <v>0.10031965299343722</v>
      </c>
      <c r="F27">
        <f>$C27*IF($A27&lt;600,(VLOOKUP($B27,FaultGeometry!$B:$P,14,FALSE)),VLOOKUP($B27,MultiFaultGeometry!$B:$G,5,FALSE))</f>
        <v>0.26257371473058977</v>
      </c>
      <c r="G27">
        <f>$C27*IF($A27&lt;600,(VLOOKUP($B27,FaultGeometry!$B:$P,15,FALSE)),VLOOKUP($B27,MultiFaultGeometry!$B:$G,6,FALSE))</f>
        <v>0.11731303487429195</v>
      </c>
      <c r="H27" t="str">
        <f>IF(A27&lt;600,VLOOKUP(B27,Leonard2010!D:S,16,FALSE),VLOOKUP(B27,Leonard2010!F:W,18,FALSE))</f>
        <v>N</v>
      </c>
      <c r="I27" s="49">
        <f>IF(A27&lt;600,VLOOKUP(B27,Leonard2010!D:U,18,FALSE),VLOOKUP(B27,Leonard2010!F:Y,21,FALSE))</f>
        <v>2960.7260700229572</v>
      </c>
      <c r="J27" t="s">
        <v>211</v>
      </c>
      <c r="K27">
        <f>IF(J27="Y","TBC",IF(A27&lt;600,VLOOKUP(A27,FaultGeometry!A:F,6,FALSE)*((35-VLOOKUP(A27,FaultGeometry!A:K,11,FALSE))/SIN(RADIANS(VLOOKUP(A27,FaultGeometry!A:H,8,FALSE)))),VLOOKUP(A27,MultiFaultGeometry!A:D,4,FALSE)*((35-VLOOKUP(B27,Leonard2010!F:R,13,FALSE))/SIN(RADIANS(VLOOKUP(B27,Leonard2010!F:Q,9,FALSE))))))</f>
        <v>3790.8407050679734</v>
      </c>
      <c r="L27" s="49">
        <f>IF(A27&lt;600,VLOOKUP(B27,Leonard2010!D:BH,57,FALSE),VLOOKUP(B27,Leonard2010!F:BS,66,FALSE))</f>
        <v>7.5035965854574487</v>
      </c>
      <c r="M27">
        <f t="shared" si="0"/>
        <v>2.5654491802685728E+16</v>
      </c>
      <c r="N27">
        <f t="shared" si="1"/>
        <v>3.2847379154093652E+16</v>
      </c>
      <c r="O27">
        <f t="shared" si="2"/>
        <v>1.2803753590883804</v>
      </c>
    </row>
    <row r="28" spans="1:15" x14ac:dyDescent="0.2">
      <c r="A28">
        <f>VLOOKUP(B28,Leonard2010!D:CC,78,FALSE)</f>
        <v>338</v>
      </c>
      <c r="B28" s="52" t="s">
        <v>268</v>
      </c>
      <c r="C28">
        <f>IF(A28&lt;600,VLOOKUP(B28,FaultGeometry!B:C,2,FALSE),VLOOKUP(B28,MultiFaultGeometry!B:C,2,FALSE))</f>
        <v>0.5</v>
      </c>
      <c r="D28">
        <f>IF(A28&gt;600,VLOOKUP(B28,Leonard2010!F:L,7,FALSE),VLOOKUP(A28,Leonard2010!A:J,10,FALSE))</f>
        <v>163</v>
      </c>
      <c r="E28">
        <f>$C28*IF($A28&lt;600,(VLOOKUP($B28,FaultGeometry!$B:$P,13,FALSE)),VLOOKUP($B28,MultiFaultGeometry!$B:$G,4,FALSE))</f>
        <v>0.10364091055477052</v>
      </c>
      <c r="F28">
        <f>$C28*IF($A28&lt;600,(VLOOKUP($B28,FaultGeometry!$B:$P,14,FALSE)),VLOOKUP($B28,MultiFaultGeometry!$B:$G,5,FALSE))</f>
        <v>0.26370196208960395</v>
      </c>
      <c r="G28">
        <f>$C28*IF($A28&lt;600,(VLOOKUP($B28,FaultGeometry!$B:$P,15,FALSE)),VLOOKUP($B28,MultiFaultGeometry!$B:$G,6,FALSE))</f>
        <v>0.11719383630641123</v>
      </c>
      <c r="H28" t="str">
        <f>IF(A28&lt;600,VLOOKUP(B28,Leonard2010!D:S,16,FALSE),VLOOKUP(B28,Leonard2010!F:W,18,FALSE))</f>
        <v>N</v>
      </c>
      <c r="I28" s="49">
        <f>IF(A28&lt;600,VLOOKUP(B28,Leonard2010!D:U,18,FALSE),VLOOKUP(B28,Leonard2010!F:Y,21,FALSE))</f>
        <v>3826.9841107460993</v>
      </c>
      <c r="J28" t="s">
        <v>211</v>
      </c>
      <c r="K28">
        <f>IF(J28="Y","TBC",IF(A28&lt;600,VLOOKUP(A28,FaultGeometry!A:F,6,FALSE)*((35-VLOOKUP(A28,FaultGeometry!A:K,11,FALSE))/SIN(RADIANS(VLOOKUP(A28,FaultGeometry!A:H,8,FALSE)))),VLOOKUP(A28,MultiFaultGeometry!A:D,4,FALSE)*((35-VLOOKUP(B28,Leonard2010!F:R,13,FALSE))/SIN(RADIANS(VLOOKUP(B28,Leonard2010!F:Q,9,FALSE))))))</f>
        <v>4421.9170767787109</v>
      </c>
      <c r="L28" s="49">
        <f>IF(A28&lt;600,VLOOKUP(B28,Leonard2010!D:BH,57,FALSE),VLOOKUP(B28,Leonard2010!F:BS,66,FALSE))</f>
        <v>7.6150550167442761</v>
      </c>
      <c r="M28">
        <f t="shared" si="0"/>
        <v>3.3303046223352992E+16</v>
      </c>
      <c r="N28">
        <f t="shared" si="1"/>
        <v>3.8480250908354376E+16</v>
      </c>
      <c r="O28">
        <f t="shared" si="2"/>
        <v>1.1554573912031803</v>
      </c>
    </row>
    <row r="29" spans="1:15" x14ac:dyDescent="0.2">
      <c r="A29">
        <f>VLOOKUP(B29,Leonard2010!D:CC,78,FALSE)</f>
        <v>339</v>
      </c>
      <c r="B29" s="52" t="s">
        <v>98</v>
      </c>
      <c r="C29">
        <f>IF(A29&lt;600,VLOOKUP(B29,FaultGeometry!B:C,2,FALSE),VLOOKUP(B29,MultiFaultGeometry!B:C,2,FALSE))</f>
        <v>1</v>
      </c>
      <c r="D29">
        <f>IF(A29&gt;600,VLOOKUP(B29,Leonard2010!F:L,7,FALSE),VLOOKUP(A29,Leonard2010!A:J,10,FALSE))</f>
        <v>338</v>
      </c>
      <c r="E29">
        <f>$C29*IF($A29&lt;600,(VLOOKUP($B29,FaultGeometry!$B:$P,13,FALSE)),VLOOKUP($B29,MultiFaultGeometry!$B:$G,4,FALSE))</f>
        <v>5.3019886295555896E-3</v>
      </c>
      <c r="F29">
        <f>$C29*IF($A29&lt;600,(VLOOKUP($B29,FaultGeometry!$B:$P,14,FALSE)),VLOOKUP($B29,MultiFaultGeometry!$B:$G,5,FALSE))</f>
        <v>8.0718840295287253E-2</v>
      </c>
      <c r="G29">
        <f>$C29*IF($A29&lt;600,(VLOOKUP($B29,FaultGeometry!$B:$P,15,FALSE)),VLOOKUP($B29,MultiFaultGeometry!$B:$G,6,FALSE))</f>
        <v>8.1780000371584061E-2</v>
      </c>
      <c r="H29" t="str">
        <f>IF(A29&lt;600,VLOOKUP(B29,Leonard2010!D:S,16,FALSE),VLOOKUP(B29,Leonard2010!F:W,18,FALSE))</f>
        <v>N</v>
      </c>
      <c r="I29" s="49">
        <f>IF(A29&lt;600,VLOOKUP(B29,Leonard2010!D:U,18,FALSE),VLOOKUP(B29,Leonard2010!F:Y,21,FALSE))</f>
        <v>218.3579492034082</v>
      </c>
      <c r="J29" t="s">
        <v>308</v>
      </c>
      <c r="K29">
        <v>414</v>
      </c>
      <c r="L29" s="49">
        <f>IF(A29&lt;600,VLOOKUP(B29,Leonard2010!D:BH,57,FALSE),VLOOKUP(B29,Leonard2010!F:BS,66,FALSE))</f>
        <v>6.3713673644647315</v>
      </c>
      <c r="M29">
        <f t="shared" si="0"/>
        <v>581644814155559.62</v>
      </c>
      <c r="N29">
        <f t="shared" si="1"/>
        <v>1102780796114214.6</v>
      </c>
      <c r="O29">
        <f t="shared" si="2"/>
        <v>1.895969446087554</v>
      </c>
    </row>
    <row r="30" spans="1:15" x14ac:dyDescent="0.2">
      <c r="A30">
        <f>VLOOKUP(B30,Leonard2010!D:CC,78,FALSE)</f>
        <v>343</v>
      </c>
      <c r="B30" s="52" t="s">
        <v>105</v>
      </c>
      <c r="C30">
        <f>IF(A30&lt;600,VLOOKUP(B30,FaultGeometry!B:C,2,FALSE),VLOOKUP(B30,MultiFaultGeometry!B:C,2,FALSE))</f>
        <v>1</v>
      </c>
      <c r="D30">
        <f>IF(A30&gt;600,VLOOKUP(B30,Leonard2010!F:L,7,FALSE),VLOOKUP(A30,Leonard2010!A:J,10,FALSE))</f>
        <v>169</v>
      </c>
      <c r="E30">
        <f>$C30*IF($A30&lt;600,(VLOOKUP($B30,FaultGeometry!$B:$P,13,FALSE)),VLOOKUP($B30,MultiFaultGeometry!$B:$G,4,FALSE))</f>
        <v>5.3503814929833186E-3</v>
      </c>
      <c r="F30">
        <f>$C30*IF($A30&lt;600,(VLOOKUP($B30,FaultGeometry!$B:$P,14,FALSE)),VLOOKUP($B30,MultiFaultGeometry!$B:$G,5,FALSE))</f>
        <v>8.0566066817846782E-2</v>
      </c>
      <c r="G30">
        <f>$C30*IF($A30&lt;600,(VLOOKUP($B30,FaultGeometry!$B:$P,15,FALSE)),VLOOKUP($B30,MultiFaultGeometry!$B:$G,6,FALSE))</f>
        <v>8.1675767894134513E-2</v>
      </c>
      <c r="H30" t="str">
        <f>IF(A30&lt;600,VLOOKUP(B30,Leonard2010!D:S,16,FALSE),VLOOKUP(B30,Leonard2010!F:W,18,FALSE))</f>
        <v>N</v>
      </c>
      <c r="I30" s="49">
        <f>IF(A30&lt;600,VLOOKUP(B30,Leonard2010!D:U,18,FALSE),VLOOKUP(B30,Leonard2010!F:Y,21,FALSE))</f>
        <v>366.60605820782001</v>
      </c>
      <c r="J30" t="s">
        <v>211</v>
      </c>
      <c r="K30">
        <f>IF(J30="Y","TBC",IF(A30&lt;600,VLOOKUP(A30,FaultGeometry!A:F,6,FALSE)*((35-VLOOKUP(A30,FaultGeometry!A:K,11,FALSE))/SIN(RADIANS(VLOOKUP(A30,FaultGeometry!A:H,8,FALSE)))),VLOOKUP(A30,MultiFaultGeometry!A:D,4,FALSE)*((35-VLOOKUP(B30,Leonard2010!F:R,13,FALSE))/SIN(RADIANS(VLOOKUP(B30,Leonard2010!F:Q,9,FALSE))))))</f>
        <v>1082.471276476057</v>
      </c>
      <c r="L30" s="49">
        <f>IF(A30&lt;600,VLOOKUP(B30,Leonard2010!D:BH,57,FALSE),VLOOKUP(B30,Leonard2010!F:BS,66,FALSE))</f>
        <v>6.5963979951155354</v>
      </c>
      <c r="M30">
        <f t="shared" si="0"/>
        <v>974688269986155.5</v>
      </c>
      <c r="N30">
        <f t="shared" si="1"/>
        <v>2877944955236007</v>
      </c>
      <c r="O30">
        <f t="shared" si="2"/>
        <v>2.9526824563887337</v>
      </c>
    </row>
    <row r="31" spans="1:15" x14ac:dyDescent="0.2">
      <c r="A31">
        <f>VLOOKUP(B31,Leonard2010!D:CC,78,FALSE)</f>
        <v>344</v>
      </c>
      <c r="B31" s="52" t="s">
        <v>269</v>
      </c>
      <c r="C31">
        <f>IF(A31&lt;600,VLOOKUP(B31,FaultGeometry!B:C,2,FALSE),VLOOKUP(B31,MultiFaultGeometry!B:C,2,FALSE))</f>
        <v>0.5</v>
      </c>
      <c r="D31">
        <f>IF(A31&gt;600,VLOOKUP(B31,Leonard2010!F:L,7,FALSE),VLOOKUP(A31,Leonard2010!A:J,10,FALSE))</f>
        <v>359</v>
      </c>
      <c r="E31">
        <f>$C31*IF($A31&lt;600,(VLOOKUP($B31,FaultGeometry!$B:$P,13,FALSE)),VLOOKUP($B31,MultiFaultGeometry!$B:$G,4,FALSE))</f>
        <v>2.3978526175712795E-3</v>
      </c>
      <c r="F31">
        <f>$C31*IF($A31&lt;600,(VLOOKUP($B31,FaultGeometry!$B:$P,14,FALSE)),VLOOKUP($B31,MultiFaultGeometry!$B:$G,5,FALSE))</f>
        <v>3.9260747542945146E-2</v>
      </c>
      <c r="G31">
        <f>$C31*IF($A31&lt;600,(VLOOKUP($B31,FaultGeometry!$B:$P,15,FALSE)),VLOOKUP($B31,MultiFaultGeometry!$B:$G,6,FALSE))</f>
        <v>4.0568321542353632E-2</v>
      </c>
      <c r="H31" t="str">
        <f>IF(A31&lt;600,VLOOKUP(B31,Leonard2010!D:S,16,FALSE),VLOOKUP(B31,Leonard2010!F:W,18,FALSE))</f>
        <v>N</v>
      </c>
      <c r="I31" s="49">
        <f>IF(A31&lt;600,VLOOKUP(B31,Leonard2010!D:U,18,FALSE),VLOOKUP(B31,Leonard2010!F:Y,21,FALSE))</f>
        <v>288.66513810973242</v>
      </c>
      <c r="J31" t="s">
        <v>308</v>
      </c>
      <c r="K31">
        <v>612</v>
      </c>
      <c r="L31" s="49">
        <f>IF(A31&lt;600,VLOOKUP(B31,Leonard2010!D:BH,57,FALSE),VLOOKUP(B31,Leonard2010!F:BS,66,FALSE))</f>
        <v>6.4925926952647428</v>
      </c>
      <c r="M31">
        <f t="shared" si="0"/>
        <v>373995900688594.75</v>
      </c>
      <c r="N31">
        <f t="shared" si="1"/>
        <v>792910057377320</v>
      </c>
      <c r="O31">
        <f t="shared" si="2"/>
        <v>2.1201036051930724</v>
      </c>
    </row>
    <row r="32" spans="1:15" x14ac:dyDescent="0.2">
      <c r="A32">
        <f>VLOOKUP(B32,Leonard2010!D:CC,78,FALSE)</f>
        <v>345</v>
      </c>
      <c r="B32" s="52" t="s">
        <v>270</v>
      </c>
      <c r="C32">
        <f>IF(A32&lt;600,VLOOKUP(B32,FaultGeometry!B:C,2,FALSE),VLOOKUP(B32,MultiFaultGeometry!B:C,2,FALSE))</f>
        <v>0.5</v>
      </c>
      <c r="D32">
        <f>IF(A32&gt;600,VLOOKUP(B32,Leonard2010!F:L,7,FALSE),VLOOKUP(A32,Leonard2010!A:J,10,FALSE))</f>
        <v>348</v>
      </c>
      <c r="E32">
        <f>$C32*IF($A32&lt;600,(VLOOKUP($B32,FaultGeometry!$B:$P,13,FALSE)),VLOOKUP($B32,MultiFaultGeometry!$B:$G,4,FALSE))</f>
        <v>2.6985722891889889E-3</v>
      </c>
      <c r="F32">
        <f>$C32*IF($A32&lt;600,(VLOOKUP($B32,FaultGeometry!$B:$P,14,FALSE)),VLOOKUP($B32,MultiFaultGeometry!$B:$G,5,FALSE))</f>
        <v>4.0995975439820857E-2</v>
      </c>
      <c r="G32">
        <f>$C32*IF($A32&lt;600,(VLOOKUP($B32,FaultGeometry!$B:$P,15,FALSE)),VLOOKUP($B32,MultiFaultGeometry!$B:$G,6,FALSE))</f>
        <v>4.2382596758940939E-2</v>
      </c>
      <c r="H32" t="str">
        <f>IF(A32&lt;600,VLOOKUP(B32,Leonard2010!D:S,16,FALSE),VLOOKUP(B32,Leonard2010!F:W,18,FALSE))</f>
        <v>N</v>
      </c>
      <c r="I32" s="49">
        <f>IF(A32&lt;600,VLOOKUP(B32,Leonard2010!D:U,18,FALSE),VLOOKUP(B32,Leonard2010!F:Y,21,FALSE))</f>
        <v>304.57330653759442</v>
      </c>
      <c r="J32" t="s">
        <v>308</v>
      </c>
      <c r="K32">
        <v>597</v>
      </c>
      <c r="L32" s="49">
        <f>IF(A32&lt;600,VLOOKUP(B32,Leonard2010!D:BH,57,FALSE),VLOOKUP(B32,Leonard2010!F:BS,66,FALSE))</f>
        <v>6.5158901958246105</v>
      </c>
      <c r="M32">
        <f t="shared" si="0"/>
        <v>412047233216528.25</v>
      </c>
      <c r="N32">
        <f t="shared" si="1"/>
        <v>807661712139910.62</v>
      </c>
      <c r="O32">
        <f t="shared" si="2"/>
        <v>1.9601192461241195</v>
      </c>
    </row>
    <row r="33" spans="1:15" x14ac:dyDescent="0.2">
      <c r="A33">
        <f>VLOOKUP(B33,Leonard2010!D:CC,78,FALSE)</f>
        <v>346</v>
      </c>
      <c r="B33" s="52" t="s">
        <v>106</v>
      </c>
      <c r="C33">
        <f>IF(A33&lt;600,VLOOKUP(B33,FaultGeometry!B:C,2,FALSE),VLOOKUP(B33,MultiFaultGeometry!B:C,2,FALSE))</f>
        <v>1</v>
      </c>
      <c r="D33">
        <f>IF(A33&gt;600,VLOOKUP(B33,Leonard2010!F:L,7,FALSE),VLOOKUP(A33,Leonard2010!A:J,10,FALSE))</f>
        <v>183</v>
      </c>
      <c r="E33">
        <f>$C33*IF($A33&lt;600,(VLOOKUP($B33,FaultGeometry!$B:$P,13,FALSE)),VLOOKUP($B33,MultiFaultGeometry!$B:$G,4,FALSE))</f>
        <v>4.5319355818178707E-3</v>
      </c>
      <c r="F33">
        <f>$C33*IF($A33&lt;600,(VLOOKUP($B33,FaultGeometry!$B:$P,14,FALSE)),VLOOKUP($B33,MultiFaultGeometry!$B:$G,5,FALSE))</f>
        <v>7.6882912431077574E-2</v>
      </c>
      <c r="G33">
        <f>$C33*IF($A33&lt;600,(VLOOKUP($B33,FaultGeometry!$B:$P,15,FALSE)),VLOOKUP($B33,MultiFaultGeometry!$B:$G,6,FALSE))</f>
        <v>7.9201679200674668E-2</v>
      </c>
      <c r="H33" t="str">
        <f>IF(A33&lt;600,VLOOKUP(B33,Leonard2010!D:S,16,FALSE),VLOOKUP(B33,Leonard2010!F:W,18,FALSE))</f>
        <v>N</v>
      </c>
      <c r="I33" s="49">
        <f>IF(A33&lt;600,VLOOKUP(B33,Leonard2010!D:U,18,FALSE),VLOOKUP(B33,Leonard2010!F:Y,21,FALSE))</f>
        <v>518.19595831194579</v>
      </c>
      <c r="J33" t="s">
        <v>211</v>
      </c>
      <c r="K33">
        <f>IF(J33="Y","TBC",IF(A33&lt;600,VLOOKUP(A33,FaultGeometry!A:F,6,FALSE)*((35-VLOOKUP(A33,FaultGeometry!A:K,11,FALSE))/SIN(RADIANS(VLOOKUP(A33,FaultGeometry!A:H,8,FALSE)))),VLOOKUP(A33,MultiFaultGeometry!A:D,4,FALSE)*((35-VLOOKUP(B33,Leonard2010!F:R,13,FALSE))/SIN(RADIANS(VLOOKUP(B33,Leonard2010!F:Q,9,FALSE))))))</f>
        <v>1332.272340278224</v>
      </c>
      <c r="L33" s="49">
        <f>IF(A33&lt;600,VLOOKUP(B33,Leonard2010!D:BH,57,FALSE),VLOOKUP(B33,Leonard2010!F:BS,66,FALSE))</f>
        <v>6.7466923790306836</v>
      </c>
      <c r="M33">
        <f t="shared" si="0"/>
        <v>1314733678006176.5</v>
      </c>
      <c r="N33">
        <f t="shared" si="1"/>
        <v>3380156263174596</v>
      </c>
      <c r="O33">
        <f t="shared" si="2"/>
        <v>2.5709817278741043</v>
      </c>
    </row>
    <row r="34" spans="1:15" x14ac:dyDescent="0.2">
      <c r="A34">
        <f>VLOOKUP(B34,Leonard2010!D:CC,78,FALSE)</f>
        <v>336</v>
      </c>
      <c r="B34" s="50" t="s">
        <v>439</v>
      </c>
      <c r="C34">
        <f>IF(A34&lt;600,VLOOKUP(B34,FaultGeometry!B:C,2,FALSE),VLOOKUP(B34,MultiFaultGeometry!B:C,2,FALSE))</f>
        <v>1</v>
      </c>
      <c r="D34">
        <f>IF(A34&gt;600,VLOOKUP(B34,Leonard2010!F:L,7,FALSE),VLOOKUP(A34,Leonard2010!A:J,10,FALSE))</f>
        <v>163</v>
      </c>
      <c r="E34">
        <f>$C34*IF($A34&lt;600,(VLOOKUP($B34,FaultGeometry!$B:$P,13,FALSE)),VLOOKUP($B34,MultiFaultGeometry!$B:$G,4,FALSE))</f>
        <v>5.5275152295877605E-3</v>
      </c>
      <c r="F34">
        <f>$C34*IF($A34&lt;600,(VLOOKUP($B34,FaultGeometry!$B:$P,14,FALSE)),VLOOKUP($B34,MultiFaultGeometry!$B:$G,5,FALSE))</f>
        <v>8.0881491507224151E-2</v>
      </c>
      <c r="G34">
        <f>$C34*IF($A34&lt;600,(VLOOKUP($B34,FaultGeometry!$B:$P,15,FALSE)),VLOOKUP($B34,MultiFaultGeometry!$B:$G,6,FALSE))</f>
        <v>8.321701512045071E-2</v>
      </c>
      <c r="H34" t="s">
        <v>211</v>
      </c>
      <c r="I34" s="49">
        <f>IF(A34&lt;600,VLOOKUP(B34,Leonard2010!D:U,18,FALSE),VLOOKUP(B34,Leonard2010!F:Y,21,FALSE))</f>
        <v>44.82649494778137</v>
      </c>
      <c r="J34" t="s">
        <v>211</v>
      </c>
      <c r="K34">
        <f>IF(J34="Y","TBC",IF(A34&lt;600,VLOOKUP(A34,FaultGeometry!A:F,6,FALSE)*((35-VLOOKUP(A34,FaultGeometry!A:K,11,FALSE))/SIN(RADIANS(VLOOKUP(A34,FaultGeometry!A:H,8,FALSE)))),VLOOKUP(A34,MultiFaultGeometry!A:D,4,FALSE)*((35-VLOOKUP(B34,Leonard2010!F:R,13,FALSE))/SIN(RADIANS(VLOOKUP(B34,Leonard2010!F:Q,9,FALSE))))))</f>
        <v>306.77323624827528</v>
      </c>
      <c r="L34" s="49">
        <f>IF(A34&lt;600,VLOOKUP(B34,Leonard2010!D:BH,57,FALSE),VLOOKUP(B34,Leonard2010!F:BS,66,FALSE))</f>
        <v>5.6837331397065212</v>
      </c>
      <c r="M34">
        <f t="shared" si="0"/>
        <v>119645914423780.98</v>
      </c>
      <c r="N34">
        <f t="shared" si="1"/>
        <v>818805137774531.88</v>
      </c>
      <c r="O34">
        <f t="shared" si="2"/>
        <v>6.843569558709353</v>
      </c>
    </row>
    <row r="35" spans="1:15" x14ac:dyDescent="0.2">
      <c r="A35">
        <f>VLOOKUP(B35,Leonard2010!D:CC,78,FALSE)</f>
        <v>351</v>
      </c>
      <c r="B35" s="52" t="s">
        <v>150</v>
      </c>
      <c r="C35">
        <f>IF(A35&lt;600,VLOOKUP(B35,FaultGeometry!B:C,2,FALSE),VLOOKUP(B35,MultiFaultGeometry!B:C,2,FALSE))</f>
        <v>1</v>
      </c>
      <c r="D35">
        <f>IF(A35&gt;600,VLOOKUP(B35,Leonard2010!F:L,7,FALSE),VLOOKUP(A35,Leonard2010!A:J,10,FALSE))</f>
        <v>327</v>
      </c>
      <c r="E35">
        <f>$C35*IF($A35&lt;600,(VLOOKUP($B35,FaultGeometry!$B:$P,13,FALSE)),VLOOKUP($B35,MultiFaultGeometry!$B:$G,4,FALSE))</f>
        <v>4.6666632136209288E-3</v>
      </c>
      <c r="F35">
        <f>$C35*IF($A35&lt;600,(VLOOKUP($B35,FaultGeometry!$B:$P,14,FALSE)),VLOOKUP($B35,MultiFaultGeometry!$B:$G,5,FALSE))</f>
        <v>2.8684566144617667E-2</v>
      </c>
      <c r="G35">
        <f>$C35*IF($A35&lt;600,(VLOOKUP($B35,FaultGeometry!$B:$P,15,FALSE)),VLOOKUP($B35,MultiFaultGeometry!$B:$G,6,FALSE))</f>
        <v>2.0118273034415449E-2</v>
      </c>
      <c r="H35" t="str">
        <f>IF(A35&lt;600,VLOOKUP(B35,Leonard2010!D:S,16,FALSE),VLOOKUP(B35,Leonard2010!F:W,18,FALSE))</f>
        <v>Y</v>
      </c>
      <c r="I35" s="49">
        <f>IF(A35&lt;600,VLOOKUP(B35,Leonard2010!D:U,18,FALSE),VLOOKUP(B35,Leonard2010!F:Y,21,FALSE))</f>
        <v>143</v>
      </c>
      <c r="J35" t="s">
        <v>308</v>
      </c>
      <c r="K35">
        <v>143</v>
      </c>
      <c r="L35" s="49">
        <f>IF(A35&lt;600,VLOOKUP(B35,Leonard2010!D:BH,57,FALSE),VLOOKUP(B35,Leonard2010!F:BS,66,FALSE))</f>
        <v>6.1875343951281936</v>
      </c>
      <c r="M35">
        <f t="shared" si="0"/>
        <v>135362467636450.75</v>
      </c>
      <c r="N35">
        <f t="shared" si="1"/>
        <v>135362467636450.75</v>
      </c>
      <c r="O35">
        <f t="shared" si="2"/>
        <v>1</v>
      </c>
    </row>
    <row r="36" spans="1:15" x14ac:dyDescent="0.2">
      <c r="A36">
        <f>VLOOKUP(B36,Leonard2010!D:CC,78,FALSE)</f>
        <v>358</v>
      </c>
      <c r="B36" s="52" t="s">
        <v>201</v>
      </c>
      <c r="C36">
        <f>IF(A36&lt;600,VLOOKUP(B36,FaultGeometry!B:C,2,FALSE),VLOOKUP(B36,MultiFaultGeometry!B:C,2,FALSE))</f>
        <v>1</v>
      </c>
      <c r="D36">
        <f>IF(A36&gt;600,VLOOKUP(B36,Leonard2010!F:L,7,FALSE),VLOOKUP(A36,Leonard2010!A:J,10,FALSE))</f>
        <v>156</v>
      </c>
      <c r="E36">
        <f>$C36*IF($A36&lt;600,(VLOOKUP($B36,FaultGeometry!$B:$P,13,FALSE)),VLOOKUP($B36,MultiFaultGeometry!$B:$G,4,FALSE))</f>
        <v>5.200373024296827E-3</v>
      </c>
      <c r="F36">
        <f>$C36*IF($A36&lt;600,(VLOOKUP($B36,FaultGeometry!$B:$P,14,FALSE)),VLOOKUP($B36,MultiFaultGeometry!$B:$G,5,FALSE))</f>
        <v>2.9573694478221484E-2</v>
      </c>
      <c r="G36">
        <f>$C36*IF($A36&lt;600,(VLOOKUP($B36,FaultGeometry!$B:$P,15,FALSE)),VLOOKUP($B36,MultiFaultGeometry!$B:$G,6,FALSE))</f>
        <v>2.0662587309447766E-2</v>
      </c>
      <c r="H36" t="str">
        <f>IF(A36&lt;600,VLOOKUP(B36,Leonard2010!D:S,16,FALSE),VLOOKUP(B36,Leonard2010!F:W,18,FALSE))</f>
        <v>N</v>
      </c>
      <c r="I36" s="49">
        <f>IF(A36&lt;600,VLOOKUP(B36,Leonard2010!D:U,18,FALSE),VLOOKUP(B36,Leonard2010!F:Y,21,FALSE))</f>
        <v>479.03588187766246</v>
      </c>
      <c r="J36" t="s">
        <v>308</v>
      </c>
      <c r="K36">
        <v>801</v>
      </c>
      <c r="L36" s="49">
        <f>IF(A36&lt;600,VLOOKUP(B36,Leonard2010!D:BH,57,FALSE),VLOOKUP(B36,Leonard2010!F:BS,66,FALSE))</f>
        <v>6.7125664028476848</v>
      </c>
      <c r="M36">
        <f t="shared" si="0"/>
        <v>467506406886927.75</v>
      </c>
      <c r="N36">
        <f t="shared" si="1"/>
        <v>781721466142828.38</v>
      </c>
      <c r="O36">
        <f t="shared" si="2"/>
        <v>1.672108562849915</v>
      </c>
    </row>
    <row r="37" spans="1:15" x14ac:dyDescent="0.2">
      <c r="A37">
        <f>VLOOKUP(B37,Leonard2010!D:CC,78,FALSE)</f>
        <v>360</v>
      </c>
      <c r="B37" s="52" t="s">
        <v>410</v>
      </c>
      <c r="C37">
        <f>IF(A37&lt;600,VLOOKUP(B37,FaultGeometry!B:C,2,FALSE),VLOOKUP(B37,MultiFaultGeometry!B:C,2,FALSE))</f>
        <v>0.5</v>
      </c>
      <c r="D37">
        <f>IF(A37&gt;600,VLOOKUP(B37,Leonard2010!F:L,7,FALSE),VLOOKUP(A37,Leonard2010!A:J,10,FALSE))</f>
        <v>28</v>
      </c>
      <c r="E37">
        <f>$C37*IF($A37&lt;600,(VLOOKUP($B37,FaultGeometry!$B:$P,13,FALSE)),VLOOKUP($B37,MultiFaultGeometry!$B:$G,4,FALSE))</f>
        <v>1.2212010510322892E-3</v>
      </c>
      <c r="F37">
        <f>$C37*IF($A37&lt;600,(VLOOKUP($B37,FaultGeometry!$B:$P,14,FALSE)),VLOOKUP($B37,MultiFaultGeometry!$B:$G,5,FALSE))</f>
        <v>2.9386534179282671E-2</v>
      </c>
      <c r="G37">
        <f>$C37*IF($A37&lt;600,(VLOOKUP($B37,FaultGeometry!$B:$P,15,FALSE)),VLOOKUP($B37,MultiFaultGeometry!$B:$G,6,FALSE))</f>
        <v>3.3401376318714371E-2</v>
      </c>
      <c r="H37" t="str">
        <f>IF(A37&lt;600,VLOOKUP(B37,Leonard2010!D:S,16,FALSE),VLOOKUP(B37,Leonard2010!F:W,18,FALSE))</f>
        <v>N</v>
      </c>
      <c r="I37" s="49">
        <f>IF(A37&lt;600,VLOOKUP(B37,Leonard2010!D:U,18,FALSE),VLOOKUP(B37,Leonard2010!F:Y,21,FALSE))</f>
        <v>745.05965746763809</v>
      </c>
      <c r="J37" t="s">
        <v>211</v>
      </c>
      <c r="K37">
        <f>IF(J37="Y","TBC",IF(A37&lt;600,VLOOKUP(A37,FaultGeometry!A:F,6,FALSE)*((35-VLOOKUP(A37,FaultGeometry!A:K,11,FALSE))/SIN(RADIANS(VLOOKUP(A37,FaultGeometry!A:H,8,FALSE)))),VLOOKUP(A37,MultiFaultGeometry!A:D,4,FALSE)*((35-VLOOKUP(B37,Leonard2010!F:R,13,FALSE))/SIN(RADIANS(VLOOKUP(B37,Leonard2010!F:Q,9,FALSE))))))</f>
        <v>1632.910111801534</v>
      </c>
      <c r="L37" s="49">
        <f>IF(A37&lt;600,VLOOKUP(B37,Leonard2010!D:BH,57,FALSE),VLOOKUP(B37,Leonard2010!F:BS,66,FALSE))</f>
        <v>6.9043894060781339</v>
      </c>
      <c r="M37">
        <f t="shared" si="0"/>
        <v>722525795962653.75</v>
      </c>
      <c r="N37">
        <f t="shared" si="1"/>
        <v>1583523770801018</v>
      </c>
      <c r="O37">
        <f t="shared" si="2"/>
        <v>2.1916501523536853</v>
      </c>
    </row>
    <row r="38" spans="1:15" x14ac:dyDescent="0.2">
      <c r="A38">
        <f>VLOOKUP(B38,Leonard2010!D:CC,78,FALSE)</f>
        <v>362</v>
      </c>
      <c r="B38" s="52" t="s">
        <v>408</v>
      </c>
      <c r="C38">
        <f>IF(A38&lt;600,VLOOKUP(B38,FaultGeometry!B:C,2,FALSE),VLOOKUP(B38,MultiFaultGeometry!B:C,2,FALSE))</f>
        <v>0.5</v>
      </c>
      <c r="D38">
        <f>IF(A38&gt;600,VLOOKUP(B38,Leonard2010!F:L,7,FALSE),VLOOKUP(A38,Leonard2010!A:J,10,FALSE))</f>
        <v>168</v>
      </c>
      <c r="E38">
        <f>$C38*IF($A38&lt;600,(VLOOKUP($B38,FaultGeometry!$B:$P,13,FALSE)),VLOOKUP($B38,MultiFaultGeometry!$B:$G,4,FALSE))</f>
        <v>2.6985722891889881E-3</v>
      </c>
      <c r="F38">
        <f>$C38*IF($A38&lt;600,(VLOOKUP($B38,FaultGeometry!$B:$P,14,FALSE)),VLOOKUP($B38,MultiFaultGeometry!$B:$G,5,FALSE))</f>
        <v>4.0638997967492548E-2</v>
      </c>
      <c r="G38">
        <f>$C38*IF($A38&lt;600,(VLOOKUP($B38,FaultGeometry!$B:$P,15,FALSE)),VLOOKUP($B38,MultiFaultGeometry!$B:$G,6,FALSE))</f>
        <v>4.1065702694757067E-2</v>
      </c>
      <c r="H38" t="str">
        <f>IF(A38&lt;600,VLOOKUP(B38,Leonard2010!D:S,16,FALSE),VLOOKUP(B38,Leonard2010!F:W,18,FALSE))</f>
        <v>N</v>
      </c>
      <c r="I38" s="49">
        <f>IF(A38&lt;600,VLOOKUP(B38,Leonard2010!D:U,18,FALSE),VLOOKUP(B38,Leonard2010!F:Y,21,FALSE))</f>
        <v>1350.0845946989532</v>
      </c>
      <c r="J38" t="s">
        <v>211</v>
      </c>
      <c r="K38">
        <f>IF(J38="Y","TBC",IF(A38&lt;600,VLOOKUP(A38,FaultGeometry!A:F,6,FALSE)*((35-VLOOKUP(A38,FaultGeometry!A:K,11,FALSE))/SIN(RADIANS(VLOOKUP(A38,FaultGeometry!A:H,8,FALSE)))),VLOOKUP(A38,MultiFaultGeometry!A:D,4,FALSE)*((35-VLOOKUP(B38,Leonard2010!F:R,13,FALSE))/SIN(RADIANS(VLOOKUP(B38,Leonard2010!F:Q,9,FALSE))))))</f>
        <v>2366.5363939152667</v>
      </c>
      <c r="L38" s="49">
        <f>IF(A38&lt;600,VLOOKUP(B38,Leonard2010!D:BH,57,FALSE),VLOOKUP(B38,Leonard2010!F:BS,66,FALSE))</f>
        <v>7.1625593393877054</v>
      </c>
      <c r="M38">
        <f t="shared" si="0"/>
        <v>1810580808297153.8</v>
      </c>
      <c r="N38">
        <f t="shared" si="1"/>
        <v>3173731034176548</v>
      </c>
      <c r="O38">
        <f t="shared" si="2"/>
        <v>1.7528800811500003</v>
      </c>
    </row>
    <row r="39" spans="1:15" x14ac:dyDescent="0.2">
      <c r="A39">
        <f>VLOOKUP(B39,Leonard2010!D:CC,78,FALSE)</f>
        <v>363</v>
      </c>
      <c r="B39" s="52" t="s">
        <v>138</v>
      </c>
      <c r="C39">
        <f>IF(A39&lt;600,VLOOKUP(B39,FaultGeometry!B:C,2,FALSE),VLOOKUP(B39,MultiFaultGeometry!B:C,2,FALSE))</f>
        <v>1</v>
      </c>
      <c r="D39">
        <f>IF(A39&gt;600,VLOOKUP(B39,Leonard2010!F:L,7,FALSE),VLOOKUP(A39,Leonard2010!A:J,10,FALSE))</f>
        <v>343</v>
      </c>
      <c r="E39">
        <f>$C39*IF($A39&lt;600,(VLOOKUP($B39,FaultGeometry!$B:$P,13,FALSE)),VLOOKUP($B39,MultiFaultGeometry!$B:$G,4,FALSE))</f>
        <v>5.5275152295877605E-3</v>
      </c>
      <c r="F39">
        <f>$C39*IF($A39&lt;600,(VLOOKUP($B39,FaultGeometry!$B:$P,14,FALSE)),VLOOKUP($B39,MultiFaultGeometry!$B:$G,5,FALSE))</f>
        <v>2.9981010149963537E-2</v>
      </c>
      <c r="G39">
        <f>$C39*IF($A39&lt;600,(VLOOKUP($B39,FaultGeometry!$B:$P,15,FALSE)),VLOOKUP($B39,MultiFaultGeometry!$B:$G,6,FALSE))</f>
        <v>2.0566672163410172E-2</v>
      </c>
      <c r="H39" t="str">
        <f>IF(A39&lt;600,VLOOKUP(B39,Leonard2010!D:S,16,FALSE),VLOOKUP(B39,Leonard2010!F:W,18,FALSE))</f>
        <v>Y</v>
      </c>
      <c r="I39" s="49">
        <f>IF(A39&lt;600,VLOOKUP(B39,Leonard2010!D:U,18,FALSE),VLOOKUP(B39,Leonard2010!F:Y,21,FALSE))</f>
        <v>453</v>
      </c>
      <c r="J39" t="s">
        <v>308</v>
      </c>
      <c r="K39">
        <v>540</v>
      </c>
      <c r="L39" s="49">
        <f>IF(A39&lt;600,VLOOKUP(B39,Leonard2010!D:BH,57,FALSE),VLOOKUP(B39,Leonard2010!F:BS,66,FALSE))</f>
        <v>6.6882965596759618</v>
      </c>
      <c r="M39">
        <f t="shared" si="0"/>
        <v>448186120731804.94</v>
      </c>
      <c r="N39">
        <f t="shared" si="1"/>
        <v>534261600872350.25</v>
      </c>
      <c r="O39">
        <f t="shared" si="2"/>
        <v>1.1920529801324504</v>
      </c>
    </row>
    <row r="40" spans="1:15" x14ac:dyDescent="0.2">
      <c r="A40">
        <f>VLOOKUP(B40,Leonard2010!D:CC,78,FALSE)</f>
        <v>364</v>
      </c>
      <c r="B40" s="52" t="s">
        <v>179</v>
      </c>
      <c r="C40">
        <f>IF(A40&lt;600,VLOOKUP(B40,FaultGeometry!B:C,2,FALSE),VLOOKUP(B40,MultiFaultGeometry!B:C,2,FALSE))</f>
        <v>1</v>
      </c>
      <c r="D40">
        <f>IF(A40&gt;600,VLOOKUP(B40,Leonard2010!F:L,7,FALSE),VLOOKUP(A40,Leonard2010!A:J,10,FALSE))</f>
        <v>10</v>
      </c>
      <c r="E40">
        <f>$C40*IF($A40&lt;600,(VLOOKUP($B40,FaultGeometry!$B:$P,13,FALSE)),VLOOKUP($B40,MultiFaultGeometry!$B:$G,4,FALSE))</f>
        <v>4.0180446668584341E-3</v>
      </c>
      <c r="F40">
        <f>$C40*IF($A40&lt;600,(VLOOKUP($B40,FaultGeometry!$B:$P,14,FALSE)),VLOOKUP($B40,MultiFaultGeometry!$B:$G,5,FALSE))</f>
        <v>7.2955940320067109E-2</v>
      </c>
      <c r="G40">
        <f>$C40*IF($A40&lt;600,(VLOOKUP($B40,FaultGeometry!$B:$P,15,FALSE)),VLOOKUP($B40,MultiFaultGeometry!$B:$G,6,FALSE))</f>
        <v>7.7213156507969297E-2</v>
      </c>
      <c r="H40" t="str">
        <f>IF(A40&lt;600,VLOOKUP(B40,Leonard2010!D:S,16,FALSE),VLOOKUP(B40,Leonard2010!F:W,18,FALSE))</f>
        <v>Y</v>
      </c>
      <c r="I40" s="49">
        <f>IF(A40&lt;600,VLOOKUP(B40,Leonard2010!D:U,18,FALSE),VLOOKUP(B40,Leonard2010!F:Y,21,FALSE))</f>
        <v>148</v>
      </c>
      <c r="J40" t="s">
        <v>308</v>
      </c>
      <c r="K40">
        <v>206</v>
      </c>
      <c r="L40" s="49">
        <f>IF(A40&lt;600,VLOOKUP(B40,Leonard2010!D:BH,57,FALSE),VLOOKUP(B40,Leonard2010!F:BS,66,FALSE))</f>
        <v>6.2024600730580888</v>
      </c>
      <c r="M40">
        <f t="shared" si="0"/>
        <v>356316812523207.75</v>
      </c>
      <c r="N40">
        <f t="shared" si="1"/>
        <v>495954482295816.19</v>
      </c>
      <c r="O40">
        <f t="shared" si="2"/>
        <v>1.3918918918918919</v>
      </c>
    </row>
    <row r="41" spans="1:15" x14ac:dyDescent="0.2">
      <c r="A41">
        <f>VLOOKUP(B41,Leonard2010!D:CC,78,FALSE)</f>
        <v>365</v>
      </c>
      <c r="B41" s="52" t="s">
        <v>180</v>
      </c>
      <c r="C41">
        <f>IF(A41&lt;600,VLOOKUP(B41,FaultGeometry!B:C,2,FALSE),VLOOKUP(B41,MultiFaultGeometry!B:C,2,FALSE))</f>
        <v>1</v>
      </c>
      <c r="D41">
        <f>IF(A41&gt;600,VLOOKUP(B41,Leonard2010!F:L,7,FALSE),VLOOKUP(A41,Leonard2010!A:J,10,FALSE))</f>
        <v>153</v>
      </c>
      <c r="E41">
        <f>$C41*IF($A41&lt;600,(VLOOKUP($B41,FaultGeometry!$B:$P,13,FALSE)),VLOOKUP($B41,MultiFaultGeometry!$B:$G,4,FALSE))</f>
        <v>5.0361106946242339E-3</v>
      </c>
      <c r="F41">
        <f>$C41*IF($A41&lt;600,(VLOOKUP($B41,FaultGeometry!$B:$P,14,FALSE)),VLOOKUP($B41,MultiFaultGeometry!$B:$G,5,FALSE))</f>
        <v>7.8296523065581478E-2</v>
      </c>
      <c r="G41">
        <f>$C41*IF($A41&lt;600,(VLOOKUP($B41,FaultGeometry!$B:$P,15,FALSE)),VLOOKUP($B41,MultiFaultGeometry!$B:$G,6,FALSE))</f>
        <v>8.0223058910155451E-2</v>
      </c>
      <c r="H41" t="str">
        <f>IF(A41&lt;600,VLOOKUP(B41,Leonard2010!D:S,16,FALSE),VLOOKUP(B41,Leonard2010!F:W,18,FALSE))</f>
        <v>N</v>
      </c>
      <c r="I41" s="49">
        <f>IF(A41&lt;600,VLOOKUP(B41,Leonard2010!D:U,18,FALSE),VLOOKUP(B41,Leonard2010!F:Y,21,FALSE))</f>
        <v>658.49109990921761</v>
      </c>
      <c r="J41" t="s">
        <v>211</v>
      </c>
      <c r="K41">
        <f>IF(J41="Y","TBC",IF(A41&lt;600,VLOOKUP(A41,FaultGeometry!A:F,6,FALSE)*((35-VLOOKUP(A41,FaultGeometry!A:K,11,FALSE))/SIN(RADIANS(VLOOKUP(A41,FaultGeometry!A:H,8,FALSE)))),VLOOKUP(A41,MultiFaultGeometry!A:D,4,FALSE)*((35-VLOOKUP(B41,Leonard2010!F:R,13,FALSE))/SIN(RADIANS(VLOOKUP(B41,Leonard2010!F:Q,9,FALSE))))))</f>
        <v>1538.2486560449233</v>
      </c>
      <c r="L41" s="49">
        <f>IF(A41&lt;600,VLOOKUP(B41,Leonard2010!D:BH,57,FALSE),VLOOKUP(B41,Leonard2010!F:BS,66,FALSE))</f>
        <v>6.8507482671257991</v>
      </c>
      <c r="M41">
        <f t="shared" si="0"/>
        <v>1701399598553231.8</v>
      </c>
      <c r="N41">
        <f t="shared" si="1"/>
        <v>3974504205494494.5</v>
      </c>
      <c r="O41">
        <f t="shared" si="2"/>
        <v>2.3360204204081008</v>
      </c>
    </row>
    <row r="42" spans="1:15" x14ac:dyDescent="0.2">
      <c r="A42">
        <f>VLOOKUP(B42,Leonard2010!D:CC,78,FALSE)</f>
        <v>366</v>
      </c>
      <c r="B42" s="52" t="s">
        <v>212</v>
      </c>
      <c r="C42">
        <f>IF(A42&lt;600,VLOOKUP(B42,FaultGeometry!B:C,2,FALSE),VLOOKUP(B42,MultiFaultGeometry!B:C,2,FALSE))</f>
        <v>1</v>
      </c>
      <c r="D42">
        <f>IF(A42&gt;600,VLOOKUP(B42,Leonard2010!F:L,7,FALSE),VLOOKUP(A42,Leonard2010!A:J,10,FALSE))</f>
        <v>172</v>
      </c>
      <c r="E42">
        <f>$C42*IF($A42&lt;600,(VLOOKUP($B42,FaultGeometry!$B:$P,13,FALSE)),VLOOKUP($B42,MultiFaultGeometry!$B:$G,4,FALSE))</f>
        <v>5.200373024296827E-3</v>
      </c>
      <c r="F42">
        <f>$C42*IF($A42&lt;600,(VLOOKUP($B42,FaultGeometry!$B:$P,14,FALSE)),VLOOKUP($B42,MultiFaultGeometry!$B:$G,5,FALSE))</f>
        <v>2.9784457177152664E-2</v>
      </c>
      <c r="G42">
        <f>$C42*IF($A42&lt;600,(VLOOKUP($B42,FaultGeometry!$B:$P,15,FALSE)),VLOOKUP($B42,MultiFaultGeometry!$B:$G,6,FALSE))</f>
        <v>2.0427046169854808E-2</v>
      </c>
      <c r="H42" t="str">
        <f>IF(A42&lt;600,VLOOKUP(B42,Leonard2010!D:S,16,FALSE),VLOOKUP(B42,Leonard2010!F:W,18,FALSE))</f>
        <v>N</v>
      </c>
      <c r="I42" s="49">
        <f>IF(A42&lt;600,VLOOKUP(B42,Leonard2010!D:U,18,FALSE),VLOOKUP(B42,Leonard2010!F:Y,21,FALSE))</f>
        <v>1529.5946518148637</v>
      </c>
      <c r="J42" t="s">
        <v>308</v>
      </c>
      <c r="K42">
        <v>1956</v>
      </c>
      <c r="L42" s="49">
        <f>IF(A42&lt;600,VLOOKUP(B42,Leonard2010!D:BH,57,FALSE),VLOOKUP(B42,Leonard2010!F:BS,66,FALSE))</f>
        <v>7.2167747140992402</v>
      </c>
      <c r="M42">
        <f t="shared" si="0"/>
        <v>1503418831377590.8</v>
      </c>
      <c r="N42">
        <f t="shared" si="1"/>
        <v>1922527141870850</v>
      </c>
      <c r="O42">
        <f t="shared" si="2"/>
        <v>1.2787701615452216</v>
      </c>
    </row>
    <row r="43" spans="1:15" x14ac:dyDescent="0.2">
      <c r="A43">
        <f>VLOOKUP(B43,Leonard2010!D:CC,78,FALSE)</f>
        <v>367</v>
      </c>
      <c r="B43" s="12" t="s">
        <v>96</v>
      </c>
      <c r="C43">
        <f>IF(A43&lt;600,VLOOKUP(B43,FaultGeometry!B:C,2,FALSE),VLOOKUP(B43,MultiFaultGeometry!B:C,2,FALSE))</f>
        <v>1</v>
      </c>
      <c r="D43">
        <f>IF(A43&gt;600,VLOOKUP(B43,Leonard2010!F:L,7,FALSE),VLOOKUP(A43,Leonard2010!A:J,10,FALSE))</f>
        <v>200</v>
      </c>
      <c r="E43">
        <f>$C43*IF($A43&lt;600,(VLOOKUP($B43,FaultGeometry!$B:$P,13,FALSE)),VLOOKUP($B43,MultiFaultGeometry!$B:$G,4,FALSE))</f>
        <v>5.5452561241628139E-3</v>
      </c>
      <c r="F43">
        <f>$C43*IF($A43&lt;600,(VLOOKUP($B43,FaultGeometry!$B:$P,14,FALSE)),VLOOKUP($B43,MultiFaultGeometry!$B:$G,5,FALSE))</f>
        <v>3.9580082197142812E-2</v>
      </c>
      <c r="G43">
        <f>$C43*IF($A43&lt;600,(VLOOKUP($B43,FaultGeometry!$B:$P,15,FALSE)),VLOOKUP($B43,MultiFaultGeometry!$B:$G,6,FALSE))</f>
        <v>2.8792100064073008E-2</v>
      </c>
      <c r="H43" t="str">
        <f>IF(A43&lt;600,VLOOKUP(B43,Leonard2010!D:S,16,FALSE),VLOOKUP(B43,Leonard2010!F:W,18,FALSE))</f>
        <v>N</v>
      </c>
      <c r="I43" s="49">
        <f>IF(A43&lt;600,VLOOKUP(B43,Leonard2010!D:U,18,FALSE),VLOOKUP(B43,Leonard2010!F:Y,21,FALSE))</f>
        <v>281.95219127286316</v>
      </c>
      <c r="J43" t="s">
        <v>211</v>
      </c>
      <c r="K43">
        <f>IF(J43="Y","TBC",IF(A43&lt;600,VLOOKUP(A43,FaultGeometry!A:F,6,FALSE)*((35-VLOOKUP(A43,FaultGeometry!A:K,11,FALSE))/SIN(RADIANS(VLOOKUP(A43,FaultGeometry!A:H,8,FALSE)))),VLOOKUP(A43,MultiFaultGeometry!A:D,4,FALSE)*((35-VLOOKUP(B43,Leonard2010!F:R,13,FALSE))/SIN(RADIANS(VLOOKUP(B43,Leonard2010!F:Q,9,FALSE))))))</f>
        <v>924.70218354837277</v>
      </c>
      <c r="L43" s="49">
        <f>IF(A43&lt;600,VLOOKUP(B43,Leonard2010!D:BH,57,FALSE),VLOOKUP(B43,Leonard2010!F:BS,66,FALSE))</f>
        <v>6.4823738318455808</v>
      </c>
      <c r="M43">
        <f t="shared" si="0"/>
        <v>368269799906067</v>
      </c>
      <c r="N43">
        <f t="shared" si="1"/>
        <v>1207793018279827</v>
      </c>
      <c r="O43">
        <f t="shared" si="2"/>
        <v>3.2796417696696651</v>
      </c>
    </row>
    <row r="44" spans="1:15" x14ac:dyDescent="0.2">
      <c r="A44">
        <f>VLOOKUP(B44,Leonard2010!D:CC,78,FALSE)</f>
        <v>368</v>
      </c>
      <c r="B44" s="12" t="s">
        <v>204</v>
      </c>
      <c r="C44">
        <f>IF(A44&lt;600,VLOOKUP(B44,FaultGeometry!B:C,2,FALSE),VLOOKUP(B44,MultiFaultGeometry!B:C,2,FALSE))</f>
        <v>1</v>
      </c>
      <c r="D44">
        <f>IF(A44&gt;600,VLOOKUP(B44,Leonard2010!F:L,7,FALSE),VLOOKUP(A44,Leonard2010!A:J,10,FALSE))</f>
        <v>195</v>
      </c>
      <c r="E44">
        <f>$C44*IF($A44&lt;600,(VLOOKUP($B44,FaultGeometry!$B:$P,13,FALSE)),VLOOKUP($B44,MultiFaultGeometry!$B:$G,4,FALSE))</f>
        <v>6.1209816776517873E-3</v>
      </c>
      <c r="F44">
        <f>$C44*IF($A44&lt;600,(VLOOKUP($B44,FaultGeometry!$B:$P,14,FALSE)),VLOOKUP($B44,MultiFaultGeometry!$B:$G,5,FALSE))</f>
        <v>4.1189800516875236E-2</v>
      </c>
      <c r="G44">
        <f>$C44*IF($A44&lt;600,(VLOOKUP($B44,FaultGeometry!$B:$P,15,FALSE)),VLOOKUP($B44,MultiFaultGeometry!$B:$G,6,FALSE))</f>
        <v>2.9548084986664062E-2</v>
      </c>
      <c r="H44" t="str">
        <f>IF(A44&lt;600,VLOOKUP(B44,Leonard2010!D:S,16,FALSE),VLOOKUP(B44,Leonard2010!F:W,18,FALSE))</f>
        <v>N</v>
      </c>
      <c r="I44" s="49">
        <f>IF(A44&lt;600,VLOOKUP(B44,Leonard2010!D:U,18,FALSE),VLOOKUP(B44,Leonard2010!F:Y,21,FALSE))</f>
        <v>725.45355817573966</v>
      </c>
      <c r="J44" t="s">
        <v>211</v>
      </c>
      <c r="K44">
        <f>IF(J44="Y","TBC",IF(A44&lt;600,VLOOKUP(A44,FaultGeometry!A:F,6,FALSE)*((35-VLOOKUP(A44,FaultGeometry!A:K,11,FALSE))/SIN(RADIANS(VLOOKUP(A44,FaultGeometry!A:H,8,FALSE)))),VLOOKUP(A44,MultiFaultGeometry!A:D,4,FALSE)*((35-VLOOKUP(B44,Leonard2010!F:R,13,FALSE))/SIN(RADIANS(VLOOKUP(B44,Leonard2010!F:Q,9,FALSE))))))</f>
        <v>1630.2806269194057</v>
      </c>
      <c r="L44" s="49">
        <f>IF(A44&lt;600,VLOOKUP(B44,Leonard2010!D:BH,57,FALSE),VLOOKUP(B44,Leonard2010!F:BS,66,FALSE))</f>
        <v>6.8928079728192557</v>
      </c>
      <c r="M44">
        <f t="shared" si="0"/>
        <v>986082482402029.88</v>
      </c>
      <c r="N44">
        <f t="shared" si="1"/>
        <v>2215980815708108.5</v>
      </c>
      <c r="O44">
        <f t="shared" si="2"/>
        <v>2.2472570553227249</v>
      </c>
    </row>
    <row r="45" spans="1:15" x14ac:dyDescent="0.2">
      <c r="A45">
        <f>VLOOKUP(B45,Leonard2010!D:CC,78,FALSE)</f>
        <v>377</v>
      </c>
      <c r="B45" s="12" t="s">
        <v>147</v>
      </c>
      <c r="C45">
        <f>IF(A45&lt;600,VLOOKUP(B45,FaultGeometry!B:C,2,FALSE),VLOOKUP(B45,MultiFaultGeometry!B:C,2,FALSE))</f>
        <v>1</v>
      </c>
      <c r="D45">
        <f>IF(A45&gt;600,VLOOKUP(B45,Leonard2010!F:L,7,FALSE),VLOOKUP(A45,Leonard2010!A:J,10,FALSE))</f>
        <v>337</v>
      </c>
      <c r="E45">
        <f>$C45*IF($A45&lt;600,(VLOOKUP($B45,FaultGeometry!$B:$P,13,FALSE)),VLOOKUP($B45,MultiFaultGeometry!$B:$G,4,FALSE))</f>
        <v>7.9197230226198539E-3</v>
      </c>
      <c r="F45">
        <f>$C45*IF($A45&lt;600,(VLOOKUP($B45,FaultGeometry!$B:$P,14,FALSE)),VLOOKUP($B45,MultiFaultGeometry!$B:$G,5,FALSE))</f>
        <v>0.13381833425453518</v>
      </c>
      <c r="G45">
        <f>$C45*IF($A45&lt;600,(VLOOKUP($B45,FaultGeometry!$B:$P,15,FALSE)),VLOOKUP($B45,MultiFaultGeometry!$B:$G,6,FALSE))</f>
        <v>0.12659762594560514</v>
      </c>
      <c r="H45" t="str">
        <f>IF(A45&lt;600,VLOOKUP(B45,Leonard2010!D:S,16,FALSE),VLOOKUP(B45,Leonard2010!F:W,18,FALSE))</f>
        <v>Y</v>
      </c>
      <c r="I45" s="49">
        <f>IF(A45&lt;600,VLOOKUP(B45,Leonard2010!D:U,18,FALSE),VLOOKUP(B45,Leonard2010!F:Y,21,FALSE))</f>
        <v>457</v>
      </c>
      <c r="J45" t="s">
        <v>308</v>
      </c>
      <c r="K45">
        <v>457</v>
      </c>
      <c r="L45" s="49">
        <f>IF(A45&lt;600,VLOOKUP(B45,Leonard2010!D:BH,57,FALSE),VLOOKUP(B45,Leonard2010!F:BS,66,FALSE))</f>
        <v>6.6921145577329808</v>
      </c>
      <c r="M45">
        <f t="shared" si="0"/>
        <v>2018114298892645.2</v>
      </c>
      <c r="N45">
        <f t="shared" si="1"/>
        <v>2018114298892645.2</v>
      </c>
      <c r="O45">
        <f t="shared" si="2"/>
        <v>1</v>
      </c>
    </row>
    <row r="46" spans="1:15" x14ac:dyDescent="0.2">
      <c r="A46">
        <f>VLOOKUP(B46,Leonard2010!D:CC,78,FALSE)</f>
        <v>380</v>
      </c>
      <c r="B46" s="12" t="s">
        <v>140</v>
      </c>
      <c r="C46">
        <f>IF(A46&lt;600,VLOOKUP(B46,FaultGeometry!B:C,2,FALSE),VLOOKUP(B46,MultiFaultGeometry!B:C,2,FALSE))</f>
        <v>1</v>
      </c>
      <c r="D46">
        <f>IF(A46&gt;600,VLOOKUP(B46,Leonard2010!F:L,7,FALSE),VLOOKUP(A46,Leonard2010!A:J,10,FALSE))</f>
        <v>17</v>
      </c>
      <c r="E46">
        <f>$C46*IF($A46&lt;600,(VLOOKUP($B46,FaultGeometry!$B:$P,13,FALSE)),VLOOKUP($B46,MultiFaultGeometry!$B:$G,4,FALSE))</f>
        <v>5.8960438046292219E-3</v>
      </c>
      <c r="F46">
        <f>$C46*IF($A46&lt;600,(VLOOKUP($B46,FaultGeometry!$B:$P,14,FALSE)),VLOOKUP($B46,MultiFaultGeometry!$B:$G,5,FALSE))</f>
        <v>0.11666457792102265</v>
      </c>
      <c r="G46">
        <f>$C46*IF($A46&lt;600,(VLOOKUP($B46,FaultGeometry!$B:$P,15,FALSE)),VLOOKUP($B46,MultiFaultGeometry!$B:$G,6,FALSE))</f>
        <v>0.11391779361192934</v>
      </c>
      <c r="H46" t="str">
        <f>IF(A46&lt;600,VLOOKUP(B46,Leonard2010!D:S,16,FALSE),VLOOKUP(B46,Leonard2010!F:W,18,FALSE))</f>
        <v>N</v>
      </c>
      <c r="I46" s="49">
        <f>IF(A46&lt;600,VLOOKUP(B46,Leonard2010!D:U,18,FALSE),VLOOKUP(B46,Leonard2010!F:Y,21,FALSE))</f>
        <v>541.12264080782938</v>
      </c>
      <c r="J46" t="s">
        <v>211</v>
      </c>
      <c r="K46">
        <f>IF(J46="Y","TBC",IF(A46&lt;600,VLOOKUP(A46,FaultGeometry!A:F,6,FALSE)*((35-VLOOKUP(A46,FaultGeometry!A:K,11,FALSE))/SIN(RADIANS(VLOOKUP(A46,FaultGeometry!A:H,8,FALSE)))),VLOOKUP(A46,MultiFaultGeometry!A:D,4,FALSE)*((35-VLOOKUP(B46,Leonard2010!F:R,13,FALSE))/SIN(RADIANS(VLOOKUP(B46,Leonard2010!F:Q,9,FALSE))))))</f>
        <v>1367.3321387065985</v>
      </c>
      <c r="L46" s="49">
        <f>IF(A46&lt;600,VLOOKUP(B46,Leonard2010!D:BH,57,FALSE),VLOOKUP(B46,Leonard2010!F:BS,66,FALSE))</f>
        <v>6.7654940630468303</v>
      </c>
      <c r="M46">
        <f t="shared" si="0"/>
        <v>2083284868280700.8</v>
      </c>
      <c r="N46">
        <f t="shared" si="1"/>
        <v>5264134485721799</v>
      </c>
      <c r="O46">
        <f t="shared" si="2"/>
        <v>2.5268433356721873</v>
      </c>
    </row>
    <row r="47" spans="1:15" x14ac:dyDescent="0.2">
      <c r="A47">
        <f>VLOOKUP(B47,Leonard2010!D:CC,78,FALSE)</f>
        <v>383</v>
      </c>
      <c r="B47" s="12" t="s">
        <v>171</v>
      </c>
      <c r="C47">
        <f>IF(A47&lt;600,VLOOKUP(B47,FaultGeometry!B:C,2,FALSE),VLOOKUP(B47,MultiFaultGeometry!B:C,2,FALSE))</f>
        <v>1</v>
      </c>
      <c r="D47">
        <f>IF(A47&gt;600,VLOOKUP(B47,Leonard2010!F:L,7,FALSE),VLOOKUP(A47,Leonard2010!A:J,10,FALSE))</f>
        <v>342</v>
      </c>
      <c r="E47">
        <f>$C47*IF($A47&lt;600,(VLOOKUP($B47,FaultGeometry!$B:$P,13,FALSE)),VLOOKUP($B47,MultiFaultGeometry!$B:$G,4,FALSE))</f>
        <v>8.226243184009845E-3</v>
      </c>
      <c r="F47">
        <f>$C47*IF($A47&lt;600,(VLOOKUP($B47,FaultGeometry!$B:$P,14,FALSE)),VLOOKUP($B47,MultiFaultGeometry!$B:$G,5,FALSE))</f>
        <v>0.13522611515478355</v>
      </c>
      <c r="G47">
        <f>$C47*IF($A47&lt;600,(VLOOKUP($B47,FaultGeometry!$B:$P,15,FALSE)),VLOOKUP($B47,MultiFaultGeometry!$B:$G,6,FALSE))</f>
        <v>0.12819789916380769</v>
      </c>
      <c r="H47" t="str">
        <f>IF(A47&lt;600,VLOOKUP(B47,Leonard2010!D:S,16,FALSE),VLOOKUP(B47,Leonard2010!F:W,18,FALSE))</f>
        <v>Y</v>
      </c>
      <c r="I47" s="49">
        <f>IF(A47&lt;600,VLOOKUP(B47,Leonard2010!D:U,18,FALSE),VLOOKUP(B47,Leonard2010!F:Y,21,FALSE))</f>
        <v>300</v>
      </c>
      <c r="J47" t="s">
        <v>308</v>
      </c>
      <c r="K47">
        <v>300</v>
      </c>
      <c r="L47" s="49">
        <f>IF(A47&lt;600,VLOOKUP(B47,Leonard2010!D:BH,57,FALSE),VLOOKUP(B47,Leonard2010!F:BS,66,FALSE))</f>
        <v>6.5093196123827939</v>
      </c>
      <c r="M47">
        <f t="shared" si="0"/>
        <v>1338738540032357</v>
      </c>
      <c r="N47">
        <f t="shared" si="1"/>
        <v>1338738540032357</v>
      </c>
      <c r="O47">
        <f t="shared" si="2"/>
        <v>1</v>
      </c>
    </row>
    <row r="48" spans="1:15" x14ac:dyDescent="0.2">
      <c r="A48">
        <f>VLOOKUP(B48,Leonard2010!D:CC,78,FALSE)</f>
        <v>389</v>
      </c>
      <c r="B48" s="12" t="s">
        <v>173</v>
      </c>
      <c r="C48">
        <f>IF(A48&lt;600,VLOOKUP(B48,FaultGeometry!B:C,2,FALSE),VLOOKUP(B48,MultiFaultGeometry!B:C,2,FALSE))</f>
        <v>1</v>
      </c>
      <c r="D48">
        <f>IF(A48&gt;600,VLOOKUP(B48,Leonard2010!F:L,7,FALSE),VLOOKUP(A48,Leonard2010!A:J,10,FALSE))</f>
        <v>342</v>
      </c>
      <c r="E48">
        <f>$C48*IF($A48&lt;600,(VLOOKUP($B48,FaultGeometry!$B:$P,13,FALSE)),VLOOKUP($B48,MultiFaultGeometry!$B:$G,4,FALSE))</f>
        <v>8.226243184009845E-3</v>
      </c>
      <c r="F48">
        <f>$C48*IF($A48&lt;600,(VLOOKUP($B48,FaultGeometry!$B:$P,14,FALSE)),VLOOKUP($B48,MultiFaultGeometry!$B:$G,5,FALSE))</f>
        <v>0.13717345902469477</v>
      </c>
      <c r="G48">
        <f>$C48*IF($A48&lt;600,(VLOOKUP($B48,FaultGeometry!$B:$P,15,FALSE)),VLOOKUP($B48,MultiFaultGeometry!$B:$G,6,FALSE))</f>
        <v>0.13241813053247409</v>
      </c>
      <c r="H48" t="str">
        <f>IF(A48&lt;600,VLOOKUP(B48,Leonard2010!D:S,16,FALSE),VLOOKUP(B48,Leonard2010!F:W,18,FALSE))</f>
        <v>N</v>
      </c>
      <c r="I48" s="49">
        <f>IF(A48&lt;600,VLOOKUP(B48,Leonard2010!D:U,18,FALSE),VLOOKUP(B48,Leonard2010!F:Y,21,FALSE))</f>
        <v>105.52316732170247</v>
      </c>
      <c r="J48" t="s">
        <v>211</v>
      </c>
      <c r="K48">
        <f>IF(J48="Y","TBC",IF(A48&lt;600,VLOOKUP(A48,FaultGeometry!A:F,6,FALSE)*((35-VLOOKUP(A48,FaultGeometry!A:K,11,FALSE))/SIN(RADIANS(VLOOKUP(A48,FaultGeometry!A:H,8,FALSE)))),VLOOKUP(A48,MultiFaultGeometry!A:D,4,FALSE)*((35-VLOOKUP(B48,Leonard2010!F:R,13,FALSE))/SIN(RADIANS(VLOOKUP(B48,Leonard2010!F:Q,9,FALSE))))))</f>
        <v>505.4245584147605</v>
      </c>
      <c r="L48" s="49">
        <f>IF(A48&lt;600,VLOOKUP(B48,Leonard2010!D:BH,57,FALSE),VLOOKUP(B48,Leonard2010!F:BS,66,FALSE))</f>
        <v>6.055546175926362</v>
      </c>
      <c r="M48">
        <f t="shared" si="0"/>
        <v>477674269669065.69</v>
      </c>
      <c r="N48">
        <f t="shared" si="1"/>
        <v>2287917553474792.5</v>
      </c>
      <c r="O48">
        <f t="shared" si="2"/>
        <v>4.789702311283941</v>
      </c>
    </row>
    <row r="49" spans="1:15" x14ac:dyDescent="0.2">
      <c r="A49">
        <f>VLOOKUP(B49,Leonard2010!D:CC,78,FALSE)</f>
        <v>391</v>
      </c>
      <c r="B49" s="12" t="s">
        <v>175</v>
      </c>
      <c r="C49">
        <f>IF(A49&lt;600,VLOOKUP(B49,FaultGeometry!B:C,2,FALSE),VLOOKUP(B49,MultiFaultGeometry!B:C,2,FALSE))</f>
        <v>1</v>
      </c>
      <c r="D49">
        <f>IF(A49&gt;600,VLOOKUP(B49,Leonard2010!F:L,7,FALSE),VLOOKUP(A49,Leonard2010!A:J,10,FALSE))</f>
        <v>12</v>
      </c>
      <c r="E49">
        <f>$C49*IF($A49&lt;600,(VLOOKUP($B49,FaultGeometry!$B:$P,13,FALSE)),VLOOKUP($B49,MultiFaultGeometry!$B:$G,4,FALSE))</f>
        <v>6.4443225589232139E-3</v>
      </c>
      <c r="F49">
        <f>$C49*IF($A49&lt;600,(VLOOKUP($B49,FaultGeometry!$B:$P,14,FALSE)),VLOOKUP($B49,MultiFaultGeometry!$B:$G,5,FALSE))</f>
        <v>0.12013105159259883</v>
      </c>
      <c r="G49">
        <f>$C49*IF($A49&lt;600,(VLOOKUP($B49,FaultGeometry!$B:$P,15,FALSE)),VLOOKUP($B49,MultiFaultGeometry!$B:$G,6,FALSE))</f>
        <v>0.11748500341384967</v>
      </c>
      <c r="H49" t="str">
        <f>IF(A49&lt;600,VLOOKUP(B49,Leonard2010!D:S,16,FALSE),VLOOKUP(B49,Leonard2010!F:W,18,FALSE))</f>
        <v>N</v>
      </c>
      <c r="I49" s="49">
        <f>IF(A49&lt;600,VLOOKUP(B49,Leonard2010!D:U,18,FALSE),VLOOKUP(B49,Leonard2010!F:Y,21,FALSE))</f>
        <v>1486.0431837388719</v>
      </c>
      <c r="J49" t="s">
        <v>211</v>
      </c>
      <c r="K49">
        <f>IF(J49="Y","TBC",IF(A49&lt;600,VLOOKUP(A49,FaultGeometry!A:F,6,FALSE)*((35-VLOOKUP(A49,FaultGeometry!A:K,11,FALSE))/SIN(RADIANS(VLOOKUP(A49,FaultGeometry!A:H,8,FALSE)))),VLOOKUP(A49,MultiFaultGeometry!A:D,4,FALSE)*((35-VLOOKUP(B49,Leonard2010!F:R,13,FALSE))/SIN(RADIANS(VLOOKUP(B49,Leonard2010!F:Q,9,FALSE))))))</f>
        <v>2470.9645078054959</v>
      </c>
      <c r="L49" s="49">
        <f>IF(A49&lt;600,VLOOKUP(B49,Leonard2010!D:BH,57,FALSE),VLOOKUP(B49,Leonard2010!F:BS,66,FALSE))</f>
        <v>7.2042297876711316</v>
      </c>
      <c r="M49">
        <f t="shared" si="0"/>
        <v>5891157702360619</v>
      </c>
      <c r="N49">
        <f t="shared" si="1"/>
        <v>9795705637431866</v>
      </c>
      <c r="O49">
        <f t="shared" si="2"/>
        <v>1.66278109199261</v>
      </c>
    </row>
    <row r="50" spans="1:15" x14ac:dyDescent="0.2">
      <c r="A50">
        <f>VLOOKUP(B50,Leonard2010!D:CC,78,FALSE)</f>
        <v>406</v>
      </c>
      <c r="B50" s="57" t="s">
        <v>8</v>
      </c>
      <c r="C50">
        <f>IF(A50&lt;600,VLOOKUP(B50,FaultGeometry!B:C,2,FALSE),VLOOKUP(B50,MultiFaultGeometry!B:C,2,FALSE))</f>
        <v>1</v>
      </c>
      <c r="D50">
        <f>IF(A50&gt;600,VLOOKUP(B50,Leonard2010!F:L,7,FALSE),VLOOKUP(A50,Leonard2010!A:J,10,FALSE))</f>
        <v>151</v>
      </c>
      <c r="E50">
        <f>$C50*IF($A50&lt;600,(VLOOKUP($B50,FaultGeometry!$B:$P,13,FALSE)),VLOOKUP($B50,MultiFaultGeometry!$B:$G,4,FALSE))</f>
        <v>0.78002224363892192</v>
      </c>
      <c r="F50">
        <f>$C50*IF($A50&lt;600,(VLOOKUP($B50,FaultGeometry!$B:$P,14,FALSE)),VLOOKUP($B50,MultiFaultGeometry!$B:$G,5,FALSE))</f>
        <v>2.0299865359104579</v>
      </c>
      <c r="G50">
        <f>$C50*IF($A50&lt;600,(VLOOKUP($B50,FaultGeometry!$B:$P,15,FALSE)),VLOOKUP($B50,MultiFaultGeometry!$B:$G,6,FALSE))</f>
        <v>0.85971416539466949</v>
      </c>
      <c r="H50" t="str">
        <f>IF(A50&lt;600,VLOOKUP(B50,Leonard2010!D:S,16,FALSE),VLOOKUP(B50,Leonard2010!F:W,18,FALSE))</f>
        <v>N</v>
      </c>
      <c r="I50" s="49">
        <f>IF(A50&lt;600,VLOOKUP(B50,Leonard2010!D:U,18,FALSE),VLOOKUP(B50,Leonard2010!F:Y,21,FALSE))</f>
        <v>5985.8252103715186</v>
      </c>
      <c r="J50" t="s">
        <v>211</v>
      </c>
      <c r="K50">
        <f>IF(J50="Y","TBC",IF(A50&lt;600,VLOOKUP(A50,FaultGeometry!A:F,6,FALSE)*((35-VLOOKUP(A50,FaultGeometry!A:K,11,FALSE))/SIN(RADIANS(VLOOKUP(A50,FaultGeometry!A:H,8,FALSE)))),VLOOKUP(A50,MultiFaultGeometry!A:D,4,FALSE)*((35-VLOOKUP(B50,Leonard2010!F:R,13,FALSE))/SIN(RADIANS(VLOOKUP(B50,Leonard2010!F:Q,9,FALSE))))))</f>
        <v>5985.8252103715186</v>
      </c>
      <c r="L50" s="49">
        <f>IF(A50&lt;600,VLOOKUP(B50,Leonard2010!D:BH,57,FALSE),VLOOKUP(B50,Leonard2010!F:BS,66,FALSE))</f>
        <v>7.8093223886972991</v>
      </c>
      <c r="M50">
        <f t="shared" si="0"/>
        <v>4.0098777125112966E+17</v>
      </c>
      <c r="N50">
        <f t="shared" si="1"/>
        <v>4.0098777125112966E+17</v>
      </c>
      <c r="O50">
        <f t="shared" si="2"/>
        <v>1</v>
      </c>
    </row>
    <row r="51" spans="1:15" x14ac:dyDescent="0.2">
      <c r="A51">
        <f>VLOOKUP(B51,Leonard2010!D:CC,78,FALSE)</f>
        <v>407</v>
      </c>
      <c r="B51" s="57" t="s">
        <v>5</v>
      </c>
      <c r="C51">
        <f>IF(A51&lt;600,VLOOKUP(B51,FaultGeometry!B:C,2,FALSE),VLOOKUP(B51,MultiFaultGeometry!B:C,2,FALSE))</f>
        <v>1</v>
      </c>
      <c r="D51">
        <f>IF(A51&gt;600,VLOOKUP(B51,Leonard2010!F:L,7,FALSE),VLOOKUP(A51,Leonard2010!A:J,10,FALSE))</f>
        <v>157</v>
      </c>
      <c r="E51">
        <f>$C51*IF($A51&lt;600,(VLOOKUP($B51,FaultGeometry!$B:$P,13,FALSE)),VLOOKUP($B51,MultiFaultGeometry!$B:$G,4,FALSE))</f>
        <v>1.66622659334505E-2</v>
      </c>
      <c r="F51">
        <f>$C51*IF($A51&lt;600,(VLOOKUP($B51,FaultGeometry!$B:$P,14,FALSE)),VLOOKUP($B51,MultiFaultGeometry!$B:$G,5,FALSE))</f>
        <v>0.20781866564541432</v>
      </c>
      <c r="G51">
        <f>$C51*IF($A51&lt;600,(VLOOKUP($B51,FaultGeometry!$B:$P,15,FALSE)),VLOOKUP($B51,MultiFaultGeometry!$B:$G,6,FALSE))</f>
        <v>0.19414252444793831</v>
      </c>
      <c r="H51" t="str">
        <f>IF(A51&lt;600,VLOOKUP(B51,Leonard2010!D:S,16,FALSE),VLOOKUP(B51,Leonard2010!F:W,18,FALSE))</f>
        <v>N</v>
      </c>
      <c r="I51" s="49">
        <f>IF(A51&lt;600,VLOOKUP(B51,Leonard2010!D:U,18,FALSE),VLOOKUP(B51,Leonard2010!F:Y,21,FALSE))</f>
        <v>818.72496669960219</v>
      </c>
      <c r="J51" t="s">
        <v>211</v>
      </c>
      <c r="K51">
        <f>IF(J51="Y","TBC",IF(A51&lt;600,VLOOKUP(A51,FaultGeometry!A:F,6,FALSE)*((35-VLOOKUP(A51,FaultGeometry!A:K,11,FALSE))/SIN(RADIANS(VLOOKUP(A51,FaultGeometry!A:H,8,FALSE)))),VLOOKUP(A51,MultiFaultGeometry!A:D,4,FALSE)*((35-VLOOKUP(B51,Leonard2010!F:R,13,FALSE))/SIN(RADIANS(VLOOKUP(B51,Leonard2010!F:Q,9,FALSE))))))</f>
        <v>1979.8989873223331</v>
      </c>
      <c r="L51" s="49">
        <f>IF(A51&lt;600,VLOOKUP(B51,Leonard2010!D:BH,57,FALSE),VLOOKUP(B51,Leonard2010!F:BS,66,FALSE))</f>
        <v>6.9453363918960278</v>
      </c>
      <c r="M51">
        <f t="shared" si="0"/>
        <v>5614828893633222</v>
      </c>
      <c r="N51">
        <f t="shared" si="1"/>
        <v>1.357817886671513E+16</v>
      </c>
      <c r="O51">
        <f t="shared" si="2"/>
        <v>2.4182711751219572</v>
      </c>
    </row>
    <row r="52" spans="1:15" x14ac:dyDescent="0.2">
      <c r="A52">
        <f>VLOOKUP(B52,Leonard2010!D:CC,78,FALSE)</f>
        <v>403</v>
      </c>
      <c r="B52" s="29" t="s">
        <v>504</v>
      </c>
      <c r="C52">
        <v>0.5</v>
      </c>
      <c r="D52">
        <f>IF(A52&gt;600,VLOOKUP(B52,Leonard2010!F:L,7,FALSE),VLOOKUP(A52,Leonard2010!A:J,10,FALSE))</f>
        <v>151</v>
      </c>
      <c r="E52">
        <f>$C52*IF($A52&lt;600,(VLOOKUP($B52,FaultGeometry!$B:$P,13,FALSE)),VLOOKUP($B52,MultiFaultGeometry!$B:$G,4,FALSE))</f>
        <v>8.6678513565013483E-3</v>
      </c>
      <c r="F52">
        <f>$C52*IF($A52&lt;600,(VLOOKUP($B52,FaultGeometry!$B:$P,14,FALSE)),VLOOKUP($B52,MultiFaultGeometry!$B:$G,5,FALSE))</f>
        <v>0.13789018805171457</v>
      </c>
      <c r="G52">
        <f>$C52*IF($A52&lt;600,(VLOOKUP($B52,FaultGeometry!$B:$P,15,FALSE)),VLOOKUP($B52,MultiFaultGeometry!$B:$G,6,FALSE))</f>
        <v>9.4479316369408137E-2</v>
      </c>
      <c r="H52" t="s">
        <v>211</v>
      </c>
      <c r="I52" s="49">
        <f>IF(A52&lt;600,VLOOKUP(B52,Leonard2010!D:U,18,FALSE),VLOOKUP(B52,Leonard2010!F:Y,21,FALSE))</f>
        <v>2060.8835278250435</v>
      </c>
      <c r="J52" t="s">
        <v>211</v>
      </c>
      <c r="K52">
        <f>IF(J52="Y","TBC",IF(A52&lt;600,VLOOKUP(A52,FaultGeometry!A:F,6,FALSE)*((35-VLOOKUP(A52,FaultGeometry!A:K,11,FALSE))/SIN(RADIANS(VLOOKUP(A52,FaultGeometry!A:H,8,FALSE)))),VLOOKUP(A52,MultiFaultGeometry!A:D,4,FALSE)*((35-VLOOKUP(B52,Leonard2010!F:R,13,FALSE))/SIN(RADIANS(VLOOKUP(B52,Leonard2010!F:Q,9,FALSE))))))</f>
        <v>3089.1158094759039</v>
      </c>
      <c r="L52" s="49">
        <f>IF(A52&lt;600,VLOOKUP(B52,Leonard2010!D:BH,57,FALSE),VLOOKUP(B52,Leonard2010!F:BS,66,FALSE))</f>
        <v>7.3462518057003621</v>
      </c>
      <c r="M52">
        <f t="shared" si="0"/>
        <v>9377795367747714</v>
      </c>
      <c r="N52">
        <f t="shared" si="1"/>
        <v>1.4056639076111176E+16</v>
      </c>
      <c r="O52">
        <f t="shared" si="2"/>
        <v>1.4989278956176659</v>
      </c>
    </row>
    <row r="53" spans="1:15" x14ac:dyDescent="0.2">
      <c r="A53">
        <f>VLOOKUP(B53,Leonard2010!D:CC,78,FALSE)</f>
        <v>419</v>
      </c>
      <c r="B53" s="29" t="s">
        <v>177</v>
      </c>
      <c r="C53">
        <v>1</v>
      </c>
      <c r="D53">
        <f>IF(A53&gt;600,VLOOKUP(B53,Leonard2010!F:L,7,FALSE),VLOOKUP(A53,Leonard2010!A:J,10,FALSE))</f>
        <v>155</v>
      </c>
      <c r="E53">
        <f>$C53*IF($A53&lt;600,(VLOOKUP($B53,FaultGeometry!$B:$P,13,FALSE)),VLOOKUP($B53,MultiFaultGeometry!$B:$G,4,FALSE))</f>
        <v>1.5120643349735464E-2</v>
      </c>
      <c r="F53">
        <f>$C53*IF($A53&lt;600,(VLOOKUP($B53,FaultGeometry!$B:$P,14,FALSE)),VLOOKUP($B53,MultiFaultGeometry!$B:$G,5,FALSE))</f>
        <v>0.33007793897920396</v>
      </c>
      <c r="G53">
        <f>$C53*IF($A53&lt;600,(VLOOKUP($B53,FaultGeometry!$B:$P,15,FALSE)),VLOOKUP($B53,MultiFaultGeometry!$B:$G,6,FALSE))</f>
        <v>0.2500345521226367</v>
      </c>
      <c r="H53" t="s">
        <v>211</v>
      </c>
      <c r="I53" s="49">
        <f>IF(A53&lt;600,VLOOKUP(B53,Leonard2010!D:U,18,FALSE),VLOOKUP(B53,Leonard2010!F:Y,21,FALSE))</f>
        <v>347.03068988127865</v>
      </c>
      <c r="J53" t="s">
        <v>211</v>
      </c>
      <c r="K53">
        <f>IF(J53="Y","TBC",IF(A53&lt;600,VLOOKUP(A53,FaultGeometry!A:F,6,FALSE)*((35-VLOOKUP(A53,FaultGeometry!A:K,11,FALSE))/SIN(RADIANS(VLOOKUP(A53,FaultGeometry!A:H,8,FALSE)))),VLOOKUP(A53,MultiFaultGeometry!A:D,4,FALSE)*((35-VLOOKUP(B53,Leonard2010!F:R,13,FALSE))/SIN(RADIANS(VLOOKUP(B53,Leonard2010!F:Q,9,FALSE))))))</f>
        <v>1032.4484569327158</v>
      </c>
      <c r="L53" s="49">
        <f>IF(A53&lt;600,VLOOKUP(B53,Leonard2010!D:BH,57,FALSE),VLOOKUP(B53,Leonard2010!F:BS,66,FALSE))</f>
        <v>6.5725662412629902</v>
      </c>
      <c r="M53">
        <f t="shared" si="0"/>
        <v>3780056770991943</v>
      </c>
      <c r="N53">
        <f t="shared" si="1"/>
        <v>1.1246019139298138E+16</v>
      </c>
      <c r="O53">
        <f t="shared" si="2"/>
        <v>2.9750926561737896</v>
      </c>
    </row>
    <row r="54" spans="1:15" x14ac:dyDescent="0.2">
      <c r="A54">
        <f>VLOOKUP(B54,Leonard2010!F:CE,78,FALSE)</f>
        <v>601</v>
      </c>
      <c r="B54" t="s">
        <v>2</v>
      </c>
      <c r="C54">
        <f>IF(A54&lt;600,VLOOKUP(B54,FaultGeometry!B:C,2,FALSE),VLOOKUP(B54,MultiFaultGeometry!B:C,2,FALSE))</f>
        <v>1</v>
      </c>
      <c r="D54">
        <f>IF(A54&gt;600,VLOOKUP(B54,Leonard2010!F:L,7,FALSE),VLOOKUP(A54,Leonard2010!A:J,10,FALSE))</f>
        <v>319</v>
      </c>
      <c r="E54">
        <f>$C54*IF($A54&lt;600,(VLOOKUP($B54,FaultGeometry!$B:$P,13,FALSE)),VLOOKUP($B54,MultiFaultGeometry!$B:$G,4,FALSE))</f>
        <v>8.9928861137391E-3</v>
      </c>
      <c r="F54">
        <f>$C54*IF($A54&lt;600,(VLOOKUP($B54,FaultGeometry!$B:$P,14,FALSE)),VLOOKUP($B54,MultiFaultGeometry!$B:$G,5,FALSE))</f>
        <v>7.8193447775450703E-2</v>
      </c>
      <c r="G54">
        <f>$C54*IF($A54&lt;600,(VLOOKUP($B54,FaultGeometry!$B:$P,15,FALSE)),VLOOKUP($B54,MultiFaultGeometry!$B:$G,6,FALSE))</f>
        <v>6.4495548372199438E-2</v>
      </c>
      <c r="H54" t="str">
        <f>IF(A54&lt;600,VLOOKUP(B54,Leonard2010!D:S,16,FALSE),VLOOKUP(B54,Leonard2010!F:W,18,FALSE))</f>
        <v>Y</v>
      </c>
      <c r="I54" s="49">
        <f>IF(A54&lt;600,VLOOKUP(B54,Leonard2010!D:U,18,FALSE),VLOOKUP(B54,Leonard2010!F:Y,20,FALSE))</f>
        <v>1218</v>
      </c>
      <c r="J54" t="s">
        <v>308</v>
      </c>
      <c r="K54">
        <f>146+270+483+491</f>
        <v>1390</v>
      </c>
      <c r="L54" s="49">
        <f>IF(A54&lt;600,VLOOKUP(B54,Leonard2010!D:BH,57,FALSE),VLOOKUP(B54,Leonard2010!F:BS,66,FALSE))</f>
        <v>7.1178456459599886</v>
      </c>
      <c r="M54">
        <f t="shared" si="0"/>
        <v>3142907439886465</v>
      </c>
      <c r="N54">
        <f t="shared" si="1"/>
        <v>3586733449459924</v>
      </c>
      <c r="O54">
        <f t="shared" si="2"/>
        <v>1.1412151067323484</v>
      </c>
    </row>
    <row r="55" spans="1:15" x14ac:dyDescent="0.2">
      <c r="A55">
        <f>VLOOKUP(B55,Leonard2010!F:CE,78,FALSE)</f>
        <v>602</v>
      </c>
      <c r="B55" s="8" t="s">
        <v>430</v>
      </c>
      <c r="C55">
        <f>IF(A55&lt;600,VLOOKUP(B55,FaultGeometry!B:C,2,FALSE),VLOOKUP(B55,MultiFaultGeometry!B:C,2,FALSE))</f>
        <v>1</v>
      </c>
      <c r="D55">
        <f>IF(A55&gt;600,VLOOKUP(B55,Leonard2010!F:L,7,FALSE),VLOOKUP(A55,Leonard2010!A:J,10,FALSE))</f>
        <v>137</v>
      </c>
      <c r="E55">
        <f>$C55*IF($A55&lt;600,(VLOOKUP($B55,FaultGeometry!$B:$P,13,FALSE)),VLOOKUP($B55,MultiFaultGeometry!$B:$G,4,FALSE))</f>
        <v>8.4851473806598077E-3</v>
      </c>
      <c r="F55">
        <f>$C55*IF($A55&lt;600,(VLOOKUP($B55,FaultGeometry!$B:$P,14,FALSE)),VLOOKUP($B55,MultiFaultGeometry!$B:$G,5,FALSE))</f>
        <v>7.6669619313863166E-2</v>
      </c>
      <c r="G55">
        <f>$C55*IF($A55&lt;600,(VLOOKUP($B55,FaultGeometry!$B:$P,15,FALSE)),VLOOKUP($B55,MultiFaultGeometry!$B:$G,6,FALSE))</f>
        <v>6.35791490680995E-2</v>
      </c>
      <c r="H55" t="str">
        <f>IF(A55&lt;600,VLOOKUP(B55,Leonard2010!D:S,16,FALSE),VLOOKUP(B55,Leonard2010!F:W,18,FALSE))</f>
        <v>N</v>
      </c>
      <c r="I55" s="49">
        <f>IF(A55&lt;600,VLOOKUP(B55,Leonard2010!D:U,18,FALSE),VLOOKUP(B55,Leonard2010!F:Y,20,FALSE))</f>
        <v>2147.8797121132443</v>
      </c>
      <c r="J55" t="s">
        <v>211</v>
      </c>
      <c r="K55">
        <f>IF(J55="Y","TBC",IF(A55&lt;600,VLOOKUP(A55,FaultGeometry!A:F,6,FALSE)*((35-VLOOKUP(A55,FaultGeometry!A:K,11,FALSE))/SIN(RADIANS(VLOOKUP(A55,FaultGeometry!A:H,8,FALSE)))),VLOOKUP(A55,MultiFaultGeometry!A:D,4,FALSE)*((35-VLOOKUP(B55,Leonard2010!F:R,13,FALSE))/SIN(RADIANS(VLOOKUP(B55,Leonard2010!F:Q,9,FALSE))))))</f>
        <v>3181.6767073749693</v>
      </c>
      <c r="L55" s="49">
        <f>IF(A55&lt;600,VLOOKUP(B55,Leonard2010!D:BH,57,FALSE),VLOOKUP(B55,Leonard2010!F:BS,66,FALSE))</f>
        <v>7.3642083135415604</v>
      </c>
      <c r="M55">
        <f t="shared" si="0"/>
        <v>5434344955369852</v>
      </c>
      <c r="N55">
        <f t="shared" si="1"/>
        <v>8049952083829409</v>
      </c>
      <c r="O55">
        <f t="shared" si="2"/>
        <v>1.4813104707081561</v>
      </c>
    </row>
    <row r="56" spans="1:15" x14ac:dyDescent="0.2">
      <c r="A56">
        <f>VLOOKUP(B56,Leonard2010!F:CE,78,FALSE)</f>
        <v>603</v>
      </c>
      <c r="B56" s="11" t="s">
        <v>240</v>
      </c>
      <c r="C56">
        <f>IF(A56&lt;600,VLOOKUP(B56,FaultGeometry!B:C,2,FALSE),VLOOKUP(B56,MultiFaultGeometry!B:C,2,FALSE))</f>
        <v>1</v>
      </c>
      <c r="D56">
        <f>IF(A56&gt;600,VLOOKUP(B56,Leonard2010!F:L,7,FALSE),VLOOKUP(A56,Leonard2010!A:J,10,FALSE))</f>
        <v>10</v>
      </c>
      <c r="E56">
        <f>$C56*IF($A56&lt;600,(VLOOKUP($B56,FaultGeometry!$B:$P,13,FALSE)),VLOOKUP($B56,MultiFaultGeometry!$B:$G,4,FALSE))</f>
        <v>5.168471099698522E-3</v>
      </c>
      <c r="F56">
        <f>$C56*IF($A56&lt;600,(VLOOKUP($B56,FaultGeometry!$B:$P,14,FALSE)),VLOOKUP($B56,MultiFaultGeometry!$B:$G,5,FALSE))</f>
        <v>4.4052253241217691E-2</v>
      </c>
      <c r="G56">
        <f>$C56*IF($A56&lt;600,(VLOOKUP($B56,FaultGeometry!$B:$P,15,FALSE)),VLOOKUP($B56,MultiFaultGeometry!$B:$G,6,FALSE))</f>
        <v>3.5074728020236257E-2</v>
      </c>
      <c r="H56" t="str">
        <f>IF(A56&lt;600,VLOOKUP(B56,Leonard2010!D:S,16,FALSE),VLOOKUP(B56,Leonard2010!F:W,18,FALSE))</f>
        <v>Y</v>
      </c>
      <c r="I56" s="49">
        <f>IF(A56&lt;600,VLOOKUP(B56,Leonard2010!D:U,18,FALSE),VLOOKUP(B56,Leonard2010!F:Y,20,FALSE))</f>
        <v>2420.1000000000004</v>
      </c>
      <c r="J56" t="s">
        <v>308</v>
      </c>
      <c r="K56">
        <v>2421</v>
      </c>
      <c r="L56" s="49">
        <f>IF(A56&lt;600,VLOOKUP(B56,Leonard2010!D:BH,57,FALSE),VLOOKUP(B56,Leonard2010!F:BS,66,FALSE))</f>
        <v>7.4160316693257586</v>
      </c>
      <c r="M56">
        <f t="shared" si="0"/>
        <v>3518158316279341</v>
      </c>
      <c r="N56">
        <f t="shared" si="1"/>
        <v>3519466668200605</v>
      </c>
      <c r="O56">
        <f t="shared" si="2"/>
        <v>1.0003718854592785</v>
      </c>
    </row>
    <row r="57" spans="1:15" x14ac:dyDescent="0.2">
      <c r="A57">
        <f>VLOOKUP(B57,Leonard2010!F:CE,78,FALSE)</f>
        <v>604</v>
      </c>
      <c r="B57" s="8" t="s">
        <v>437</v>
      </c>
      <c r="C57">
        <f>IF(A57&lt;600,VLOOKUP(B57,FaultGeometry!B:C,2,FALSE),VLOOKUP(B57,MultiFaultGeometry!B:C,2,FALSE))</f>
        <v>1</v>
      </c>
      <c r="D57">
        <f>IF(A57&gt;600,VLOOKUP(B57,Leonard2010!F:L,7,FALSE),VLOOKUP(A57,Leonard2010!A:J,10,FALSE))</f>
        <v>179</v>
      </c>
      <c r="E57">
        <f>$C57*IF($A57&lt;600,(VLOOKUP($B57,FaultGeometry!$B:$P,13,FALSE)),VLOOKUP($B57,MultiFaultGeometry!$B:$G,4,FALSE))</f>
        <v>6.8023404788633939E-3</v>
      </c>
      <c r="F57">
        <f>$C57*IF($A57&lt;600,(VLOOKUP($B57,FaultGeometry!$B:$P,14,FALSE)),VLOOKUP($B57,MultiFaultGeometry!$B:$G,5,FALSE))</f>
        <v>4.3243463798458837E-2</v>
      </c>
      <c r="G57">
        <f>$C57*IF($A57&lt;600,(VLOOKUP($B57,FaultGeometry!$B:$P,15,FALSE)),VLOOKUP($B57,MultiFaultGeometry!$B:$G,6,FALSE))</f>
        <v>3.1064160922074011E-2</v>
      </c>
      <c r="H57" t="s">
        <v>211</v>
      </c>
      <c r="I57" s="49">
        <f>IF(A57&lt;600,VLOOKUP(B57,Leonard2010!D:U,18,FALSE),VLOOKUP(B57,Leonard2010!F:Y,20,FALSE))</f>
        <v>404.45809706888934</v>
      </c>
      <c r="J57" t="s">
        <v>308</v>
      </c>
      <c r="K57">
        <f>185+281</f>
        <v>466</v>
      </c>
      <c r="L57" s="49">
        <f>IF(A57&lt;600,VLOOKUP(B57,Leonard2010!D:BH,57,FALSE),VLOOKUP(B57,Leonard2010!F:BS,66,FALSE))</f>
        <v>6.6390718918823355</v>
      </c>
      <c r="M57">
        <f t="shared" si="0"/>
        <v>577175579593538.12</v>
      </c>
      <c r="N57">
        <f t="shared" si="1"/>
        <v>664997986292699.88</v>
      </c>
      <c r="O57">
        <f t="shared" si="2"/>
        <v>1.1521589093582383</v>
      </c>
    </row>
    <row r="58" spans="1:15" x14ac:dyDescent="0.2">
      <c r="A58">
        <f>VLOOKUP(B58,Leonard2010!F:CE,78,FALSE)</f>
        <v>605</v>
      </c>
      <c r="B58" s="50" t="s">
        <v>178</v>
      </c>
      <c r="C58">
        <f>IF(A58&lt;600,VLOOKUP(B58,FaultGeometry!B:C,2,FALSE),VLOOKUP(B58,MultiFaultGeometry!B:C,2,FALSE))</f>
        <v>1</v>
      </c>
      <c r="D58">
        <f>IF(A58&gt;600,VLOOKUP(B58,Leonard2010!F:L,7,FALSE),VLOOKUP(A58,Leonard2010!A:J,10,FALSE))</f>
        <v>166</v>
      </c>
      <c r="E58">
        <f>$C58*IF($A58&lt;600,(VLOOKUP($B58,FaultGeometry!$B:$P,13,FALSE)),VLOOKUP($B58,MultiFaultGeometry!$B:$G,4,FALSE))</f>
        <v>5.4857249378980023E-3</v>
      </c>
      <c r="F58">
        <f>$C58*IF($A58&lt;600,(VLOOKUP($B58,FaultGeometry!$B:$P,14,FALSE)),VLOOKUP($B58,MultiFaultGeometry!$B:$G,5,FALSE))</f>
        <v>8.0202864020930617E-2</v>
      </c>
      <c r="G58">
        <f>$C58*IF($A58&lt;600,(VLOOKUP($B58,FaultGeometry!$B:$P,15,FALSE)),VLOOKUP($B58,MultiFaultGeometry!$B:$G,6,FALSE))</f>
        <v>8.1469885419419463E-2</v>
      </c>
      <c r="H58" t="str">
        <f>IF(A58&lt;600,VLOOKUP(B58,Leonard2010!D:S,16,FALSE),VLOOKUP(B58,Leonard2010!F:W,18,FALSE))</f>
        <v>N</v>
      </c>
      <c r="I58" s="49">
        <f>IF(A58&lt;600,VLOOKUP(B58,Leonard2010!D:U,18,FALSE),VLOOKUP(B58,Leonard2010!F:Y,20,FALSE))</f>
        <v>1207.4162380799787</v>
      </c>
      <c r="J58" t="s">
        <v>211</v>
      </c>
      <c r="K58">
        <f>IF(J58="Y","TBC",IF(A58&lt;600,VLOOKUP(A58,FaultGeometry!A:F,6,FALSE)*((35-VLOOKUP(A58,FaultGeometry!A:K,11,FALSE))/SIN(RADIANS(VLOOKUP(A58,FaultGeometry!A:H,8,FALSE)))),VLOOKUP(A58,MultiFaultGeometry!A:D,4,FALSE)*((35-VLOOKUP(B58,Leonard2010!F:R,13,FALSE))/SIN(RADIANS(VLOOKUP(B58,Leonard2010!F:Q,9,FALSE))))))</f>
        <v>2213.1497757911288</v>
      </c>
      <c r="L58" s="49">
        <f>IF(A58&lt;600,VLOOKUP(B58,Leonard2010!D:BH,57,FALSE),VLOOKUP(B58,Leonard2010!F:BS,66,FALSE))</f>
        <v>7.1140553698805276</v>
      </c>
      <c r="M58">
        <f t="shared" si="0"/>
        <v>3195661931859940</v>
      </c>
      <c r="N58">
        <f t="shared" si="1"/>
        <v>5857531367349057</v>
      </c>
      <c r="O58">
        <f t="shared" si="2"/>
        <v>1.8329634023395758</v>
      </c>
    </row>
    <row r="59" spans="1:15" x14ac:dyDescent="0.2">
      <c r="A59">
        <f>VLOOKUP(B59,Leonard2010!F:CE,78,FALSE)</f>
        <v>606</v>
      </c>
      <c r="B59" s="50" t="s">
        <v>457</v>
      </c>
      <c r="C59">
        <f>IF(A59&lt;600,VLOOKUP(B59,FaultGeometry!B:C,2,FALSE),VLOOKUP(B59,MultiFaultGeometry!B:C,2,FALSE))</f>
        <v>0.5</v>
      </c>
      <c r="D59">
        <f>IF(A59&gt;600,VLOOKUP(B59,Leonard2010!F:L,7,FALSE),VLOOKUP(A59,Leonard2010!A:J,10,FALSE))</f>
        <v>182</v>
      </c>
      <c r="E59">
        <f>$C59*IF($A59&lt;600,(VLOOKUP($B59,FaultGeometry!$B:$P,13,FALSE)),VLOOKUP($B59,MultiFaultGeometry!$B:$G,4,FALSE))</f>
        <v>2.3000000000000004E-3</v>
      </c>
      <c r="F59">
        <f>$C59*IF($A59&lt;600,(VLOOKUP($B59,FaultGeometry!$B:$P,14,FALSE)),VLOOKUP($B59,MultiFaultGeometry!$B:$G,5,FALSE))</f>
        <v>3.8327854999302788E-2</v>
      </c>
      <c r="G59">
        <f>$C59*IF($A59&lt;600,(VLOOKUP($B59,FaultGeometry!$B:$P,15,FALSE)),VLOOKUP($B59,MultiFaultGeometry!$B:$G,6,FALSE))</f>
        <v>3.9887382346850679E-2</v>
      </c>
      <c r="H59" t="str">
        <f>IF(A59&lt;600,VLOOKUP(B59,Leonard2010!D:S,16,FALSE),VLOOKUP(B59,Leonard2010!F:W,18,FALSE))</f>
        <v>Y</v>
      </c>
      <c r="I59" s="49">
        <f>IF(A59&lt;600,VLOOKUP(B59,Leonard2010!D:U,18,FALSE),VLOOKUP(B59,Leonard2010!F:Y,20,FALSE))</f>
        <v>3211.4643646013355</v>
      </c>
      <c r="J59" t="s">
        <v>308</v>
      </c>
      <c r="K59">
        <f>1315+2059</f>
        <v>3374</v>
      </c>
      <c r="L59" s="49">
        <f>IF(A59&lt;600,VLOOKUP(B59,Leonard2010!D:BH,57,FALSE),VLOOKUP(B59,Leonard2010!F:BS,66,FALSE))</f>
        <v>7.5389014649745265</v>
      </c>
      <c r="M59">
        <f t="shared" si="0"/>
        <v>4061921836561645.5</v>
      </c>
      <c r="N59">
        <f t="shared" si="1"/>
        <v>4267500031332370.5</v>
      </c>
      <c r="O59">
        <f t="shared" si="2"/>
        <v>1.0506110661510768</v>
      </c>
    </row>
    <row r="60" spans="1:15" x14ac:dyDescent="0.2">
      <c r="A60">
        <f>VLOOKUP(B60,Leonard2010!F:CE,78,FALSE)</f>
        <v>607</v>
      </c>
      <c r="B60" s="50" t="s">
        <v>458</v>
      </c>
      <c r="C60">
        <f>IF(A60&lt;600,VLOOKUP(B60,FaultGeometry!B:C,2,FALSE),VLOOKUP(B60,MultiFaultGeometry!B:C,2,FALSE))</f>
        <v>0.5</v>
      </c>
      <c r="D60">
        <f>IF(A60&gt;600,VLOOKUP(B60,Leonard2010!F:L,7,FALSE),VLOOKUP(A60,Leonard2010!A:J,10,FALSE))</f>
        <v>3</v>
      </c>
      <c r="E60">
        <f>$C60*IF($A60&lt;600,(VLOOKUP($B60,FaultGeometry!$B:$P,13,FALSE)),VLOOKUP($B60,MultiFaultGeometry!$B:$G,4,FALSE))</f>
        <v>2.2659677909089349E-3</v>
      </c>
      <c r="F60">
        <f>$C60*IF($A60&lt;600,(VLOOKUP($B60,FaultGeometry!$B:$P,14,FALSE)),VLOOKUP($B60,MultiFaultGeometry!$B:$G,5,FALSE))</f>
        <v>3.8320425758801908E-2</v>
      </c>
      <c r="G60">
        <f>$C60*IF($A60&lt;600,(VLOOKUP($B60,FaultGeometry!$B:$P,15,FALSE)),VLOOKUP($B60,MultiFaultGeometry!$B:$G,6,FALSE))</f>
        <v>3.9627498379065464E-2</v>
      </c>
      <c r="H60" t="str">
        <f>IF(A60&lt;600,VLOOKUP(B60,Leonard2010!D:S,16,FALSE),VLOOKUP(B60,Leonard2010!F:W,18,FALSE))</f>
        <v>Y</v>
      </c>
      <c r="I60" s="49">
        <f>IF(A60&lt;600,VLOOKUP(B60,Leonard2010!D:U,18,FALSE),VLOOKUP(B60,Leonard2010!F:Y,20,FALSE))</f>
        <v>3211.4643646013355</v>
      </c>
      <c r="J60" t="s">
        <v>308</v>
      </c>
      <c r="K60">
        <f>1315+2059</f>
        <v>3374</v>
      </c>
      <c r="L60" s="49">
        <f>IF(A60&lt;600,VLOOKUP(B60,Leonard2010!D:BH,57,FALSE),VLOOKUP(B60,Leonard2010!F:BS,66,FALSE))</f>
        <v>7.5389014649745265</v>
      </c>
      <c r="M60">
        <f t="shared" si="0"/>
        <v>4061134498104533</v>
      </c>
      <c r="N60">
        <f t="shared" si="1"/>
        <v>4266672844836521.5</v>
      </c>
      <c r="O60">
        <f t="shared" si="2"/>
        <v>1.0506110661510768</v>
      </c>
    </row>
    <row r="61" spans="1:15" x14ac:dyDescent="0.2">
      <c r="A61">
        <f>VLOOKUP(B61,Leonard2010!F:CE,78,FALSE)</f>
        <v>608</v>
      </c>
      <c r="B61" s="50" t="s">
        <v>448</v>
      </c>
      <c r="C61">
        <f>IF(A61&lt;600,VLOOKUP(B61,FaultGeometry!B:C,2,FALSE),VLOOKUP(B61,MultiFaultGeometry!B:C,2,FALSE))</f>
        <v>0.33333333333333331</v>
      </c>
      <c r="D61">
        <f>IF(A61&gt;600,VLOOKUP(B61,Leonard2010!F:L,7,FALSE),VLOOKUP(A61,Leonard2010!A:J,10,FALSE))</f>
        <v>170</v>
      </c>
      <c r="E61">
        <f>$C61*IF($A61&lt;600,(VLOOKUP($B61,FaultGeometry!$B:$P,13,FALSE)),VLOOKUP($B61,MultiFaultGeometry!$B:$G,4,FALSE))</f>
        <v>6.6274857869444842E-2</v>
      </c>
      <c r="F61">
        <f>$C61*IF($A61&lt;600,(VLOOKUP($B61,FaultGeometry!$B:$P,14,FALSE)),VLOOKUP($B61,MultiFaultGeometry!$B:$G,5,FALSE))</f>
        <v>0.17474171248969916</v>
      </c>
      <c r="G61">
        <f>$C61*IF($A61&lt;600,(VLOOKUP($B61,FaultGeometry!$B:$P,15,FALSE)),VLOOKUP($B61,MultiFaultGeometry!$B:$G,6,FALSE))</f>
        <v>7.7998251235883553E-2</v>
      </c>
      <c r="H61" t="str">
        <f>IF(A61&lt;600,VLOOKUP(B61,Leonard2010!D:S,16,FALSE),VLOOKUP(B61,Leonard2010!F:W,18,FALSE))</f>
        <v>Y</v>
      </c>
      <c r="I61" s="49">
        <f>IF(A61&lt;600,VLOOKUP(B61,Leonard2010!D:U,18,FALSE),VLOOKUP(B61,Leonard2010!F:Y,20,FALSE))</f>
        <v>11029.04731165713</v>
      </c>
      <c r="J61" t="s">
        <v>308</v>
      </c>
      <c r="K61">
        <v>11029</v>
      </c>
      <c r="L61" s="49">
        <f>IF(A61&lt;600,VLOOKUP(B61,Leonard2010!D:BH,57,FALSE),VLOOKUP(B61,Leonard2010!F:BS,66,FALSE))</f>
        <v>8.0747363573962048</v>
      </c>
      <c r="M61">
        <f t="shared" si="0"/>
        <v>6.3598742274173024E+16</v>
      </c>
      <c r="N61">
        <f t="shared" si="1"/>
        <v>6.3598469452613432E+16</v>
      </c>
      <c r="O61">
        <f t="shared" si="2"/>
        <v>0.99999571026800471</v>
      </c>
    </row>
    <row r="62" spans="1:15" x14ac:dyDescent="0.2">
      <c r="A62">
        <f>VLOOKUP(B62,Leonard2010!F:CE,78,FALSE)</f>
        <v>609</v>
      </c>
      <c r="B62" s="50" t="s">
        <v>447</v>
      </c>
      <c r="C62">
        <f>IF(A62&lt;600,VLOOKUP(B62,FaultGeometry!B:C,2,FALSE),VLOOKUP(B62,MultiFaultGeometry!B:C,2,FALSE))</f>
        <v>0.33333333333333331</v>
      </c>
      <c r="D62">
        <f>IF(A62&gt;600,VLOOKUP(B62,Leonard2010!F:L,7,FALSE),VLOOKUP(A62,Leonard2010!A:J,10,FALSE))</f>
        <v>172</v>
      </c>
      <c r="E62">
        <f>$C62*IF($A62&lt;600,(VLOOKUP($B62,FaultGeometry!$B:$P,13,FALSE)),VLOOKUP($B62,MultiFaultGeometry!$B:$G,4,FALSE))</f>
        <v>6.5004662803710325E-2</v>
      </c>
      <c r="F62">
        <f>$C62*IF($A62&lt;600,(VLOOKUP($B62,FaultGeometry!$B:$P,14,FALSE)),VLOOKUP($B62,MultiFaultGeometry!$B:$G,5,FALSE))</f>
        <v>0.17456972975559598</v>
      </c>
      <c r="G62">
        <f>$C62*IF($A62&lt;600,(VLOOKUP($B62,FaultGeometry!$B:$P,15,FALSE)),VLOOKUP($B62,MultiFaultGeometry!$B:$G,6,FALSE))</f>
        <v>7.7882905835428617E-2</v>
      </c>
      <c r="H62" t="s">
        <v>308</v>
      </c>
      <c r="I62" s="49">
        <f>IF(A62&lt;600,VLOOKUP(B62,Leonard2010!D:U,18,FALSE),VLOOKUP(B62,Leonard2010!F:Y,20,FALSE))</f>
        <v>10059.953872799522</v>
      </c>
      <c r="J62" t="s">
        <v>308</v>
      </c>
      <c r="K62">
        <v>10060</v>
      </c>
      <c r="L62" s="49">
        <f>IF(A62&lt;600,VLOOKUP(B62,Leonard2010!D:BH,57,FALSE),VLOOKUP(B62,Leonard2010!F:BS,66,FALSE))</f>
        <v>8.0347943470475958</v>
      </c>
      <c r="M62">
        <f t="shared" si="0"/>
        <v>5.7953393154636336E+16</v>
      </c>
      <c r="N62">
        <f t="shared" si="1"/>
        <v>5.7953658884262752E+16</v>
      </c>
      <c r="O62">
        <f t="shared" si="2"/>
        <v>1.0000045852298192</v>
      </c>
    </row>
    <row r="63" spans="1:15" x14ac:dyDescent="0.2">
      <c r="A63">
        <f>VLOOKUP(B63,Leonard2010!F:CE,78,FALSE)</f>
        <v>610</v>
      </c>
      <c r="B63" s="50" t="s">
        <v>533</v>
      </c>
      <c r="C63">
        <f>IF(A63&lt;600,VLOOKUP(B63,FaultGeometry!B:C,2,FALSE),VLOOKUP(B63,MultiFaultGeometry!B:C,2,FALSE))</f>
        <v>0.33333333333333331</v>
      </c>
      <c r="D63">
        <f>IF(A63&gt;600,VLOOKUP(B63,Leonard2010!F:L,7,FALSE),VLOOKUP(A63,Leonard2010!A:J,10,FALSE))</f>
        <v>165</v>
      </c>
      <c r="E63">
        <f>$C63*IF($A63&lt;600,(VLOOKUP($B63,FaultGeometry!$B:$P,13,FALSE)),VLOOKUP($B63,MultiFaultGeometry!$B:$G,4,FALSE))</f>
        <v>6.9093940369847007E-2</v>
      </c>
      <c r="F63">
        <f>$C63*IF($A63&lt;600,(VLOOKUP($B63,FaultGeometry!$B:$P,14,FALSE)),VLOOKUP($B63,MultiFaultGeometry!$B:$G,5,FALSE))</f>
        <v>0.17592536377397472</v>
      </c>
      <c r="G63">
        <f>$C63*IF($A63&lt;600,(VLOOKUP($B63,FaultGeometry!$B:$P,15,FALSE)),VLOOKUP($B63,MultiFaultGeometry!$B:$G,6,FALSE))</f>
        <v>7.7688747335721786E-2</v>
      </c>
      <c r="H63" t="s">
        <v>211</v>
      </c>
      <c r="I63" s="49">
        <f>IF(A63&lt;600,VLOOKUP(B63,Leonard2010!D:U,18,FALSE),VLOOKUP(B63,Leonard2010!F:Y,20,FALSE))</f>
        <v>9930.6879048370247</v>
      </c>
      <c r="J63" t="s">
        <v>211</v>
      </c>
      <c r="K63">
        <f>IF(J63="Y","TBC",IF(A63&lt;600,VLOOKUP(A63,FaultGeometry!A:F,6,FALSE)*((35-VLOOKUP(A63,FaultGeometry!A:K,11,FALSE))/SIN(RADIANS(VLOOKUP(A63,FaultGeometry!A:H,8,FALSE)))),VLOOKUP(A63,MultiFaultGeometry!A:D,4,FALSE)*((35-VLOOKUP(B63,Leonard2010!F:R,13,FALSE))/SIN(RADIANS(VLOOKUP(B63,Leonard2010!F:Q,9,FALSE))))))</f>
        <v>9930.6879048370247</v>
      </c>
      <c r="L63" s="49">
        <f>IF(A63&lt;600,VLOOKUP(B63,Leonard2010!D:BH,57,FALSE),VLOOKUP(B63,Leonard2010!F:BS,66,FALSE))</f>
        <v>8.0291776910454349</v>
      </c>
      <c r="M63">
        <f t="shared" si="0"/>
        <v>5.7652976112080728E+16</v>
      </c>
      <c r="N63">
        <f t="shared" si="1"/>
        <v>5.7652976112080728E+16</v>
      </c>
      <c r="O63">
        <f t="shared" si="2"/>
        <v>1</v>
      </c>
    </row>
    <row r="64" spans="1:15" x14ac:dyDescent="0.2">
      <c r="A64">
        <f>VLOOKUP(B64,Leonard2010!F:CE,78,FALSE)</f>
        <v>611</v>
      </c>
      <c r="B64" s="50" t="s">
        <v>415</v>
      </c>
      <c r="C64">
        <f>IF(A64&lt;600,VLOOKUP(B64,FaultGeometry!B:C,2,FALSE),VLOOKUP(B64,MultiFaultGeometry!B:C,2,FALSE))</f>
        <v>0.5</v>
      </c>
      <c r="D64">
        <f>IF(A64&gt;600,VLOOKUP(B64,Leonard2010!F:L,7,FALSE),VLOOKUP(A64,Leonard2010!A:J,10,FALSE))</f>
        <v>352</v>
      </c>
      <c r="E64">
        <f>$C64*IF($A64&lt;600,(VLOOKUP($B64,FaultGeometry!$B:$P,13,FALSE)),VLOOKUP($B64,MultiFaultGeometry!$B:$G,4,FALSE))</f>
        <v>2.6001865121484135E-3</v>
      </c>
      <c r="F64">
        <f>$C64*IF($A64&lt;600,(VLOOKUP($B64,FaultGeometry!$B:$P,14,FALSE)),VLOOKUP($B64,MultiFaultGeometry!$B:$G,5,FALSE))</f>
        <v>3.963253116741404E-2</v>
      </c>
      <c r="G64">
        <f>$C64*IF($A64&lt;600,(VLOOKUP($B64,FaultGeometry!$B:$P,15,FALSE)),VLOOKUP($B64,MultiFaultGeometry!$B:$G,6,FALSE))</f>
        <v>4.0316671344399736E-2</v>
      </c>
      <c r="H64" t="str">
        <f>IF(A64&lt;600,VLOOKUP(B64,Leonard2010!D:S,16,FALSE),VLOOKUP(B64,Leonard2010!F:W,18,FALSE))</f>
        <v>Y</v>
      </c>
      <c r="I64" s="49">
        <f>IF(A64&lt;600,VLOOKUP(B64,Leonard2010!D:U,18,FALSE),VLOOKUP(B64,Leonard2010!F:Y,20,FALSE))</f>
        <v>3262.1257058711794</v>
      </c>
      <c r="J64" t="s">
        <v>308</v>
      </c>
      <c r="K64">
        <f>1238+(Leonard2010!I177*35/SIN(RADIANS(53)))</f>
        <v>3604.5363939152667</v>
      </c>
      <c r="L64" s="49">
        <f>IF(A64&lt;600,VLOOKUP(B64,Leonard2010!D:BH,57,FALSE),VLOOKUP(B64,Leonard2010!F:BS,66,FALSE))</f>
        <v>7.5456990502086825</v>
      </c>
      <c r="M64">
        <f t="shared" si="0"/>
        <v>4266447857428747</v>
      </c>
      <c r="N64">
        <f t="shared" si="1"/>
        <v>4714277732205525</v>
      </c>
      <c r="O64">
        <f t="shared" si="2"/>
        <v>1.1049655098906261</v>
      </c>
    </row>
    <row r="65" spans="1:15" x14ac:dyDescent="0.2">
      <c r="A65">
        <f>VLOOKUP(B65,Leonard2010!F:CE,78,FALSE)</f>
        <v>613</v>
      </c>
      <c r="B65" s="11" t="s">
        <v>242</v>
      </c>
      <c r="C65">
        <f>IF(A65&lt;600,VLOOKUP(B65,FaultGeometry!B:C,2,FALSE),VLOOKUP(B65,MultiFaultGeometry!B:C,2,FALSE))</f>
        <v>1</v>
      </c>
      <c r="D65">
        <f>IF(A65&gt;600,VLOOKUP(B65,Leonard2010!F:L,7,FALSE),VLOOKUP(A65,Leonard2010!A:J,10,FALSE))</f>
        <v>353</v>
      </c>
      <c r="E65">
        <f>$C65*IF($A65&lt;600,(VLOOKUP($B65,FaultGeometry!$B:$P,13,FALSE)),VLOOKUP($B65,MultiFaultGeometry!$B:$G,4,FALSE))</f>
        <v>8.049705071915542E-3</v>
      </c>
      <c r="F65">
        <f>$C65*IF($A65&lt;600,(VLOOKUP($B65,FaultGeometry!$B:$P,14,FALSE)),VLOOKUP($B65,MultiFaultGeometry!$B:$G,5,FALSE))</f>
        <v>0.13427488150147587</v>
      </c>
      <c r="G65">
        <f>$C65*IF($A65&lt;600,(VLOOKUP($B65,FaultGeometry!$B:$P,15,FALSE)),VLOOKUP($B65,MultiFaultGeometry!$B:$G,6,FALSE))</f>
        <v>0.12924282676697751</v>
      </c>
      <c r="H65" t="str">
        <f>IF(A65&lt;600,VLOOKUP(B65,Leonard2010!D:S,16,FALSE),VLOOKUP(B65,Leonard2010!F:W,18,FALSE))</f>
        <v>N</v>
      </c>
      <c r="I65" s="49">
        <f>IF(A65&lt;600,VLOOKUP(B65,Leonard2010!D:U,18,FALSE),VLOOKUP(B65,Leonard2010!F:Y,20,FALSE))</f>
        <v>1195.4853100251732</v>
      </c>
      <c r="J65" t="s">
        <v>211</v>
      </c>
      <c r="K65">
        <f>IF(J65="Y","TBC",IF(A65&lt;600,VLOOKUP(A65,FaultGeometry!A:F,6,FALSE)*((35-VLOOKUP(A65,FaultGeometry!A:K,11,FALSE))/SIN(RADIANS(VLOOKUP(A65,FaultGeometry!A:H,8,FALSE)))),VLOOKUP(A65,MultiFaultGeometry!A:D,4,FALSE)*((35-VLOOKUP(B65,Leonard2010!F:R,13,FALSE))/SIN(RADIANS(VLOOKUP(B65,Leonard2010!F:Q,9,FALSE))))))</f>
        <v>2168.573746360767</v>
      </c>
      <c r="L65" s="49">
        <f>IF(A65&lt;600,VLOOKUP(B65,Leonard2010!D:BH,57,FALSE),VLOOKUP(B65,Leonard2010!F:BS,66,FALSE))</f>
        <v>7.1097426015911251</v>
      </c>
      <c r="M65">
        <f t="shared" si="0"/>
        <v>5297280395232714</v>
      </c>
      <c r="N65">
        <f t="shared" si="1"/>
        <v>9609104433053518</v>
      </c>
      <c r="O65">
        <f t="shared" si="2"/>
        <v>1.8139693797785801</v>
      </c>
    </row>
    <row r="66" spans="1:15" x14ac:dyDescent="0.2">
      <c r="A66">
        <f>VLOOKUP(B66,Leonard2010!F:CE,78,FALSE)</f>
        <v>614</v>
      </c>
      <c r="B66" s="11" t="s">
        <v>241</v>
      </c>
      <c r="C66">
        <f>IF(A66&lt;600,VLOOKUP(B66,FaultGeometry!B:C,2,FALSE),VLOOKUP(B66,MultiFaultGeometry!B:C,2,FALSE))</f>
        <v>1</v>
      </c>
      <c r="D66">
        <f>IF(A66&gt;600,VLOOKUP(B66,Leonard2010!F:L,7,FALSE),VLOOKUP(A66,Leonard2010!A:J,10,FALSE))</f>
        <v>22</v>
      </c>
      <c r="E66">
        <f>$C66*IF($A66&lt;600,(VLOOKUP($B66,FaultGeometry!$B:$P,13,FALSE)),VLOOKUP($B66,MultiFaultGeometry!$B:$G,4,FALSE))</f>
        <v>5.3028925968534157E-3</v>
      </c>
      <c r="F66">
        <f>$C66*IF($A66&lt;600,(VLOOKUP($B66,FaultGeometry!$B:$P,14,FALSE)),VLOOKUP($B66,MultiFaultGeometry!$B:$G,5,FALSE))</f>
        <v>0.10946953467207372</v>
      </c>
      <c r="G66">
        <f>$C66*IF($A66&lt;600,(VLOOKUP($B66,FaultGeometry!$B:$P,15,FALSE)),VLOOKUP($B66,MultiFaultGeometry!$B:$G,6,FALSE))</f>
        <v>0.10972420567523243</v>
      </c>
      <c r="H66" t="str">
        <f>IF(A66&lt;600,VLOOKUP(B66,Leonard2010!D:S,16,FALSE),VLOOKUP(B66,Leonard2010!F:W,18,FALSE))</f>
        <v>N</v>
      </c>
      <c r="I66" s="49">
        <f>IF(A66&lt;600,VLOOKUP(B66,Leonard2010!D:U,18,FALSE),VLOOKUP(B66,Leonard2010!F:Y,20,FALSE))</f>
        <v>2329.0264007380538</v>
      </c>
      <c r="J66" t="s">
        <v>211</v>
      </c>
      <c r="K66">
        <f>IF(J66="Y","TBC",IF(A66&lt;600,VLOOKUP(A66,FaultGeometry!A:F,6,FALSE)*((35-VLOOKUP(A66,FaultGeometry!A:K,11,FALSE))/SIN(RADIANS(VLOOKUP(A66,FaultGeometry!A:H,8,FALSE)))),VLOOKUP(A66,MultiFaultGeometry!A:D,4,FALSE)*((35-VLOOKUP(B66,Leonard2010!F:R,13,FALSE))/SIN(RADIANS(VLOOKUP(B66,Leonard2010!F:Q,9,FALSE))))))</f>
        <v>3282.473627856546</v>
      </c>
      <c r="L66" s="49">
        <f>IF(A66&lt;600,VLOOKUP(B66,Leonard2010!D:BH,57,FALSE),VLOOKUP(B66,Leonard2010!F:BS,66,FALSE))</f>
        <v>7.3993727691818689</v>
      </c>
      <c r="M66">
        <f t="shared" si="0"/>
        <v>8413595398816392</v>
      </c>
      <c r="N66">
        <f t="shared" si="1"/>
        <v>1.185791840028872E+16</v>
      </c>
      <c r="O66">
        <f t="shared" si="2"/>
        <v>1.4093758777557652</v>
      </c>
    </row>
    <row r="67" spans="1:15" x14ac:dyDescent="0.2">
      <c r="A67">
        <f>VLOOKUP(B67,Leonard2010!F:CE,78,FALSE)</f>
        <v>615</v>
      </c>
      <c r="B67" s="11" t="s">
        <v>243</v>
      </c>
      <c r="C67">
        <f>IF(A67&lt;600,VLOOKUP(B67,FaultGeometry!B:C,2,FALSE),VLOOKUP(B67,MultiFaultGeometry!B:C,2,FALSE))</f>
        <v>1</v>
      </c>
      <c r="D67">
        <f>IF(A67&gt;600,VLOOKUP(B67,Leonard2010!F:L,7,FALSE),VLOOKUP(A67,Leonard2010!A:J,10,FALSE))</f>
        <v>2</v>
      </c>
      <c r="E67">
        <f>$C67*IF($A67&lt;600,(VLOOKUP($B67,FaultGeometry!$B:$P,13,FALSE)),VLOOKUP($B67,MultiFaultGeometry!$B:$G,4,FALSE))</f>
        <v>7.3899450410246908E-3</v>
      </c>
      <c r="F67">
        <f>$C67*IF($A67&lt;600,(VLOOKUP($B67,FaultGeometry!$B:$P,14,FALSE)),VLOOKUP($B67,MultiFaultGeometry!$B:$G,5,FALSE))</f>
        <v>0.13253927432454066</v>
      </c>
      <c r="G67">
        <f>$C67*IF($A67&lt;600,(VLOOKUP($B67,FaultGeometry!$B:$P,15,FALSE)),VLOOKUP($B67,MultiFaultGeometry!$B:$G,6,FALSE))</f>
        <v>0.12546802661988096</v>
      </c>
      <c r="H67" t="str">
        <f>IF(A67&lt;600,VLOOKUP(B67,Leonard2010!D:S,16,FALSE),VLOOKUP(B67,Leonard2010!F:W,18,FALSE))</f>
        <v>N</v>
      </c>
      <c r="I67" s="49">
        <f>IF(A67&lt;600,VLOOKUP(B67,Leonard2010!D:U,18,FALSE),VLOOKUP(B67,Leonard2010!F:Y,20,FALSE))</f>
        <v>699.63848082741072</v>
      </c>
      <c r="J67" t="s">
        <v>211</v>
      </c>
      <c r="K67">
        <f>IF(J67="Y","TBC",IF(A67&lt;600,VLOOKUP(A67,FaultGeometry!A:F,6,FALSE)*((35-VLOOKUP(A67,FaultGeometry!A:K,11,FALSE))/SIN(RADIANS(VLOOKUP(A67,FaultGeometry!A:H,8,FALSE)))),VLOOKUP(A67,MultiFaultGeometry!A:D,4,FALSE)*((35-VLOOKUP(B67,Leonard2010!F:R,13,FALSE))/SIN(RADIANS(VLOOKUP(B67,Leonard2010!F:Q,9,FALSE))))))</f>
        <v>1572.4319595125883</v>
      </c>
      <c r="L67" s="49">
        <f>IF(A67&lt;600,VLOOKUP(B67,Leonard2010!D:BH,57,FALSE),VLOOKUP(B67,Leonard2010!F:BS,66,FALSE))</f>
        <v>6.8770720457645185</v>
      </c>
      <c r="M67">
        <f t="shared" ref="M67:M80" si="3">I67*10^6*F67*10^-3*3.3*10^10</f>
        <v>3060076025766839</v>
      </c>
      <c r="N67">
        <f t="shared" ref="N67:N80" si="4">K67*10^6*F67*10^-3*3.3*10^10</f>
        <v>6877496697670959</v>
      </c>
      <c r="O67">
        <f t="shared" ref="O67:O80" si="5">N67/M67</f>
        <v>2.2474921014249944</v>
      </c>
    </row>
    <row r="68" spans="1:15" x14ac:dyDescent="0.2">
      <c r="A68">
        <f>VLOOKUP(B68,Leonard2010!F:CE,78,FALSE)</f>
        <v>616</v>
      </c>
      <c r="B68" s="11" t="s">
        <v>419</v>
      </c>
      <c r="C68">
        <f>IF(A68&lt;600,VLOOKUP(B68,FaultGeometry!B:C,2,FALSE),VLOOKUP(B68,MultiFaultGeometry!B:C,2,FALSE))</f>
        <v>1</v>
      </c>
      <c r="D68">
        <f>IF(A68&gt;600,VLOOKUP(B68,Leonard2010!F:L,7,FALSE),VLOOKUP(A68,Leonard2010!A:J,10,FALSE))</f>
        <v>171</v>
      </c>
      <c r="E68">
        <f>$C68*IF($A68&lt;600,(VLOOKUP($B68,FaultGeometry!$B:$P,13,FALSE)),VLOOKUP($B68,MultiFaultGeometry!$B:$G,4,FALSE))</f>
        <v>8.1698797955431154E-3</v>
      </c>
      <c r="F68">
        <f>$C68*IF($A68&lt;600,(VLOOKUP($B68,FaultGeometry!$B:$P,14,FALSE)),VLOOKUP($B68,MultiFaultGeometry!$B:$G,5,FALSE))</f>
        <v>0.13663779773624343</v>
      </c>
      <c r="G68">
        <f>$C68*IF($A68&lt;600,(VLOOKUP($B68,FaultGeometry!$B:$P,15,FALSE)),VLOOKUP($B68,MultiFaultGeometry!$B:$G,6,FALSE))</f>
        <v>0.1300182788005203</v>
      </c>
      <c r="H68" t="str">
        <f>IF(A68&lt;600,VLOOKUP(B68,Leonard2010!D:S,16,FALSE),VLOOKUP(B68,Leonard2010!F:W,18,FALSE))</f>
        <v>Y</v>
      </c>
      <c r="I68" s="49">
        <f>IF(A68&lt;600,VLOOKUP(B68,Leonard2010!D:U,18,FALSE),VLOOKUP(B68,Leonard2010!F:Y,20,FALSE))</f>
        <v>1180.4620863035011</v>
      </c>
      <c r="J68" t="s">
        <v>308</v>
      </c>
      <c r="K68">
        <f>SUM(895+686)</f>
        <v>1581</v>
      </c>
      <c r="L68" s="49">
        <f>IF(A68&lt;600,VLOOKUP(B68,Leonard2010!D:BH,57,FALSE),VLOOKUP(B68,Leonard2010!F:BS,66,FALSE))</f>
        <v>7.1042504007732648</v>
      </c>
      <c r="M68">
        <f t="shared" si="3"/>
        <v>5322759412860177</v>
      </c>
      <c r="N68">
        <f t="shared" si="4"/>
        <v>7128803821293028</v>
      </c>
      <c r="O68">
        <f t="shared" si="5"/>
        <v>1.3393060381555693</v>
      </c>
    </row>
    <row r="69" spans="1:15" x14ac:dyDescent="0.2">
      <c r="A69">
        <f>VLOOKUP(B69,Leonard2010!F:CE,78,FALSE)</f>
        <v>617</v>
      </c>
      <c r="B69" s="11" t="s">
        <v>475</v>
      </c>
      <c r="C69">
        <f>IF(A69&lt;600,VLOOKUP(B69,FaultGeometry!B:C,2,FALSE),VLOOKUP(B69,MultiFaultGeometry!B:C,2,FALSE))</f>
        <v>1</v>
      </c>
      <c r="D69">
        <f>IF(A69&gt;600,VLOOKUP(B69,Leonard2010!F:L,7,FALSE),VLOOKUP(A69,Leonard2010!A:J,10,FALSE))</f>
        <v>183</v>
      </c>
      <c r="E69">
        <f>$C69*IF($A69&lt;600,(VLOOKUP($B69,FaultGeometry!$B:$P,13,FALSE)),VLOOKUP($B69,MultiFaultGeometry!$B:$G,4,FALSE))</f>
        <v>7.305063909819904E-3</v>
      </c>
      <c r="F69">
        <f>$C69*IF($A69&lt;600,(VLOOKUP($B69,FaultGeometry!$B:$P,14,FALSE)),VLOOKUP($B69,MultiFaultGeometry!$B:$G,5,FALSE))</f>
        <v>0.12986746947852312</v>
      </c>
      <c r="G69">
        <f>$C69*IF($A69&lt;600,(VLOOKUP($B69,FaultGeometry!$B:$P,15,FALSE)),VLOOKUP($B69,MultiFaultGeometry!$B:$G,6,FALSE))</f>
        <v>0.12594783520255903</v>
      </c>
      <c r="H69" t="str">
        <f>IF(A69&lt;600,VLOOKUP(B69,Leonard2010!D:S,16,FALSE),VLOOKUP(B69,Leonard2010!F:W,18,FALSE))</f>
        <v>Y</v>
      </c>
      <c r="I69" s="49">
        <f>IF(A69&lt;600,VLOOKUP(B69,Leonard2010!D:U,18,FALSE),VLOOKUP(B69,Leonard2010!F:Y,20,FALSE))</f>
        <v>3453</v>
      </c>
      <c r="J69" t="s">
        <v>308</v>
      </c>
      <c r="K69" s="16">
        <f>I69</f>
        <v>3453</v>
      </c>
      <c r="L69" s="49">
        <f>IF(A69&lt;600,VLOOKUP(B69,Leonard2010!D:BH,57,FALSE),VLOOKUP(B69,Leonard2010!F:BS,66,FALSE))</f>
        <v>7.570394936012586</v>
      </c>
      <c r="M69">
        <f t="shared" si="3"/>
        <v>1.4798268279608232E+16</v>
      </c>
      <c r="N69">
        <f t="shared" si="4"/>
        <v>1.4798268279608232E+16</v>
      </c>
      <c r="O69">
        <f t="shared" si="5"/>
        <v>1</v>
      </c>
    </row>
    <row r="70" spans="1:15" x14ac:dyDescent="0.2">
      <c r="A70">
        <f>VLOOKUP(B70,Leonard2010!F:CE,78,FALSE)</f>
        <v>612</v>
      </c>
      <c r="B70" s="11" t="s">
        <v>136</v>
      </c>
      <c r="C70">
        <f>IF(A70&lt;600,VLOOKUP(B70,FaultGeometry!B:C,2,FALSE),VLOOKUP(B70,MultiFaultGeometry!B:C,2,FALSE))</f>
        <v>1</v>
      </c>
      <c r="D70">
        <f>IF(A70&gt;600,VLOOKUP(B70,Leonard2010!F:L,7,FALSE),VLOOKUP(A70,Leonard2010!A:J,10,FALSE))</f>
        <v>2</v>
      </c>
      <c r="E70">
        <f>$C70*IF($A70&lt;600,(VLOOKUP($B70,FaultGeometry!$B:$P,13,FALSE)),VLOOKUP($B70,MultiFaultGeometry!$B:$G,4,FALSE))</f>
        <v>0.44339670246148144</v>
      </c>
      <c r="F70">
        <f>$C70*IF($A70&lt;600,(VLOOKUP($B70,FaultGeometry!$B:$P,14,FALSE)),VLOOKUP($B70,MultiFaultGeometry!$B:$G,5,FALSE))</f>
        <v>1.2631480538767987</v>
      </c>
      <c r="G70">
        <f>$C70*IF($A70&lt;600,(VLOOKUP($B70,FaultGeometry!$B:$P,15,FALSE)),VLOOKUP($B70,MultiFaultGeometry!$B:$G,6,FALSE))</f>
        <v>0.58180458834858884</v>
      </c>
      <c r="H70" t="str">
        <f>IF(A70&lt;600,VLOOKUP(B70,Leonard2010!D:S,16,FALSE),VLOOKUP(B70,Leonard2010!F:W,18,FALSE))</f>
        <v>Y</v>
      </c>
      <c r="I70" s="49">
        <f>IF(A70&lt;600,VLOOKUP(B70,Leonard2010!D:U,18,FALSE),VLOOKUP(B70,Leonard2010!F:Y,20,FALSE))</f>
        <v>8077.6538210014196</v>
      </c>
      <c r="J70" t="s">
        <v>308</v>
      </c>
      <c r="K70">
        <f>445+404+108+(Leonard2010!I194+Leonard2010!I191+Leonard2010!I193)*35/SIN(RADIANS(Leonard2010!N190))</f>
        <v>8687.6855534565366</v>
      </c>
      <c r="L70" s="49">
        <f>IF(A70&lt;600,VLOOKUP(B70,Leonard2010!D:BH,57,FALSE),VLOOKUP(B70,Leonard2010!F:BS,66,FALSE))</f>
        <v>7.9394835946067346</v>
      </c>
      <c r="M70">
        <f t="shared" si="3"/>
        <v>3.3670799922831821E+17</v>
      </c>
      <c r="N70">
        <f t="shared" si="4"/>
        <v>3.6213649228489274E+17</v>
      </c>
      <c r="O70">
        <f t="shared" si="5"/>
        <v>1.0755209056952988</v>
      </c>
    </row>
    <row r="71" spans="1:15" x14ac:dyDescent="0.2">
      <c r="A71">
        <f>VLOOKUP(B71,Leonard2010!F:CE,78,FALSE)</f>
        <v>618</v>
      </c>
      <c r="B71" t="s">
        <v>313</v>
      </c>
      <c r="C71">
        <f>IF(A71&lt;600,VLOOKUP(B71,FaultGeometry!B:C,2,FALSE),VLOOKUP(B71,MultiFaultGeometry!B:C,2,FALSE))</f>
        <v>0.5</v>
      </c>
      <c r="D71">
        <f>IF(A71&gt;600,VLOOKUP(B71,Leonard2010!F:L,7,FALSE),VLOOKUP(A71,Leonard2010!A:J,10,FALSE))</f>
        <v>333</v>
      </c>
      <c r="E71">
        <f>$C71*IF($A71&lt;600,(VLOOKUP($B71,FaultGeometry!$B:$P,13,FALSE)),VLOOKUP($B71,MultiFaultGeometry!$B:$G,4,FALSE))</f>
        <v>7.4212771171072956E-3</v>
      </c>
      <c r="F71">
        <f>$C71*IF($A71&lt;600,(VLOOKUP($B71,FaultGeometry!$B:$P,14,FALSE)),VLOOKUP($B71,MultiFaultGeometry!$B:$G,5,FALSE))</f>
        <v>0.12726665666527984</v>
      </c>
      <c r="G71">
        <f>$C71*IF($A71&lt;600,(VLOOKUP($B71,FaultGeometry!$B:$P,15,FALSE)),VLOOKUP($B71,MultiFaultGeometry!$B:$G,6,FALSE))</f>
        <v>0.12668819282779778</v>
      </c>
      <c r="H71" t="str">
        <f>IF(A71&lt;600,VLOOKUP(B71,Leonard2010!D:S,16,FALSE),VLOOKUP(B71,Leonard2010!F:W,18,FALSE))</f>
        <v>Y</v>
      </c>
      <c r="I71" s="49">
        <f>IF(A71&lt;600,VLOOKUP(B71,Leonard2010!D:U,18,FALSE),VLOOKUP(B71,Leonard2010!F:Y,20,FALSE))</f>
        <v>861</v>
      </c>
      <c r="J71" t="s">
        <v>308</v>
      </c>
      <c r="K71">
        <f>704+106+112</f>
        <v>922</v>
      </c>
      <c r="L71" s="49">
        <f>IF(A71&lt;600,VLOOKUP(B71,Leonard2010!D:BH,57,FALSE),VLOOKUP(B71,Leonard2010!F:BS,66,FALSE))</f>
        <v>6.9672015091167863</v>
      </c>
      <c r="M71">
        <f t="shared" si="3"/>
        <v>3616027515830596</v>
      </c>
      <c r="N71">
        <f t="shared" si="4"/>
        <v>3872215295697804</v>
      </c>
      <c r="O71">
        <f t="shared" si="5"/>
        <v>1.0708478513356561</v>
      </c>
    </row>
    <row r="72" spans="1:15" x14ac:dyDescent="0.2">
      <c r="A72">
        <f>VLOOKUP(B72,Leonard2010!F:CE,78,FALSE)</f>
        <v>619</v>
      </c>
      <c r="B72" t="s">
        <v>314</v>
      </c>
      <c r="C72">
        <f>IF(A72&lt;600,VLOOKUP(B72,FaultGeometry!B:C,2,FALSE),VLOOKUP(B72,MultiFaultGeometry!B:C,2,FALSE))</f>
        <v>0.5</v>
      </c>
      <c r="D72">
        <f>IF(A72&gt;600,VLOOKUP(B72,Leonard2010!F:L,7,FALSE),VLOOKUP(A72,Leonard2010!A:J,10,FALSE))</f>
        <v>333</v>
      </c>
      <c r="E72">
        <f>$C72*IF($A72&lt;600,(VLOOKUP($B72,FaultGeometry!$B:$P,13,FALSE)),VLOOKUP($B72,MultiFaultGeometry!$B:$G,4,FALSE))</f>
        <v>7.4212771171072956E-3</v>
      </c>
      <c r="F72">
        <f>$C72*IF($A72&lt;600,(VLOOKUP($B72,FaultGeometry!$B:$P,14,FALSE)),VLOOKUP($B72,MultiFaultGeometry!$B:$G,5,FALSE))</f>
        <v>0.12876189589365658</v>
      </c>
      <c r="G72">
        <f>$C72*IF($A72&lt;600,(VLOOKUP($B72,FaultGeometry!$B:$P,15,FALSE)),VLOOKUP($B72,MultiFaultGeometry!$B:$G,6,FALSE))</f>
        <v>0.12813508975228691</v>
      </c>
      <c r="H72" t="str">
        <f>IF(A72&lt;600,VLOOKUP(B72,Leonard2010!D:S,16,FALSE),VLOOKUP(B72,Leonard2010!F:W,18,FALSE))</f>
        <v>Y</v>
      </c>
      <c r="I72" s="49">
        <f>IF(A72&lt;600,VLOOKUP(B72,Leonard2010!D:U,18,FALSE),VLOOKUP(B72,Leonard2010!F:Y,20,FALSE))</f>
        <v>724</v>
      </c>
      <c r="J72" t="s">
        <v>308</v>
      </c>
      <c r="K72">
        <f>527+107+112</f>
        <v>746</v>
      </c>
      <c r="L72" s="49">
        <f>IF(A72&lt;600,VLOOKUP(B72,Leonard2010!D:BH,57,FALSE),VLOOKUP(B72,Leonard2010!F:BS,66,FALSE))</f>
        <v>6.8919369238602783</v>
      </c>
      <c r="M72">
        <f t="shared" si="3"/>
        <v>3076379216691243.5</v>
      </c>
      <c r="N72">
        <f t="shared" si="4"/>
        <v>3169860353110037.5</v>
      </c>
      <c r="O72">
        <f t="shared" si="5"/>
        <v>1.0303867403314915</v>
      </c>
    </row>
    <row r="73" spans="1:15" x14ac:dyDescent="0.2">
      <c r="A73">
        <f>VLOOKUP(B73,Leonard2010!F:CE,78,FALSE)</f>
        <v>620</v>
      </c>
      <c r="B73" s="57" t="s">
        <v>519</v>
      </c>
      <c r="C73">
        <f>IF(A73&lt;600,VLOOKUP(B73,FaultGeometry!B:C,2,FALSE),VLOOKUP(B73,MultiFaultGeometry!B:C,2,FALSE))</f>
        <v>0.5</v>
      </c>
      <c r="D73">
        <f>IF(A73&gt;600,VLOOKUP(B73,Leonard2010!F:L,7,FALSE),VLOOKUP(A73,Leonard2010!A:J,10,FALSE))</f>
        <v>149</v>
      </c>
      <c r="E73">
        <f>$C73*IF($A73&lt;600,(VLOOKUP($B73,FaultGeometry!$B:$P,13,FALSE)),VLOOKUP($B73,MultiFaultGeometry!$B:$G,4,FALSE))</f>
        <v>7.1162433728385903E-3</v>
      </c>
      <c r="F73">
        <f>$C73*IF($A73&lt;600,(VLOOKUP($B73,FaultGeometry!$B:$P,14,FALSE)),VLOOKUP($B73,MultiFaultGeometry!$B:$G,5,FALSE))</f>
        <v>0.12737445786202933</v>
      </c>
      <c r="G73">
        <f>$C73*IF($A73&lt;600,(VLOOKUP($B73,FaultGeometry!$B:$P,15,FALSE)),VLOOKUP($B73,MultiFaultGeometry!$B:$G,6,FALSE))</f>
        <v>0.12726566395982308</v>
      </c>
      <c r="H73" t="str">
        <f>IF(A73&lt;600,VLOOKUP(B73,Leonard2010!D:S,16,FALSE),VLOOKUP(B73,Leonard2010!F:W,18,FALSE))</f>
        <v>Y</v>
      </c>
      <c r="I73" s="49">
        <f>IF(A73&lt;600,VLOOKUP(B73,Leonard2010!D:U,18,FALSE),VLOOKUP(B73,Leonard2010!F:Y,20,FALSE))</f>
        <v>2059.8525395778647</v>
      </c>
      <c r="J73" t="s">
        <v>308</v>
      </c>
      <c r="K73">
        <f>192+(Leonard2010!G225*((35-Leonard2010!R225)/SIN(RADIANS(Leonard2010!N225))))+(Leonard2010!G226*((35-Leonard2010!R226)/SIN(RADIANS(Leonard2010!N226))))+(Leonard2010!G227*((35-Leonard2010!R227)/SIN(RADIANS(Leonard2010!N227))))+(Leonard2010!I231*((35-Leonard2010!R231)/SIN(RADIANS(Leonard2010!N231))))</f>
        <v>3445.8623280676761</v>
      </c>
      <c r="L73" s="49">
        <f>IF(A73&lt;600,VLOOKUP(B73,Leonard2010!D:BH,57,FALSE),VLOOKUP(B73,Leonard2010!F:BS,66,FALSE))</f>
        <v>7.3460344889352625</v>
      </c>
      <c r="M73">
        <f t="shared" si="3"/>
        <v>8658295816647008</v>
      </c>
      <c r="N73">
        <f t="shared" si="4"/>
        <v>1.4484189914858744E+16</v>
      </c>
      <c r="O73">
        <f t="shared" si="5"/>
        <v>1.6728684514348064</v>
      </c>
    </row>
    <row r="74" spans="1:15" x14ac:dyDescent="0.2">
      <c r="A74">
        <f>VLOOKUP(B74,Leonard2010!F:CE,78,FALSE)</f>
        <v>621</v>
      </c>
      <c r="B74" s="29" t="s">
        <v>503</v>
      </c>
      <c r="C74">
        <v>0.5</v>
      </c>
      <c r="D74">
        <f>IF(A74&gt;600,VLOOKUP(B74,Leonard2010!F:L,7,FALSE),VLOOKUP(A74,Leonard2010!A:J,10,FALSE))</f>
        <v>151</v>
      </c>
      <c r="E74">
        <f>$C74*IF($A74&lt;600,(VLOOKUP($B74,FaultGeometry!$B:$P,13,FALSE)),VLOOKUP($B74,MultiFaultGeometry!$B:$G,4,FALSE))</f>
        <v>7.2731908763397687E-3</v>
      </c>
      <c r="F74">
        <f>$C74*IF($A74&lt;600,(VLOOKUP($B74,FaultGeometry!$B:$P,14,FALSE)),VLOOKUP($B74,MultiFaultGeometry!$B:$G,5,FALSE))</f>
        <v>0.12569415047625013</v>
      </c>
      <c r="G74">
        <f>$C74*IF($A74&lt;600,(VLOOKUP($B74,FaultGeometry!$B:$P,15,FALSE)),VLOOKUP($B74,MultiFaultGeometry!$B:$G,6,FALSE))</f>
        <v>0.12615299143190573</v>
      </c>
      <c r="H74" t="str">
        <f>IF(A74&lt;600,VLOOKUP(B74,Leonard2010!D:S,16,FALSE),VLOOKUP(B74,Leonard2010!F:W,18,FALSE))</f>
        <v>N</v>
      </c>
      <c r="I74" s="49">
        <f>IF(A74&lt;600,VLOOKUP(B74,Leonard2010!D:U,18,FALSE),VLOOKUP(B74,Leonard2010!F:Y,20,FALSE))</f>
        <v>3516.1634940952886</v>
      </c>
      <c r="J74" t="s">
        <v>211</v>
      </c>
      <c r="K74">
        <f>IF(J74="Y","TBC",IF(A74&lt;600,VLOOKUP(A74,FaultGeometry!A:F,6,FALSE)*((35-VLOOKUP(A74,FaultGeometry!A:K,11,FALSE))/SIN(RADIANS(VLOOKUP(A74,FaultGeometry!A:H,8,FALSE)))),VLOOKUP(A74,MultiFaultGeometry!A:D,4,FALSE)*((35-VLOOKUP(B74,Leonard2010!F:R,13,FALSE))/SIN(RADIANS(VLOOKUP(B74,Leonard2010!F:Q,9,FALSE))))))</f>
        <v>4142.7534317927812</v>
      </c>
      <c r="L74" s="49">
        <f>IF(A74&lt;600,VLOOKUP(B74,Leonard2010!D:BH,57,FALSE),VLOOKUP(B74,Leonard2010!F:BS,66,FALSE))</f>
        <v>7.5782674183005314</v>
      </c>
      <c r="M74">
        <f t="shared" si="3"/>
        <v>1.458471904975505E+16</v>
      </c>
      <c r="N74">
        <f t="shared" si="4"/>
        <v>1.7183755816978196E+16</v>
      </c>
      <c r="O74">
        <f t="shared" si="5"/>
        <v>1.178202731115811</v>
      </c>
    </row>
    <row r="75" spans="1:15" x14ac:dyDescent="0.2">
      <c r="A75">
        <f>VLOOKUP(B75,Leonard2010!F:CE,78,FALSE)</f>
        <v>622</v>
      </c>
      <c r="B75" s="29" t="s">
        <v>528</v>
      </c>
      <c r="C75">
        <v>0.5</v>
      </c>
      <c r="D75">
        <f>IF(A75&gt;600,VLOOKUP(B75,Leonard2010!F:L,7,FALSE),VLOOKUP(A75,Leonard2010!A:J,10,FALSE))</f>
        <v>160</v>
      </c>
      <c r="E75">
        <f>$C75*IF($A75&lt;600,(VLOOKUP($B75,FaultGeometry!$B:$P,13,FALSE)),VLOOKUP($B75,MultiFaultGeometry!$B:$G,4,FALSE))</f>
        <v>7.8672916549674433E-3</v>
      </c>
      <c r="F75">
        <f>$C75*IF($A75&lt;600,(VLOOKUP($B75,FaultGeometry!$B:$P,14,FALSE)),VLOOKUP($B75,MultiFaultGeometry!$B:$G,5,FALSE))</f>
        <v>0.13137870732046095</v>
      </c>
      <c r="G75">
        <f>$C75*IF($A75&lt;600,(VLOOKUP($B75,FaultGeometry!$B:$P,15,FALSE)),VLOOKUP($B75,MultiFaultGeometry!$B:$G,6,FALSE))</f>
        <v>0.13027776828165902</v>
      </c>
      <c r="H75" t="s">
        <v>308</v>
      </c>
      <c r="I75" s="49">
        <f>IF(A75&lt;600,VLOOKUP(B75,Leonard2010!D:U,18,FALSE),VLOOKUP(B75,Leonard2010!F:Y,20,FALSE))</f>
        <v>500.17268116198665</v>
      </c>
      <c r="J75" t="s">
        <v>308</v>
      </c>
      <c r="K75">
        <f>Leonard2010!U246+(Leonard2010!I232*(35-Leonard2010!R232)/SIN(RADIANS(Leonard2010!N232)))</f>
        <v>960.57294423099063</v>
      </c>
      <c r="L75" s="49">
        <f>IF(A75&lt;600,VLOOKUP(B75,Leonard2010!D:BH,57,FALSE),VLOOKUP(B75,Leonard2010!F:BS,66,FALSE))</f>
        <v>6.7313183250564039</v>
      </c>
      <c r="M75">
        <f t="shared" si="3"/>
        <v>2168497329506338.5</v>
      </c>
      <c r="N75">
        <f t="shared" si="4"/>
        <v>4164561446102533.5</v>
      </c>
      <c r="O75">
        <f t="shared" si="5"/>
        <v>1.9204826261190748</v>
      </c>
    </row>
    <row r="76" spans="1:15" x14ac:dyDescent="0.2">
      <c r="A76">
        <f>VLOOKUP(B76,Leonard2010!F:CE,78,FALSE)</f>
        <v>623</v>
      </c>
      <c r="B76" s="29" t="s">
        <v>244</v>
      </c>
      <c r="C76">
        <f>IF(A76&lt;600,VLOOKUP(B76,FaultGeometry!B:C,2,FALSE),VLOOKUP(B76,MultiFaultGeometry!B:C,2,FALSE))</f>
        <v>1</v>
      </c>
      <c r="D76">
        <f>IF(A76&gt;600,VLOOKUP(B76,Leonard2010!F:L,7,FALSE),VLOOKUP(A76,Leonard2010!A:J,10,FALSE))</f>
        <v>154</v>
      </c>
      <c r="E76">
        <f>$C76*IF($A76&lt;600,(VLOOKUP($B76,FaultGeometry!$B:$P,13,FALSE)),VLOOKUP($B76,MultiFaultGeometry!$B:$G,4,FALSE))</f>
        <v>1.4983880909613622E-2</v>
      </c>
      <c r="F76">
        <f>$C76*IF($A76&lt;600,(VLOOKUP($B76,FaultGeometry!$B:$P,14,FALSE)),VLOOKUP($B76,MultiFaultGeometry!$B:$G,5,FALSE))</f>
        <v>0.37202924910066942</v>
      </c>
      <c r="G76">
        <f>$C76*IF($A76&lt;600,(VLOOKUP($B76,FaultGeometry!$B:$P,15,FALSE)),VLOOKUP($B76,MultiFaultGeometry!$B:$G,6,FALSE))</f>
        <v>0.16805761890269955</v>
      </c>
      <c r="H76" t="str">
        <f>IF(A76&lt;600,VLOOKUP(B76,Leonard2010!D:S,16,FALSE),VLOOKUP(B76,Leonard2010!F:W,18,FALSE))</f>
        <v>N</v>
      </c>
      <c r="I76" s="49">
        <f>IF(A76&lt;600,VLOOKUP(B76,Leonard2010!D:U,18,FALSE),VLOOKUP(B76,Leonard2010!F:Y,20,FALSE))</f>
        <v>2060.8835278250435</v>
      </c>
      <c r="J76" t="s">
        <v>211</v>
      </c>
      <c r="K76">
        <f>IF(J76="Y","TBC",IF(A76&lt;600,VLOOKUP(A76,FaultGeometry!A:F,6,FALSE)*((35-VLOOKUP(A76,FaultGeometry!A:K,11,FALSE))/SIN(RADIANS(VLOOKUP(A76,FaultGeometry!A:H,8,FALSE)))),VLOOKUP(A76,MultiFaultGeometry!A:D,4,FALSE)*((35-VLOOKUP(B76,Leonard2010!F:R,13,FALSE))/SIN(RADIANS(VLOOKUP(B76,Leonard2010!F:Q,9,FALSE))))))</f>
        <v>3006.6281423647292</v>
      </c>
      <c r="L76" s="49">
        <f>IF(A76&lt;600,VLOOKUP(B76,Leonard2010!D:BH,57,FALSE),VLOOKUP(B76,Leonard2010!F:BS,66,FALSE))</f>
        <v>7.3462518057003621</v>
      </c>
      <c r="M76">
        <f t="shared" si="3"/>
        <v>2.5301395394242752E+16</v>
      </c>
      <c r="N76">
        <f t="shared" si="4"/>
        <v>3.69122691342534E+16</v>
      </c>
      <c r="O76">
        <f t="shared" si="5"/>
        <v>1.4589025055374085</v>
      </c>
    </row>
    <row r="77" spans="1:15" x14ac:dyDescent="0.2">
      <c r="A77">
        <f>VLOOKUP(B77,Leonard2010!F:CE,78,FALSE)</f>
        <v>624</v>
      </c>
      <c r="B77" s="29" t="s">
        <v>420</v>
      </c>
      <c r="C77">
        <f>IF(A77&lt;600,VLOOKUP(B77,FaultGeometry!B:C,2,FALSE),VLOOKUP(B77,MultiFaultGeometry!B:C,2,FALSE))</f>
        <v>0.5</v>
      </c>
      <c r="D77">
        <f>IF(A77&gt;600,VLOOKUP(B77,Leonard2010!F:L,7,FALSE),VLOOKUP(A77,Leonard2010!A:J,10,FALSE))</f>
        <v>150</v>
      </c>
      <c r="E77">
        <f>$C77*IF($A77&lt;600,(VLOOKUP($B77,FaultGeometry!$B:$P,13,FALSE)),VLOOKUP($B77,MultiFaultGeometry!$B:$G,4,FALSE))</f>
        <v>7.1958130817752382E-3</v>
      </c>
      <c r="F77">
        <f>$C77*IF($A77&lt;600,(VLOOKUP($B77,FaultGeometry!$B:$P,14,FALSE)),VLOOKUP($B77,MultiFaultGeometry!$B:$G,5,FALSE))</f>
        <v>0.19460091098785032</v>
      </c>
      <c r="G77">
        <f>$C77*IF($A77&lt;600,(VLOOKUP($B77,FaultGeometry!$B:$P,15,FALSE)),VLOOKUP($B77,MultiFaultGeometry!$B:$G,6,FALSE))</f>
        <v>0.10951945870310982</v>
      </c>
      <c r="H77" t="str">
        <f>IF(A77&lt;600,VLOOKUP(B77,Leonard2010!D:S,16,FALSE),VLOOKUP(B77,Leonard2010!F:W,18,FALSE))</f>
        <v>N</v>
      </c>
      <c r="I77" s="49">
        <f>IF(A77&lt;600,VLOOKUP(B77,Leonard2010!D:U,18,FALSE),VLOOKUP(B77,Leonard2010!F:Y,20,FALSE))</f>
        <v>3394.7987672247596</v>
      </c>
      <c r="J77" t="s">
        <v>211</v>
      </c>
      <c r="K77">
        <f>IF(J77="Y","TBC",IF(A77&lt;600,VLOOKUP(A77,FaultGeometry!A:F,6,FALSE)*((35-VLOOKUP(A77,FaultGeometry!A:K,11,FALSE))/SIN(RADIANS(VLOOKUP(A77,FaultGeometry!A:H,8,FALSE)))),VLOOKUP(A77,MultiFaultGeometry!A:D,4,FALSE)*((35-VLOOKUP(B77,Leonard2010!F:R,13,FALSE))/SIN(RADIANS(VLOOKUP(B77,Leonard2010!F:Q,9,FALSE))))))</f>
        <v>4056.3560713800007</v>
      </c>
      <c r="L77" s="49">
        <f>IF(A77&lt;600,VLOOKUP(B77,Leonard2010!D:BH,57,FALSE),VLOOKUP(B77,Leonard2010!F:BS,66,FALSE))</f>
        <v>7.5630123934596112</v>
      </c>
      <c r="M77">
        <f t="shared" si="3"/>
        <v>2.1800820779838188E+16</v>
      </c>
      <c r="N77">
        <f t="shared" si="4"/>
        <v>2.6049229363794304E+16</v>
      </c>
      <c r="O77">
        <f t="shared" si="5"/>
        <v>1.1948737906182469</v>
      </c>
    </row>
    <row r="78" spans="1:15" x14ac:dyDescent="0.2">
      <c r="A78">
        <f>VLOOKUP(B78,Leonard2010!F:CE,78,FALSE)</f>
        <v>625</v>
      </c>
      <c r="B78" s="29" t="s">
        <v>479</v>
      </c>
      <c r="C78">
        <f>IF(A78&lt;600,VLOOKUP(B78,FaultGeometry!B:C,2,FALSE),VLOOKUP(B78,MultiFaultGeometry!B:C,2,FALSE))</f>
        <v>0.5</v>
      </c>
      <c r="D78">
        <f>IF(A78&gt;600,VLOOKUP(B78,Leonard2010!F:L,7,FALSE),VLOOKUP(A78,Leonard2010!A:J,10,FALSE))</f>
        <v>158</v>
      </c>
      <c r="E78">
        <f>$C78*IF($A78&lt;600,(VLOOKUP($B78,FaultGeometry!$B:$P,13,FALSE)),VLOOKUP($B78,MultiFaultGeometry!$B:$G,4,FALSE))</f>
        <v>7.7515678470297831E-3</v>
      </c>
      <c r="F78">
        <f>$C78*IF($A78&lt;600,(VLOOKUP($B78,FaultGeometry!$B:$P,14,FALSE)),VLOOKUP($B78,MultiFaultGeometry!$B:$G,5,FALSE))</f>
        <v>0.26614961445881663</v>
      </c>
      <c r="G78">
        <f>$C78*IF($A78&lt;600,(VLOOKUP($B78,FaultGeometry!$B:$P,15,FALSE)),VLOOKUP($B78,MultiFaultGeometry!$B:$G,6,FALSE))</f>
        <v>0.10710001525406421</v>
      </c>
      <c r="H78" t="str">
        <f>IF(A78&lt;600,VLOOKUP(B78,Leonard2010!D:S,16,FALSE),VLOOKUP(B78,Leonard2010!F:W,18,FALSE))</f>
        <v>N</v>
      </c>
      <c r="I78" s="49">
        <f>IF(A78&lt;600,VLOOKUP(B78,Leonard2010!D:U,18,FALSE),VLOOKUP(B78,Leonard2010!F:Y,20,FALSE))</f>
        <v>3257.3455929581196</v>
      </c>
      <c r="J78" t="s">
        <v>211</v>
      </c>
      <c r="K78">
        <f>IF(J78="Y","TBC",IF(A78&lt;600,VLOOKUP(A78,FaultGeometry!A:F,6,FALSE)*((35-VLOOKUP(A78,FaultGeometry!A:K,11,FALSE))/SIN(RADIANS(VLOOKUP(A78,FaultGeometry!A:H,8,FALSE)))),VLOOKUP(A78,MultiFaultGeometry!A:D,4,FALSE)*((35-VLOOKUP(B78,Leonard2010!F:R,13,FALSE))/SIN(RADIANS(VLOOKUP(B78,Leonard2010!F:Q,9,FALSE))))))</f>
        <v>3956.9991069053044</v>
      </c>
      <c r="L78" s="49">
        <f>IF(A78&lt;600,VLOOKUP(B78,Leonard2010!D:BH,57,FALSE),VLOOKUP(B78,Leonard2010!F:BS,66,FALSE))</f>
        <v>7.5450621957958433</v>
      </c>
      <c r="M78">
        <f t="shared" si="3"/>
        <v>2.8609062032922656E+16</v>
      </c>
      <c r="N78">
        <f t="shared" si="4"/>
        <v>3.475407496165204E+16</v>
      </c>
      <c r="O78">
        <f t="shared" si="5"/>
        <v>1.2147925339760473</v>
      </c>
    </row>
    <row r="79" spans="1:15" x14ac:dyDescent="0.2">
      <c r="A79">
        <f>VLOOKUP(B79,Leonard2010!F:CE,78,FALSE)</f>
        <v>626</v>
      </c>
      <c r="B79" s="29" t="s">
        <v>489</v>
      </c>
      <c r="C79">
        <f>IF(A79&lt;600,VLOOKUP(B79,FaultGeometry!B:C,2,FALSE),VLOOKUP(B79,MultiFaultGeometry!B:C,2,FALSE))</f>
        <v>0.5</v>
      </c>
      <c r="D79">
        <f>IF(A79&gt;600,VLOOKUP(B79,Leonard2010!F:L,7,FALSE),VLOOKUP(A79,Leonard2010!A:J,10,FALSE))</f>
        <v>158</v>
      </c>
      <c r="E79">
        <f>$C79*IF($A79&lt;600,(VLOOKUP($B79,FaultGeometry!$B:$P,13,FALSE)),VLOOKUP($B79,MultiFaultGeometry!$B:$G,4,FALSE))</f>
        <v>7.7515678470297831E-3</v>
      </c>
      <c r="F79">
        <f>$C79*IF($A79&lt;600,(VLOOKUP($B79,FaultGeometry!$B:$P,14,FALSE)),VLOOKUP($B79,MultiFaultGeometry!$B:$G,5,FALSE))</f>
        <v>0.13363224297312995</v>
      </c>
      <c r="G79">
        <f>$C79*IF($A79&lt;600,(VLOOKUP($B79,FaultGeometry!$B:$P,15,FALSE)),VLOOKUP($B79,MultiFaultGeometry!$B:$G,6,FALSE))</f>
        <v>8.2788348227183117E-2</v>
      </c>
      <c r="H79" t="str">
        <f>IF(A79&lt;600,VLOOKUP(B79,Leonard2010!D:S,16,FALSE),VLOOKUP(B79,Leonard2010!F:W,18,FALSE))</f>
        <v>N</v>
      </c>
      <c r="I79" s="49">
        <f>IF(A79&lt;600,VLOOKUP(B79,Leonard2010!D:U,18,FALSE),VLOOKUP(B79,Leonard2010!F:Y,20,FALSE))</f>
        <v>1362.6085133183956</v>
      </c>
      <c r="J79" t="s">
        <v>211</v>
      </c>
      <c r="K79">
        <f>IF(J79="Y","TBC",IF(A79&lt;600,VLOOKUP(A79,FaultGeometry!A:F,6,FALSE)*((35-VLOOKUP(A79,FaultGeometry!A:K,11,FALSE))/SIN(RADIANS(VLOOKUP(A79,FaultGeometry!A:H,8,FALSE)))),VLOOKUP(A79,MultiFaultGeometry!A:D,4,FALSE)*((35-VLOOKUP(B79,Leonard2010!F:R,13,FALSE))/SIN(RADIANS(VLOOKUP(B79,Leonard2010!F:Q,9,FALSE))))))</f>
        <v>2379.6838183259069</v>
      </c>
      <c r="L79" s="49">
        <f>IF(A79&lt;600,VLOOKUP(B79,Leonard2010!D:BH,57,FALSE),VLOOKUP(B79,Leonard2010!F:BS,66,FALSE))</f>
        <v>7.1665694556641713</v>
      </c>
      <c r="M79">
        <f t="shared" si="3"/>
        <v>6008918253657634</v>
      </c>
      <c r="N79">
        <f t="shared" si="4"/>
        <v>1.0494082044921854E+16</v>
      </c>
      <c r="O79">
        <f t="shared" si="5"/>
        <v>1.7464178412701981</v>
      </c>
    </row>
    <row r="80" spans="1:15" x14ac:dyDescent="0.2">
      <c r="A80">
        <f>VLOOKUP(B80,Leonard2010!F:CE,78,FALSE)</f>
        <v>627</v>
      </c>
      <c r="B80" s="29" t="s">
        <v>490</v>
      </c>
      <c r="C80">
        <v>0.5</v>
      </c>
      <c r="D80">
        <f>IF(A80&gt;600,VLOOKUP(B80,Leonard2010!F:L,7,FALSE),VLOOKUP(A80,Leonard2010!A:J,10,FALSE))</f>
        <v>159</v>
      </c>
      <c r="E80">
        <f>$C80*IF($A80&lt;600,(VLOOKUP($B80,FaultGeometry!$B:$P,13,FALSE)),VLOOKUP($B80,MultiFaultGeometry!$B:$G,4,FALSE))</f>
        <v>7.8106193461566177E-3</v>
      </c>
      <c r="F80">
        <f>$C80*IF($A80&lt;600,(VLOOKUP($B80,FaultGeometry!$B:$P,14,FALSE)),VLOOKUP($B80,MultiFaultGeometry!$B:$G,5,FALSE))</f>
        <v>0.13255988691901902</v>
      </c>
      <c r="G80">
        <f>$C80*IF($A80&lt;600,(VLOOKUP($B80,FaultGeometry!$B:$P,15,FALSE)),VLOOKUP($B80,MultiFaultGeometry!$B:$G,6,FALSE))</f>
        <v>8.3197130968216154E-2</v>
      </c>
      <c r="H80" t="str">
        <f>IF(A80&lt;600,VLOOKUP(B80,Leonard2010!D:S,16,FALSE),VLOOKUP(B80,Leonard2010!F:W,18,FALSE))</f>
        <v>N</v>
      </c>
      <c r="I80" s="49">
        <f>IF(A80&lt;600,VLOOKUP(B80,Leonard2010!D:U,18,FALSE),VLOOKUP(B80,Leonard2010!F:Y,20,FALSE))</f>
        <v>1731.7450306307246</v>
      </c>
      <c r="J80" t="s">
        <v>211</v>
      </c>
      <c r="K80">
        <f>IF(J80="Y","TBC",IF(A80&lt;600,VLOOKUP(A80,FaultGeometry!A:F,6,FALSE)*((35-VLOOKUP(A80,FaultGeometry!A:K,11,FALSE))/SIN(RADIANS(VLOOKUP(A80,FaultGeometry!A:H,8,FALSE)))),VLOOKUP(A80,MultiFaultGeometry!A:D,4,FALSE)*((35-VLOOKUP(B80,Leonard2010!F:R,13,FALSE))/SIN(RADIANS(VLOOKUP(B80,Leonard2010!F:Q,9,FALSE))))))</f>
        <v>2747.8117018238372</v>
      </c>
      <c r="L80" s="49">
        <f>IF(A80&lt;600,VLOOKUP(B80,Leonard2010!D:BH,57,FALSE),VLOOKUP(B80,Leonard2010!F:BS,66,FALSE))</f>
        <v>7.2706823077339537</v>
      </c>
      <c r="M80">
        <f t="shared" si="3"/>
        <v>7575477539288406</v>
      </c>
      <c r="N80">
        <f t="shared" si="4"/>
        <v>1.2020237079461326E+16</v>
      </c>
      <c r="O80">
        <f t="shared" si="5"/>
        <v>1.5867299476661683</v>
      </c>
    </row>
    <row r="81" spans="12:12" x14ac:dyDescent="0.2">
      <c r="L81" s="1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BE3C-8BE5-B846-B668-58AF95377D37}">
  <dimension ref="A1:I9"/>
  <sheetViews>
    <sheetView workbookViewId="0">
      <selection activeCell="D2" sqref="D2:I9"/>
    </sheetView>
  </sheetViews>
  <sheetFormatPr baseColWidth="10" defaultRowHeight="16" x14ac:dyDescent="0.2"/>
  <cols>
    <col min="2" max="2" width="12.83203125" customWidth="1"/>
    <col min="3" max="3" width="17.33203125" customWidth="1"/>
    <col min="4" max="4" width="17.1640625" customWidth="1"/>
    <col min="5" max="5" width="17.33203125" customWidth="1"/>
    <col min="6" max="6" width="16.83203125" customWidth="1"/>
    <col min="7" max="7" width="15" customWidth="1"/>
    <col min="8" max="8" width="14.5" customWidth="1"/>
    <col min="9" max="9" width="16.1640625" customWidth="1"/>
  </cols>
  <sheetData>
    <row r="1" spans="1:9" ht="40" customHeight="1" x14ac:dyDescent="0.2">
      <c r="A1" t="s">
        <v>438</v>
      </c>
      <c r="B1" s="32" t="s">
        <v>468</v>
      </c>
      <c r="C1" s="32" t="s">
        <v>472</v>
      </c>
      <c r="D1" s="3" t="s">
        <v>37</v>
      </c>
      <c r="E1" s="3" t="s">
        <v>38</v>
      </c>
      <c r="F1" s="3" t="s">
        <v>39</v>
      </c>
      <c r="G1" s="3" t="s">
        <v>222</v>
      </c>
      <c r="H1" s="3" t="s">
        <v>220</v>
      </c>
      <c r="I1" s="3" t="s">
        <v>221</v>
      </c>
    </row>
    <row r="2" spans="1:9" x14ac:dyDescent="0.2">
      <c r="A2" t="s">
        <v>1</v>
      </c>
      <c r="B2">
        <v>2</v>
      </c>
      <c r="C2">
        <v>0</v>
      </c>
      <c r="D2" s="27">
        <v>0.25</v>
      </c>
      <c r="E2" s="27">
        <v>0.46</v>
      </c>
      <c r="F2" s="27">
        <v>0.67</v>
      </c>
      <c r="G2" s="27">
        <v>19</v>
      </c>
      <c r="H2" s="27">
        <v>67</v>
      </c>
      <c r="I2" s="35">
        <v>115</v>
      </c>
    </row>
    <row r="3" spans="1:9" x14ac:dyDescent="0.2">
      <c r="A3" s="40" t="s">
        <v>431</v>
      </c>
      <c r="B3">
        <v>1</v>
      </c>
      <c r="C3">
        <v>0</v>
      </c>
      <c r="D3" s="41">
        <v>0.44999999999999996</v>
      </c>
      <c r="E3" s="41">
        <v>0.61</v>
      </c>
      <c r="F3" s="41">
        <v>0.77</v>
      </c>
      <c r="G3" s="41">
        <v>28</v>
      </c>
      <c r="H3" s="41">
        <v>65</v>
      </c>
      <c r="I3" s="43">
        <v>102</v>
      </c>
    </row>
    <row r="4" spans="1:9" x14ac:dyDescent="0.2">
      <c r="A4" t="s">
        <v>30</v>
      </c>
      <c r="B4">
        <v>1</v>
      </c>
      <c r="C4">
        <v>3</v>
      </c>
      <c r="D4" s="9">
        <v>0.38999999999999996</v>
      </c>
      <c r="E4" s="9">
        <v>0.56999999999999995</v>
      </c>
      <c r="F4" s="9">
        <v>0.75</v>
      </c>
      <c r="G4" s="9">
        <v>33</v>
      </c>
      <c r="H4" s="9">
        <v>70</v>
      </c>
      <c r="I4" s="17">
        <v>107</v>
      </c>
    </row>
    <row r="5" spans="1:9" x14ac:dyDescent="0.2">
      <c r="A5" t="s">
        <v>4</v>
      </c>
      <c r="B5">
        <v>1</v>
      </c>
      <c r="C5">
        <v>6</v>
      </c>
      <c r="D5" s="12">
        <v>0.49</v>
      </c>
      <c r="E5" s="12">
        <v>0.66</v>
      </c>
      <c r="F5" s="12">
        <v>0.83000000000000007</v>
      </c>
      <c r="G5" s="12">
        <v>39</v>
      </c>
      <c r="H5" s="12">
        <v>71</v>
      </c>
      <c r="I5" s="18">
        <v>103</v>
      </c>
    </row>
    <row r="6" spans="1:9" x14ac:dyDescent="0.2">
      <c r="A6" t="s">
        <v>32</v>
      </c>
      <c r="B6">
        <v>2</v>
      </c>
      <c r="C6">
        <v>8</v>
      </c>
      <c r="D6" s="14">
        <v>0.57000000000000006</v>
      </c>
      <c r="E6" s="14">
        <v>0.75</v>
      </c>
      <c r="F6" s="14">
        <v>0.92999999999999994</v>
      </c>
      <c r="G6" s="14">
        <v>46</v>
      </c>
      <c r="H6" s="14">
        <v>73</v>
      </c>
      <c r="I6" s="19">
        <v>100</v>
      </c>
    </row>
    <row r="7" spans="1:9" x14ac:dyDescent="0.2">
      <c r="A7" t="s">
        <v>137</v>
      </c>
      <c r="B7">
        <v>2</v>
      </c>
      <c r="C7">
        <v>15</v>
      </c>
      <c r="D7" s="52">
        <v>0.69000000000000006</v>
      </c>
      <c r="E7" s="52">
        <v>0.91</v>
      </c>
      <c r="F7" s="52">
        <v>1.1300000000000001</v>
      </c>
      <c r="G7" s="52">
        <v>52</v>
      </c>
      <c r="H7" s="52">
        <v>74</v>
      </c>
      <c r="I7" s="52">
        <v>96</v>
      </c>
    </row>
    <row r="8" spans="1:9" x14ac:dyDescent="0.2">
      <c r="A8" t="s">
        <v>135</v>
      </c>
      <c r="B8">
        <v>1</v>
      </c>
      <c r="C8">
        <v>12</v>
      </c>
      <c r="D8" s="12">
        <v>0.81</v>
      </c>
      <c r="E8" s="12">
        <v>1.1100000000000001</v>
      </c>
      <c r="F8" s="12">
        <v>1.4100000000000001</v>
      </c>
      <c r="G8" s="12">
        <v>59</v>
      </c>
      <c r="H8" s="12">
        <v>76</v>
      </c>
      <c r="I8" s="12">
        <v>93</v>
      </c>
    </row>
    <row r="9" spans="1:9" x14ac:dyDescent="0.2">
      <c r="A9" t="s">
        <v>142</v>
      </c>
      <c r="B9">
        <v>1</v>
      </c>
      <c r="C9">
        <v>7</v>
      </c>
      <c r="D9" s="57">
        <v>0.91</v>
      </c>
      <c r="E9" s="57">
        <v>1.28</v>
      </c>
      <c r="F9" s="57">
        <v>1.67</v>
      </c>
      <c r="G9" s="57">
        <v>61</v>
      </c>
      <c r="H9" s="57">
        <v>76</v>
      </c>
      <c r="I9" s="57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BCF1-E4D2-F34E-80EE-DA796C41C4F1}">
  <dimension ref="A1:AG285"/>
  <sheetViews>
    <sheetView tabSelected="1" workbookViewId="0">
      <pane xSplit="3" ySplit="1" topLeftCell="T260" activePane="bottomRight" state="frozen"/>
      <selection pane="topRight" activeCell="D1" sqref="D1"/>
      <selection pane="bottomLeft" activeCell="A2" sqref="A2"/>
      <selection pane="bottomRight" activeCell="AB283" sqref="AB283"/>
    </sheetView>
  </sheetViews>
  <sheetFormatPr baseColWidth="10" defaultRowHeight="16" x14ac:dyDescent="0.2"/>
  <cols>
    <col min="1" max="1" width="19.33203125" bestFit="1" customWidth="1"/>
    <col min="2" max="2" width="23.1640625" bestFit="1" customWidth="1"/>
    <col min="3" max="3" width="23.1640625" customWidth="1"/>
    <col min="4" max="6" width="11.33203125" customWidth="1"/>
    <col min="18" max="22" width="12.1640625" customWidth="1"/>
    <col min="23" max="24" width="12.1640625" bestFit="1" customWidth="1"/>
    <col min="25" max="26" width="12.1640625" customWidth="1"/>
    <col min="27" max="27" width="18.5" customWidth="1"/>
    <col min="28" max="28" width="12.1640625" customWidth="1"/>
    <col min="29" max="29" width="12.1640625" bestFit="1" customWidth="1"/>
    <col min="31" max="31" width="23.1640625" customWidth="1"/>
    <col min="32" max="32" width="12.1640625" bestFit="1" customWidth="1"/>
  </cols>
  <sheetData>
    <row r="1" spans="1:33" s="32" customFormat="1" ht="51" x14ac:dyDescent="0.2">
      <c r="A1" s="32" t="s">
        <v>33</v>
      </c>
      <c r="B1" s="32" t="s">
        <v>130</v>
      </c>
      <c r="C1" s="32" t="s">
        <v>539</v>
      </c>
      <c r="D1" s="32" t="s">
        <v>81</v>
      </c>
      <c r="E1" s="32" t="s">
        <v>548</v>
      </c>
      <c r="F1" s="32" t="s">
        <v>549</v>
      </c>
      <c r="G1" s="32" t="s">
        <v>181</v>
      </c>
      <c r="H1" s="32" t="s">
        <v>182</v>
      </c>
      <c r="I1" s="32" t="s">
        <v>341</v>
      </c>
      <c r="J1" s="32" t="s">
        <v>131</v>
      </c>
      <c r="K1" s="32" t="s">
        <v>551</v>
      </c>
      <c r="L1" s="32" t="s">
        <v>224</v>
      </c>
      <c r="M1" s="32" t="s">
        <v>225</v>
      </c>
      <c r="N1" s="32" t="s">
        <v>226</v>
      </c>
      <c r="O1" s="32" t="s">
        <v>342</v>
      </c>
      <c r="P1" s="32" t="s">
        <v>550</v>
      </c>
      <c r="Q1" s="32" t="s">
        <v>346</v>
      </c>
      <c r="R1" s="32" t="s">
        <v>183</v>
      </c>
      <c r="S1" s="32" t="s">
        <v>553</v>
      </c>
      <c r="T1" s="32" t="s">
        <v>343</v>
      </c>
      <c r="U1" s="32" t="s">
        <v>554</v>
      </c>
      <c r="V1" s="32" t="s">
        <v>346</v>
      </c>
      <c r="W1" s="32" t="s">
        <v>344</v>
      </c>
      <c r="X1" s="32" t="s">
        <v>555</v>
      </c>
      <c r="Y1" s="32" t="s">
        <v>556</v>
      </c>
      <c r="Z1" s="32" t="s">
        <v>557</v>
      </c>
      <c r="AA1" s="32" t="s">
        <v>346</v>
      </c>
      <c r="AB1" s="32" t="s">
        <v>345</v>
      </c>
      <c r="AC1" s="32" t="s">
        <v>558</v>
      </c>
      <c r="AE1" s="32" t="s">
        <v>349</v>
      </c>
    </row>
    <row r="2" spans="1:33" ht="51" x14ac:dyDescent="0.2">
      <c r="A2" s="68" t="str">
        <f>Leonard2010!D4</f>
        <v>Nsanje</v>
      </c>
      <c r="B2" s="68" t="str">
        <f>Leonard2010!E4</f>
        <v>NA</v>
      </c>
      <c r="C2" s="68" t="str">
        <f>Leonard2010!F4</f>
        <v>NA</v>
      </c>
      <c r="D2" t="str">
        <f>IF(B2="NA","NA",VLOOKUP(B2,Leonard2010!E:H,3,FALSE))</f>
        <v>NA</v>
      </c>
      <c r="E2">
        <f>IF(A2="NA","NA",VLOOKUP(A2,Leonard2010!D:I,6,FALSE))</f>
        <v>33.200000000000003</v>
      </c>
      <c r="F2" t="str">
        <f>IF(C2="NA","NA",VLOOKUP(C2,Leonard2010!F:K,6,FALSE))</f>
        <v>NA</v>
      </c>
      <c r="G2" t="str">
        <f>IF(B2="NA","NA",VLOOKUP(B2,Leonard2010!E:H,4,FALSE))</f>
        <v>NA</v>
      </c>
      <c r="H2">
        <f>IF(A2="NA","NA",VLOOKUP(A2,Leonard2010!D:J,7,FALSE))</f>
        <v>22</v>
      </c>
      <c r="I2" t="str">
        <f>IF(C2="NA","NA",VLOOKUP(C2,Leonard2010!F:L,7,FALSE))</f>
        <v>NA</v>
      </c>
      <c r="J2">
        <f>IF(A2="NA","NA",VLOOKUP(A2,Leonard2010!D:N,11,FALSE))</f>
        <v>53</v>
      </c>
      <c r="K2" t="s">
        <v>211</v>
      </c>
      <c r="L2">
        <f>VLOOKUP($A2,Leonard2010!D:AJ,32,FALSE)</f>
        <v>19</v>
      </c>
      <c r="M2">
        <f>VLOOKUP($A2,Leonard2010!D:AK,33,FALSE)</f>
        <v>67</v>
      </c>
      <c r="N2">
        <f>VLOOKUP($A2,Leonard2010!D:AL,34,FALSE)</f>
        <v>115</v>
      </c>
      <c r="O2" t="str">
        <f t="shared" ref="O2:O33" si="0">IF($B2="NA","NA",MEDIAN(ABS(COS(RADIANS($L2-$G2-90))),ABS(COS(RADIANS($M2-$G2-90))),ABS(COS(RADIANS($N2-$G2-90)))))</f>
        <v>NA</v>
      </c>
      <c r="P2" t="str">
        <f>IF(B2="NA","NA",IF(K2="N",E2*(35/SIN(RADIANS(J2))),"CHECK"))</f>
        <v>NA</v>
      </c>
      <c r="Q2" t="str">
        <f>IF(B2="NA","0",VLOOKUP(B2,SectionGeometry!C:E,3,FALSE)*IF(C2="NA",X$277/(X$277+X$276),X$277))</f>
        <v>0</v>
      </c>
      <c r="R2">
        <f>Q2*IF(B2="NA",0,((VLOOKUP(B2,SectionGeometry!C:Z,24,FALSE))))</f>
        <v>0</v>
      </c>
      <c r="S2">
        <f>IF(R2=0,0,Q2*3.3*10^10*P2*10^6*(1/O2)*VLOOKUP(B2,SectionGeometry!C:AA,25,FALSE)*10^-3)</f>
        <v>0</v>
      </c>
      <c r="T2">
        <f t="shared" ref="T2:T65" si="1">IF($A2="NA","NA",MEDIAN(ABS(COS(RADIANS($L2-$H2-90))),ABS(COS(RADIANS($M2-$H2-90))),ABS(COS(RADIANS($N2-$H2-90)))))</f>
        <v>0.70710678118654757</v>
      </c>
      <c r="U2">
        <f>IF(K2="N",E2*35/SIN(RADIANS(J2)),IF(K2="Y",VLOOKUP(A2,Leonard2010!D:U,18,FALSE),IF(C2="NA",VLOOKUP(A2,MSSM_AdaptedSources!B:K,10,FALSE),"CHECK")))</f>
        <v>1454.9816347775343</v>
      </c>
      <c r="V2">
        <f>(1*VLOOKUP(A2,FaultGeometry!B:C,2,FALSE))-Q2-AA2</f>
        <v>1</v>
      </c>
      <c r="W2">
        <f>V2*(VLOOKUP(A2,FaultGeometry!B:Y,24,FALSE))</f>
        <v>3546680709879370</v>
      </c>
      <c r="X2">
        <f>V2*3.3*10^10*U2*10^6*(1/T2)*VLOOKUP(A2,FaultGeometry!B:O,14,FALSE)*10^-3</f>
        <v>1.2430584625951298E+16</v>
      </c>
      <c r="Y2" t="str">
        <f t="shared" ref="Y2:Y13" si="2">IF($C2="NA","NA",MEDIAN(ABS(COS(RADIANS($L2-$I2-90))),ABS(COS(RADIANS($M2-$I2-90))),ABS(COS(RADIANS($N2-$I2-90)))))</f>
        <v>NA</v>
      </c>
      <c r="Z2" t="str">
        <f>IF(C2="NA","NA",VLOOKUP(C2,MSSM_AdaptedSources!B:K,10,FALSE))</f>
        <v>NA</v>
      </c>
      <c r="AA2" t="str">
        <f>IF(C2="NA","0",VLOOKUP(C2,MultiFaultGeometry!B:C,2,FALSE)*IF(B2="NA",X$278/(X$278+X$276),X$278))</f>
        <v>0</v>
      </c>
      <c r="AB2">
        <f>AA2*IF(C2="NA",0,VLOOKUP(C2,MultiFaultGeometry!B:O,14,FALSE))</f>
        <v>0</v>
      </c>
      <c r="AC2">
        <f>IF(AB2=0,0,AA2*3.3*10^10*Z2*10^6*(1/Y2)*VLOOKUP(C2,MultiFaultGeometry!B:G,5,FALSE)*10^-3)</f>
        <v>0</v>
      </c>
      <c r="AE2" s="68">
        <f t="shared" ref="AE2:AE65" si="3">IF(MATCH(A3,_xlfn.UNIQUE(A$2:A$272),0)-(MATCH(A2,_xlfn.UNIQUE(A$2:A$272),0))=1,W2,0)</f>
        <v>3546680709879370</v>
      </c>
      <c r="AF2" s="32" t="s">
        <v>350</v>
      </c>
    </row>
    <row r="3" spans="1:33" x14ac:dyDescent="0.2">
      <c r="A3" s="68" t="str">
        <f>Leonard2010!D5</f>
        <v>Mwanza</v>
      </c>
      <c r="B3" s="68" t="str">
        <f>Leonard2010!E5</f>
        <v>Mwanza West</v>
      </c>
      <c r="C3" s="68" t="str">
        <f>Leonard2010!F5</f>
        <v>NA</v>
      </c>
      <c r="D3">
        <f>IF(B3="NA","NA",VLOOKUP(B3,Leonard2010!E:H,3,FALSE))</f>
        <v>30.4</v>
      </c>
      <c r="E3">
        <f>IF(A3="NA","NA",VLOOKUP(A3,Leonard2010!D:I,6,FALSE))</f>
        <v>143.99999999999997</v>
      </c>
      <c r="F3" t="str">
        <f>IF(C3="NA","NA",VLOOKUP(C3,Leonard2010!F:K,6,FALSE))</f>
        <v>NA</v>
      </c>
      <c r="G3">
        <f>IF(B3="NA","NA",VLOOKUP(B3,Leonard2010!E:H,4,FALSE))</f>
        <v>132</v>
      </c>
      <c r="H3">
        <f>IF(A3="NA","NA",VLOOKUP(A3,Leonard2010!D:J,7,FALSE))</f>
        <v>127</v>
      </c>
      <c r="I3" t="str">
        <f>IF(C3="NA","NA",VLOOKUP(C3,Leonard2010!F:L,7,FALSE))</f>
        <v>NA</v>
      </c>
      <c r="J3">
        <f>IF(A3="NA","NA",VLOOKUP(A3,Leonard2010!D:N,11,FALSE))</f>
        <v>53</v>
      </c>
      <c r="K3" t="s">
        <v>211</v>
      </c>
      <c r="L3">
        <f>VLOOKUP(A3,Leonard2010!D:AJ,32,FALSE)</f>
        <v>28</v>
      </c>
      <c r="M3">
        <f>VLOOKUP($A3,Leonard2010!D:AK,33,FALSE)</f>
        <v>65</v>
      </c>
      <c r="N3">
        <f>VLOOKUP($A3,Leonard2010!D:AL,34,FALSE)</f>
        <v>102</v>
      </c>
      <c r="O3">
        <f t="shared" si="0"/>
        <v>0.92050485345244037</v>
      </c>
      <c r="P3">
        <f>IF(B3="NA","NA",IF(K3="N",D3*(35/SIN(RADIANS(J3))),"CHECK"))</f>
        <v>1332.272340278224</v>
      </c>
      <c r="Q3">
        <f>IF(B3="NA","0",VLOOKUP(B3,SectionGeometry!C:E,3,FALSE)*IF(C3="NA",X$277/(X$277+X$276),X$277))</f>
        <v>0.25</v>
      </c>
      <c r="R3">
        <f>Q3*IF(B3="NA",0,((VLOOKUP(B3,SectionGeometry!C:Z,24,FALSE))))</f>
        <v>3352902379592454.5</v>
      </c>
      <c r="S3">
        <f>IF(R3=0,0,Q3*3.3*10^10*P3*10^6*(1/O3)*VLOOKUP(B3,SectionGeometry!C:AA,25,FALSE)*10^-3)</f>
        <v>9901718944208982</v>
      </c>
      <c r="T3">
        <f t="shared" si="1"/>
        <v>0.88294759285892699</v>
      </c>
      <c r="U3">
        <f>IF(K3="N",E3*35/SIN(RADIANS(J3)),IF(K3="Y",VLOOKUP(A3,Leonard2010!D:U,18,FALSE),IF(C3="NA",VLOOKUP(A3,MSSM_AdaptedSources!B:K,10,FALSE),"CHECK")))</f>
        <v>6310.7637171073766</v>
      </c>
      <c r="V3">
        <f>(1*VLOOKUP(A3,FaultGeometry!B:C,2,FALSE))-Q3-AA3</f>
        <v>0.75</v>
      </c>
      <c r="W3">
        <f>V3*(VLOOKUP(A3,FaultGeometry!B:Y,24,FALSE))</f>
        <v>1.2609093262422139E+17</v>
      </c>
      <c r="X3">
        <f>V3*3.3*10^10*U3*10^6*(1/T3)*VLOOKUP(A3,FaultGeometry!B:O,14,FALSE)*10^-3</f>
        <v>1.4249232735598499E+17</v>
      </c>
      <c r="Y3" t="str">
        <f t="shared" si="2"/>
        <v>NA</v>
      </c>
      <c r="Z3" t="str">
        <f>IF(C3="NA","NA",VLOOKUP(C3,MSSM_AdaptedSources!B:K,10,FALSE))</f>
        <v>NA</v>
      </c>
      <c r="AA3" t="str">
        <f>IF(C3="NA","0",VLOOKUP(C3,MultiFaultGeometry!B:C,2,FALSE)*IF(B3="NA",X$278/(X$278+X$276),X$278))</f>
        <v>0</v>
      </c>
      <c r="AB3">
        <f>AA3*IF(C3="NA",0,VLOOKUP(C3,MultiFaultGeometry!B:O,14,FALSE))</f>
        <v>0</v>
      </c>
      <c r="AC3">
        <f>IF(AB3=0,0,AA3*3.3*10^10*Z3*10^6*(1/Y3)*VLOOKUP(C3,MultiFaultGeometry!B:G,5,FALSE)*10^-3)</f>
        <v>0</v>
      </c>
      <c r="AE3" s="68">
        <f t="shared" si="3"/>
        <v>0</v>
      </c>
      <c r="AF3" s="68">
        <f t="shared" ref="AF3:AF66" si="4">IF(AE3=0,0,X3)</f>
        <v>0</v>
      </c>
      <c r="AG3" s="68"/>
    </row>
    <row r="4" spans="1:33" x14ac:dyDescent="0.2">
      <c r="A4" s="68" t="str">
        <f>Leonard2010!D6</f>
        <v>Mwanza</v>
      </c>
      <c r="B4" s="68" t="str">
        <f>Leonard2010!E6</f>
        <v>Majete</v>
      </c>
      <c r="C4" s="68" t="str">
        <f>Leonard2010!F6</f>
        <v>NA</v>
      </c>
      <c r="D4">
        <f>IF(B4="NA","NA",VLOOKUP(B4,Leonard2010!E:H,3,FALSE))</f>
        <v>62.4</v>
      </c>
      <c r="E4">
        <f>IF(A4="NA","NA",VLOOKUP(A4,Leonard2010!D:I,6,FALSE))</f>
        <v>143.99999999999997</v>
      </c>
      <c r="F4" t="str">
        <f>IF(C4="NA","NA",VLOOKUP(C4,Leonard2010!F:K,6,FALSE))</f>
        <v>NA</v>
      </c>
      <c r="G4">
        <f>IF(B4="NA","NA",VLOOKUP(B4,Leonard2010!E:H,4,FALSE))</f>
        <v>130</v>
      </c>
      <c r="H4">
        <f>IF(A4="NA","NA",VLOOKUP(A4,Leonard2010!D:J,7,FALSE))</f>
        <v>127</v>
      </c>
      <c r="I4" t="str">
        <f>IF(C4="NA","NA",VLOOKUP(C4,Leonard2010!F:L,7,FALSE))</f>
        <v>NA</v>
      </c>
      <c r="J4">
        <f>IF(A4="NA","NA",VLOOKUP(A4,Leonard2010!D:N,11,FALSE))</f>
        <v>53</v>
      </c>
      <c r="K4" t="s">
        <v>211</v>
      </c>
      <c r="L4">
        <f>VLOOKUP(A4,Leonard2010!D:AJ,32,FALSE)</f>
        <v>28</v>
      </c>
      <c r="M4">
        <f>VLOOKUP($A4,Leonard2010!D:AK,33,FALSE)</f>
        <v>65</v>
      </c>
      <c r="N4">
        <f>VLOOKUP($A4,Leonard2010!D:AL,34,FALSE)</f>
        <v>102</v>
      </c>
      <c r="O4">
        <f t="shared" si="0"/>
        <v>0.90630778703664994</v>
      </c>
      <c r="P4">
        <f t="shared" ref="P4:P9" si="5">IF(B4="NA","NA",IF(K4="N",D4*(35/SIN(RADIANS(J4))),"CHECK"))</f>
        <v>2734.6642774131969</v>
      </c>
      <c r="Q4">
        <f>IF(B4="NA","0",VLOOKUP(B4,SectionGeometry!C:E,3,FALSE)*IF(C4="NA",X$277/(X$277+X$276),X$277))</f>
        <v>0.25</v>
      </c>
      <c r="R4">
        <f>Q4*IF(B4="NA",0,((VLOOKUP(B4,SectionGeometry!C:Z,24,FALSE))))</f>
        <v>1.1057998802647204E+16</v>
      </c>
      <c r="S4">
        <f>IF(R4=0,0,Q4*3.3*10^10*P4*10^6*(1/O4)*VLOOKUP(B4,SectionGeometry!C:AA,25,FALSE)*10^-3)</f>
        <v>2.0489798721527884E+16</v>
      </c>
      <c r="T4">
        <f t="shared" si="1"/>
        <v>0.88294759285892699</v>
      </c>
      <c r="U4">
        <f>IF(K4="N",E4*35/SIN(RADIANS(J4)),IF(K4="Y",VLOOKUP(A4,Leonard2010!D:U,18,FALSE),IF(C4="NA",VLOOKUP(A4,MSSM_AdaptedSources!B:K,10,FALSE),"CHECK")))</f>
        <v>6310.7637171073766</v>
      </c>
      <c r="V4">
        <f>(1*VLOOKUP(A4,FaultGeometry!B:C,2,FALSE))-Q4-AA4</f>
        <v>0.75</v>
      </c>
      <c r="W4">
        <f>V4*(VLOOKUP(A4,FaultGeometry!B:Y,24,FALSE))</f>
        <v>1.2609093262422139E+17</v>
      </c>
      <c r="X4">
        <f>V4*3.3*10^10*U4*10^6*(1/T4)*VLOOKUP(A4,FaultGeometry!B:O,14,FALSE)*10^-3</f>
        <v>1.4249232735598499E+17</v>
      </c>
      <c r="Y4" t="str">
        <f t="shared" si="2"/>
        <v>NA</v>
      </c>
      <c r="Z4" t="str">
        <f>IF(C4="NA","NA",VLOOKUP(C4,MSSM_AdaptedSources!B:K,10,FALSE))</f>
        <v>NA</v>
      </c>
      <c r="AA4" t="str">
        <f>IF(C4="NA","0",VLOOKUP(C4,MultiFaultGeometry!B:C,2,FALSE)*IF(B4="NA",X$278/(X$278+X$276),X$278))</f>
        <v>0</v>
      </c>
      <c r="AB4">
        <f>AA4*IF(C4="NA",0,VLOOKUP(C4,MultiFaultGeometry!B:O,14,FALSE))</f>
        <v>0</v>
      </c>
      <c r="AC4">
        <f>IF(AB4=0,0,AA4*3.3*10^10*Z4*10^6*(1/Y4)*VLOOKUP(C4,MultiFaultGeometry!B:G,5,FALSE)*10^-3)</f>
        <v>0</v>
      </c>
      <c r="AE4" s="68">
        <f t="shared" si="3"/>
        <v>0</v>
      </c>
      <c r="AF4" s="68">
        <f t="shared" si="4"/>
        <v>0</v>
      </c>
      <c r="AG4" s="68"/>
    </row>
    <row r="5" spans="1:33" x14ac:dyDescent="0.2">
      <c r="A5" s="68" t="str">
        <f>Leonard2010!D7</f>
        <v>Mwanza</v>
      </c>
      <c r="B5" s="68" t="str">
        <f>Leonard2010!E7</f>
        <v>Mwanza Link-1</v>
      </c>
      <c r="C5" s="68" t="str">
        <f>Leonard2010!F7</f>
        <v>NA</v>
      </c>
      <c r="D5">
        <f>IF(B5="NA","NA",VLOOKUP(B5,Leonard2010!E:H,3,FALSE))</f>
        <v>0.8</v>
      </c>
      <c r="E5">
        <f>IF(A5="NA","NA",VLOOKUP(A5,Leonard2010!D:I,6,FALSE))</f>
        <v>143.99999999999997</v>
      </c>
      <c r="F5" t="str">
        <f>IF(C5="NA","NA",VLOOKUP(C5,Leonard2010!F:K,6,FALSE))</f>
        <v>NA</v>
      </c>
      <c r="G5">
        <f>IF(B5="NA","NA",VLOOKUP(B5,Leonard2010!E:H,4,FALSE))</f>
        <v>100</v>
      </c>
      <c r="H5">
        <f>IF(A5="NA","NA",VLOOKUP(A5,Leonard2010!D:J,7,FALSE))</f>
        <v>127</v>
      </c>
      <c r="I5" t="str">
        <f>IF(C5="NA","NA",VLOOKUP(C5,Leonard2010!F:L,7,FALSE))</f>
        <v>NA</v>
      </c>
      <c r="J5">
        <f>IF(A5="NA","NA",VLOOKUP(A5,Leonard2010!D:N,11,FALSE))</f>
        <v>53</v>
      </c>
      <c r="K5" t="s">
        <v>211</v>
      </c>
      <c r="L5">
        <f>VLOOKUP(A5,Leonard2010!D:AJ,32,FALSE)</f>
        <v>28</v>
      </c>
      <c r="M5">
        <f>VLOOKUP($A5,Leonard2010!D:AK,33,FALSE)</f>
        <v>65</v>
      </c>
      <c r="N5">
        <f>VLOOKUP($A5,Leonard2010!D:AL,34,FALSE)</f>
        <v>102</v>
      </c>
      <c r="O5">
        <f t="shared" si="0"/>
        <v>0.57357643635104616</v>
      </c>
      <c r="P5">
        <f t="shared" si="5"/>
        <v>35.059798428374322</v>
      </c>
      <c r="Q5">
        <f>IF(B5="NA","0",VLOOKUP(B5,SectionGeometry!C:E,3,FALSE)*IF(C5="NA",X$277/(X$277+X$276),X$277))</f>
        <v>0.25</v>
      </c>
      <c r="R5">
        <f>Q5*IF(B5="NA",0,((VLOOKUP(B5,SectionGeometry!C:Z,24,FALSE))))</f>
        <v>0</v>
      </c>
      <c r="S5">
        <f>IF(R5=0,0,Q5*3.3*10^10*P5*10^6*(1/O5)*VLOOKUP(B5,SectionGeometry!C:AA,25,FALSE)*10^-3)</f>
        <v>0</v>
      </c>
      <c r="T5">
        <f>IF($A5="NA","NA",MEDIAN(ABS(COS(RADIANS($L5-$H5-90))),ABS(COS(RADIANS($M5-$H5-90))),ABS(COS(RADIANS($N5-$H5-90)))))</f>
        <v>0.88294759285892699</v>
      </c>
      <c r="U5">
        <f>IF(K5="N",E5*35/SIN(RADIANS(J5)),IF(K5="Y",VLOOKUP(A5,Leonard2010!D:U,18,FALSE),IF(C5="NA",VLOOKUP(A5,MSSM_AdaptedSources!B:K,10,FALSE),"CHECK")))</f>
        <v>6310.7637171073766</v>
      </c>
      <c r="V5">
        <f>(1*VLOOKUP(A5,FaultGeometry!B:C,2,FALSE))-Q5-AA5</f>
        <v>0.75</v>
      </c>
      <c r="W5">
        <f>V5*(VLOOKUP(A5,FaultGeometry!B:Y,24,FALSE))</f>
        <v>1.2609093262422139E+17</v>
      </c>
      <c r="X5">
        <f>V5*3.3*10^10*U5*10^6*(1/T5)*VLOOKUP(A5,FaultGeometry!B:O,14,FALSE)*10^-3</f>
        <v>1.4249232735598499E+17</v>
      </c>
      <c r="Y5" t="str">
        <f t="shared" si="2"/>
        <v>NA</v>
      </c>
      <c r="Z5" t="str">
        <f>IF(C5="NA","NA",VLOOKUP(C5,MSSM_AdaptedSources!B:K,10,FALSE))</f>
        <v>NA</v>
      </c>
      <c r="AA5" t="str">
        <f>IF(C5="NA","0",VLOOKUP(C5,MultiFaultGeometry!B:C,2,FALSE)*IF(B5="NA",X$278/(X$278+X$276),X$278))</f>
        <v>0</v>
      </c>
      <c r="AB5">
        <f>AA5*IF(C5="NA",0,VLOOKUP(C5,MultiFaultGeometry!B:O,14,FALSE))</f>
        <v>0</v>
      </c>
      <c r="AC5">
        <f>IF(AB5=0,0,AA5*3.3*10^10*Z5*10^6*(1/Y5)*VLOOKUP(C5,MultiFaultGeometry!B:G,5,FALSE)*10^-3)</f>
        <v>0</v>
      </c>
      <c r="AE5" s="68">
        <f t="shared" si="3"/>
        <v>0</v>
      </c>
      <c r="AF5" s="68">
        <f t="shared" si="4"/>
        <v>0</v>
      </c>
      <c r="AG5" s="68"/>
    </row>
    <row r="6" spans="1:33" x14ac:dyDescent="0.2">
      <c r="A6" s="68" t="str">
        <f>Leonard2010!D8</f>
        <v>Mwanza</v>
      </c>
      <c r="B6" s="68" t="str">
        <f>Leonard2010!E8</f>
        <v>Thombani</v>
      </c>
      <c r="C6" s="68" t="str">
        <f>Leonard2010!F8</f>
        <v>NA</v>
      </c>
      <c r="D6">
        <f>IF(B6="NA","NA",VLOOKUP(B6,Leonard2010!E:H,3,FALSE))</f>
        <v>10</v>
      </c>
      <c r="E6">
        <f>IF(A6="NA","NA",VLOOKUP(A6,Leonard2010!D:I,6,FALSE))</f>
        <v>143.99999999999997</v>
      </c>
      <c r="F6" t="str">
        <f>IF(C6="NA","NA",VLOOKUP(C6,Leonard2010!F:K,6,FALSE))</f>
        <v>NA</v>
      </c>
      <c r="G6">
        <f>IF(B6="NA","NA",VLOOKUP(B6,Leonard2010!E:H,4,FALSE))</f>
        <v>138</v>
      </c>
      <c r="H6">
        <f>IF(A6="NA","NA",VLOOKUP(A6,Leonard2010!D:J,7,FALSE))</f>
        <v>127</v>
      </c>
      <c r="I6" t="str">
        <f>IF(C6="NA","NA",VLOOKUP(C6,Leonard2010!F:L,7,FALSE))</f>
        <v>NA</v>
      </c>
      <c r="J6">
        <f>IF(A6="NA","NA",VLOOKUP(A6,Leonard2010!D:N,11,FALSE))</f>
        <v>53</v>
      </c>
      <c r="K6" t="s">
        <v>211</v>
      </c>
      <c r="L6">
        <f>VLOOKUP(A6,Leonard2010!D:AJ,32,FALSE)</f>
        <v>28</v>
      </c>
      <c r="M6">
        <f>VLOOKUP($A6,Leonard2010!D:AK,33,FALSE)</f>
        <v>65</v>
      </c>
      <c r="N6">
        <f>VLOOKUP($A6,Leonard2010!D:AL,34,FALSE)</f>
        <v>102</v>
      </c>
      <c r="O6">
        <f t="shared" si="0"/>
        <v>0.93969262078590843</v>
      </c>
      <c r="P6">
        <f t="shared" si="5"/>
        <v>438.247480354679</v>
      </c>
      <c r="Q6">
        <f>IF(B6="NA","0",VLOOKUP(B6,SectionGeometry!C:E,3,FALSE)*IF(C6="NA",X$277/(X$277+X$276),X$277))</f>
        <v>0.25</v>
      </c>
      <c r="R6">
        <f>Q6*IF(B6="NA",0,((VLOOKUP(B6,SectionGeometry!C:Z,24,FALSE))))</f>
        <v>550787197405103.56</v>
      </c>
      <c r="S6">
        <f>IF(R6=0,0,Q6*3.3*10^10*P6*10^6*(1/O6)*VLOOKUP(B6,SectionGeometry!C:AA,25,FALSE)*10^-3)</f>
        <v>3314633679855707.5</v>
      </c>
      <c r="T6">
        <f t="shared" si="1"/>
        <v>0.88294759285892699</v>
      </c>
      <c r="U6">
        <f>IF(K6="N",E6*35/SIN(RADIANS(J6)),IF(K6="Y",VLOOKUP(A6,Leonard2010!D:U,18,FALSE),IF(C6="NA",VLOOKUP(A6,MSSM_AdaptedSources!B:K,10,FALSE),"CHECK")))</f>
        <v>6310.7637171073766</v>
      </c>
      <c r="V6">
        <f>(1*VLOOKUP(A6,FaultGeometry!B:C,2,FALSE))-Q6-AA6</f>
        <v>0.75</v>
      </c>
      <c r="W6">
        <f>V6*(VLOOKUP(A6,FaultGeometry!B:Y,24,FALSE))</f>
        <v>1.2609093262422139E+17</v>
      </c>
      <c r="X6">
        <f>V6*3.3*10^10*U6*10^6*(1/T6)*VLOOKUP(A6,FaultGeometry!B:O,14,FALSE)*10^-3</f>
        <v>1.4249232735598499E+17</v>
      </c>
      <c r="Y6" t="str">
        <f t="shared" si="2"/>
        <v>NA</v>
      </c>
      <c r="Z6" t="str">
        <f>IF(C6="NA","NA",VLOOKUP(C6,MSSM_AdaptedSources!B:K,10,FALSE))</f>
        <v>NA</v>
      </c>
      <c r="AA6" t="str">
        <f>IF(C6="NA","0",VLOOKUP(C6,MultiFaultGeometry!B:C,2,FALSE)*IF(B6="NA",X$278/(X$278+X$276),X$278))</f>
        <v>0</v>
      </c>
      <c r="AB6">
        <f>AA6*IF(C6="NA",0,VLOOKUP(C6,MultiFaultGeometry!B:O,14,FALSE))</f>
        <v>0</v>
      </c>
      <c r="AC6">
        <f>IF(AB6=0,0,AA6*3.3*10^10*Z6*10^6*(1/Y6)*VLOOKUP(C6,MultiFaultGeometry!B:G,5,FALSE)*10^-3)</f>
        <v>0</v>
      </c>
      <c r="AE6" s="68">
        <f t="shared" si="3"/>
        <v>0</v>
      </c>
      <c r="AF6" s="68">
        <f t="shared" si="4"/>
        <v>0</v>
      </c>
      <c r="AG6" s="68"/>
    </row>
    <row r="7" spans="1:33" x14ac:dyDescent="0.2">
      <c r="A7" s="68" t="str">
        <f>Leonard2010!D9</f>
        <v>Mwanza</v>
      </c>
      <c r="B7" s="68" t="str">
        <f>Leonard2010!E9</f>
        <v>Mwanza Link-2</v>
      </c>
      <c r="C7" s="68" t="str">
        <f>Leonard2010!F9</f>
        <v>NA</v>
      </c>
      <c r="D7">
        <f>IF(B7="NA","NA",VLOOKUP(B7,Leonard2010!E:H,3,FALSE))</f>
        <v>2.1</v>
      </c>
      <c r="E7">
        <f>IF(A7="NA","NA",VLOOKUP(A7,Leonard2010!D:I,6,FALSE))</f>
        <v>143.99999999999997</v>
      </c>
      <c r="F7" t="str">
        <f>IF(C7="NA","NA",VLOOKUP(C7,Leonard2010!F:K,6,FALSE))</f>
        <v>NA</v>
      </c>
      <c r="G7">
        <f>IF(B7="NA","NA",VLOOKUP(B7,Leonard2010!E:H,4,FALSE))</f>
        <v>80</v>
      </c>
      <c r="H7">
        <f>IF(A7="NA","NA",VLOOKUP(A7,Leonard2010!D:J,7,FALSE))</f>
        <v>127</v>
      </c>
      <c r="I7" t="str">
        <f>IF(C7="NA","NA",VLOOKUP(C7,Leonard2010!F:L,7,FALSE))</f>
        <v>NA</v>
      </c>
      <c r="J7">
        <f>IF(A7="NA","NA",VLOOKUP(A7,Leonard2010!D:N,11,FALSE))</f>
        <v>53</v>
      </c>
      <c r="K7" t="s">
        <v>211</v>
      </c>
      <c r="L7">
        <f>VLOOKUP(A7,Leonard2010!D:AJ,32,FALSE)</f>
        <v>28</v>
      </c>
      <c r="M7">
        <f>VLOOKUP($A7,Leonard2010!D:AK,33,FALSE)</f>
        <v>65</v>
      </c>
      <c r="N7">
        <f>VLOOKUP($A7,Leonard2010!D:AL,34,FALSE)</f>
        <v>102</v>
      </c>
      <c r="O7">
        <f t="shared" si="0"/>
        <v>0.37460659341591196</v>
      </c>
      <c r="P7">
        <f t="shared" si="5"/>
        <v>92.031970874482596</v>
      </c>
      <c r="Q7">
        <f>IF(B7="NA","0",VLOOKUP(B7,SectionGeometry!C:E,3,FALSE)*IF(C7="NA",X$277/(X$277+X$276),X$277))</f>
        <v>0.25</v>
      </c>
      <c r="R7">
        <f>Q7*IF(B7="NA",0,((VLOOKUP(B7,SectionGeometry!C:Z,24,FALSE))))</f>
        <v>0</v>
      </c>
      <c r="S7">
        <f>IF(R7=0,0,Q7*3.3*10^10*P7*10^6*(1/O7)*VLOOKUP(B7,SectionGeometry!C:AA,25,FALSE)*10^-3)</f>
        <v>0</v>
      </c>
      <c r="T7">
        <f t="shared" si="1"/>
        <v>0.88294759285892699</v>
      </c>
      <c r="U7">
        <f>IF(K7="N",E7*35/SIN(RADIANS(J7)),IF(K7="Y",VLOOKUP(A7,Leonard2010!D:U,18,FALSE),IF(C7="NA",VLOOKUP(A7,MSSM_AdaptedSources!B:K,10,FALSE),"CHECK")))</f>
        <v>6310.7637171073766</v>
      </c>
      <c r="V7">
        <f>(1*VLOOKUP(A7,FaultGeometry!B:C,2,FALSE))-Q7-AA7</f>
        <v>0.75</v>
      </c>
      <c r="W7">
        <f>V7*(VLOOKUP(A7,FaultGeometry!B:Y,24,FALSE))</f>
        <v>1.2609093262422139E+17</v>
      </c>
      <c r="X7">
        <f>V7*3.3*10^10*U7*10^6*(1/T7)*VLOOKUP(A7,FaultGeometry!B:O,14,FALSE)*10^-3</f>
        <v>1.4249232735598499E+17</v>
      </c>
      <c r="Y7" t="str">
        <f t="shared" si="2"/>
        <v>NA</v>
      </c>
      <c r="Z7" t="str">
        <f>IF(C7="NA","NA",VLOOKUP(C7,MSSM_AdaptedSources!B:K,10,FALSE))</f>
        <v>NA</v>
      </c>
      <c r="AA7" t="str">
        <f>IF(C7="NA","0",VLOOKUP(C7,MultiFaultGeometry!B:C,2,FALSE)*IF(B7="NA",X$278/(X$278+X$276),X$278))</f>
        <v>0</v>
      </c>
      <c r="AB7">
        <f>AA7*IF(C7="NA",0,VLOOKUP(C7,MultiFaultGeometry!B:O,14,FALSE))</f>
        <v>0</v>
      </c>
      <c r="AC7">
        <f>IF(AB7=0,0,AA7*3.3*10^10*Z7*10^6*(1/Y7)*VLOOKUP(C7,MultiFaultGeometry!B:G,5,FALSE)*10^-3)</f>
        <v>0</v>
      </c>
      <c r="AE7" s="68">
        <f t="shared" si="3"/>
        <v>0</v>
      </c>
      <c r="AF7" s="68">
        <f t="shared" si="4"/>
        <v>0</v>
      </c>
      <c r="AG7" s="68"/>
    </row>
    <row r="8" spans="1:33" x14ac:dyDescent="0.2">
      <c r="A8" s="68" t="str">
        <f>Leonard2010!D10</f>
        <v>Mwanza</v>
      </c>
      <c r="B8" s="68" t="str">
        <f>Leonard2010!E10</f>
        <v>Condedezi</v>
      </c>
      <c r="C8" s="68" t="str">
        <f>Leonard2010!F10</f>
        <v>NA</v>
      </c>
      <c r="D8">
        <f>IF(B8="NA","NA",VLOOKUP(B8,Leonard2010!E:H,3,FALSE))</f>
        <v>21.6</v>
      </c>
      <c r="E8">
        <f>IF(A8="NA","NA",VLOOKUP(A8,Leonard2010!D:I,6,FALSE))</f>
        <v>143.99999999999997</v>
      </c>
      <c r="F8" t="str">
        <f>IF(C8="NA","NA",VLOOKUP(C8,Leonard2010!F:K,6,FALSE))</f>
        <v>NA</v>
      </c>
      <c r="G8">
        <f>IF(B8="NA","NA",VLOOKUP(B8,Leonard2010!E:H,4,FALSE))</f>
        <v>133</v>
      </c>
      <c r="H8">
        <f>IF(A8="NA","NA",VLOOKUP(A8,Leonard2010!D:J,7,FALSE))</f>
        <v>127</v>
      </c>
      <c r="I8" t="str">
        <f>IF(C8="NA","NA",VLOOKUP(C8,Leonard2010!F:L,7,FALSE))</f>
        <v>NA</v>
      </c>
      <c r="J8">
        <f>IF(A8="NA","NA",VLOOKUP(A8,Leonard2010!D:N,11,FALSE))</f>
        <v>53</v>
      </c>
      <c r="K8" t="s">
        <v>211</v>
      </c>
      <c r="L8">
        <f>VLOOKUP(A8,Leonard2010!D:AJ,32,FALSE)</f>
        <v>28</v>
      </c>
      <c r="M8">
        <f>VLOOKUP($A8,Leonard2010!D:AK,33,FALSE)</f>
        <v>65</v>
      </c>
      <c r="N8">
        <f>VLOOKUP($A8,Leonard2010!D:AL,34,FALSE)</f>
        <v>102</v>
      </c>
      <c r="O8">
        <f t="shared" si="0"/>
        <v>0.92718385456678731</v>
      </c>
      <c r="P8">
        <f t="shared" si="5"/>
        <v>946.61455756610667</v>
      </c>
      <c r="Q8">
        <f>IF(B8="NA","0",VLOOKUP(B8,SectionGeometry!C:E,3,FALSE)*IF(C8="NA",X$277/(X$277+X$276),X$277))</f>
        <v>0.25</v>
      </c>
      <c r="R8">
        <f>Q8*IF(B8="NA",0,((VLOOKUP(B8,SectionGeometry!C:Z,24,FALSE))))</f>
        <v>1909823460749226.5</v>
      </c>
      <c r="S8">
        <f>IF(R8=0,0,Q8*3.3*10^10*P8*10^6*(1/O8)*VLOOKUP(B8,SectionGeometry!C:AA,25,FALSE)*10^-3)</f>
        <v>7038126921502510</v>
      </c>
      <c r="T8">
        <f t="shared" si="1"/>
        <v>0.88294759285892699</v>
      </c>
      <c r="U8">
        <f>IF(K8="N",E8*35/SIN(RADIANS(J8)),IF(K8="Y",VLOOKUP(A8,Leonard2010!D:U,18,FALSE),IF(C8="NA",VLOOKUP(A8,MSSM_AdaptedSources!B:K,10,FALSE),"CHECK")))</f>
        <v>6310.7637171073766</v>
      </c>
      <c r="V8">
        <f>(1*VLOOKUP(A8,FaultGeometry!B:C,2,FALSE))-Q8-AA8</f>
        <v>0.75</v>
      </c>
      <c r="W8">
        <f>V8*(VLOOKUP(A8,FaultGeometry!B:Y,24,FALSE))</f>
        <v>1.2609093262422139E+17</v>
      </c>
      <c r="X8">
        <f>V8*3.3*10^10*U8*10^6*(1/T8)*VLOOKUP(A8,FaultGeometry!B:O,14,FALSE)*10^-3</f>
        <v>1.4249232735598499E+17</v>
      </c>
      <c r="Y8" t="str">
        <f t="shared" si="2"/>
        <v>NA</v>
      </c>
      <c r="Z8" t="str">
        <f>IF(C8="NA","NA",VLOOKUP(C8,MSSM_AdaptedSources!B:K,10,FALSE))</f>
        <v>NA</v>
      </c>
      <c r="AA8" t="str">
        <f>IF(C8="NA","0",VLOOKUP(C8,MultiFaultGeometry!B:C,2,FALSE)*IF(B8="NA",X$278/(X$278+X$276),X$278))</f>
        <v>0</v>
      </c>
      <c r="AB8">
        <f>AA8*IF(C8="NA",0,VLOOKUP(C8,MultiFaultGeometry!B:O,14,FALSE))</f>
        <v>0</v>
      </c>
      <c r="AC8">
        <f>IF(AB8=0,0,AA8*3.3*10^10*Z8*10^6*(1/Y8)*VLOOKUP(C8,MultiFaultGeometry!B:G,5,FALSE)*10^-3)</f>
        <v>0</v>
      </c>
      <c r="AE8" s="68">
        <f t="shared" si="3"/>
        <v>0</v>
      </c>
      <c r="AF8" s="68">
        <f t="shared" si="4"/>
        <v>0</v>
      </c>
      <c r="AG8" s="68"/>
    </row>
    <row r="9" spans="1:33" x14ac:dyDescent="0.2">
      <c r="A9" s="68" t="str">
        <f>Leonard2010!D11</f>
        <v>Mwanza</v>
      </c>
      <c r="B9" s="68" t="str">
        <f>Leonard2010!E11</f>
        <v>Somba</v>
      </c>
      <c r="C9" s="68" t="str">
        <f>Leonard2010!F11</f>
        <v>NA</v>
      </c>
      <c r="D9">
        <f>IF(B9="NA","NA",VLOOKUP(B9,Leonard2010!E:H,3,FALSE))</f>
        <v>16.7</v>
      </c>
      <c r="E9">
        <f>IF(A9="NA","NA",VLOOKUP(A9,Leonard2010!D:I,6,FALSE))</f>
        <v>143.99999999999997</v>
      </c>
      <c r="F9" t="str">
        <f>IF(C9="NA","NA",VLOOKUP(C9,Leonard2010!F:K,6,FALSE))</f>
        <v>NA</v>
      </c>
      <c r="G9">
        <f>IF(B9="NA","NA",VLOOKUP(B9,Leonard2010!E:H,4,FALSE))</f>
        <v>96</v>
      </c>
      <c r="H9">
        <f>IF(A9="NA","NA",VLOOKUP(A9,Leonard2010!D:J,7,FALSE))</f>
        <v>127</v>
      </c>
      <c r="I9" t="str">
        <f>IF(C9="NA","NA",VLOOKUP(C9,Leonard2010!F:L,7,FALSE))</f>
        <v>NA</v>
      </c>
      <c r="J9">
        <f>IF(A9="NA","NA",VLOOKUP(A9,Leonard2010!D:N,11,FALSE))</f>
        <v>53</v>
      </c>
      <c r="K9" t="s">
        <v>211</v>
      </c>
      <c r="L9">
        <f>VLOOKUP(A9,Leonard2010!D:AJ,32,FALSE)</f>
        <v>28</v>
      </c>
      <c r="M9">
        <f>VLOOKUP($A9,Leonard2010!D:AK,33,FALSE)</f>
        <v>65</v>
      </c>
      <c r="N9">
        <f>VLOOKUP($A9,Leonard2010!D:AL,34,FALSE)</f>
        <v>102</v>
      </c>
      <c r="O9">
        <f t="shared" si="0"/>
        <v>0.51503807491005427</v>
      </c>
      <c r="P9">
        <f t="shared" si="5"/>
        <v>731.8732921923139</v>
      </c>
      <c r="Q9">
        <f>IF(B9="NA","0",VLOOKUP(B9,SectionGeometry!C:E,3,FALSE)*IF(C9="NA",X$277/(X$277+X$276),X$277))</f>
        <v>0.25</v>
      </c>
      <c r="R9">
        <f>Q9*IF(B9="NA",0,((VLOOKUP(B9,SectionGeometry!C:Z,24,FALSE))))</f>
        <v>918610351595801.38</v>
      </c>
      <c r="S9">
        <f>IF(R9=0,0,Q9*3.3*10^10*P9*10^6*(1/O9)*VLOOKUP(B9,SectionGeometry!C:AA,25,FALSE)*10^-3)</f>
        <v>7052638097435147</v>
      </c>
      <c r="T9">
        <f t="shared" si="1"/>
        <v>0.88294759285892699</v>
      </c>
      <c r="U9">
        <f>IF(K9="N",E9*35/SIN(RADIANS(J9)),IF(K9="Y",VLOOKUP(A9,Leonard2010!D:U,18,FALSE),IF(C9="NA",VLOOKUP(A9,MSSM_AdaptedSources!B:K,10,FALSE),"CHECK")))</f>
        <v>6310.7637171073766</v>
      </c>
      <c r="V9">
        <f>(1*VLOOKUP(A9,FaultGeometry!B:C,2,FALSE))-Q9-AA9</f>
        <v>0.75</v>
      </c>
      <c r="W9">
        <f>V9*(VLOOKUP(A9,FaultGeometry!B:Y,24,FALSE))</f>
        <v>1.2609093262422139E+17</v>
      </c>
      <c r="X9">
        <f>V9*3.3*10^10*U9*10^6*(1/T9)*VLOOKUP(A9,FaultGeometry!B:O,14,FALSE)*10^-3</f>
        <v>1.4249232735598499E+17</v>
      </c>
      <c r="Y9" t="str">
        <f t="shared" si="2"/>
        <v>NA</v>
      </c>
      <c r="Z9" t="str">
        <f>IF(C9="NA","NA",VLOOKUP(C9,MSSM_AdaptedSources!B:K,10,FALSE))</f>
        <v>NA</v>
      </c>
      <c r="AA9" t="str">
        <f>IF(C9="NA","0",VLOOKUP(C9,MultiFaultGeometry!B:C,2,FALSE)*IF(B9="NA",X$278/(X$278+X$276),X$278))</f>
        <v>0</v>
      </c>
      <c r="AB9">
        <f>AA9*IF(C9="NA",0,VLOOKUP(C9,MultiFaultGeometry!B:O,14,FALSE))</f>
        <v>0</v>
      </c>
      <c r="AC9">
        <f>IF(AB9=0,0,AA9*3.3*10^10*Z9*10^6*(1/Y9)*VLOOKUP(C9,MultiFaultGeometry!B:G,5,FALSE)*10^-3)</f>
        <v>0</v>
      </c>
      <c r="AE9" s="68">
        <f t="shared" si="3"/>
        <v>1.2609093262422139E+17</v>
      </c>
      <c r="AF9" s="68">
        <f t="shared" si="4"/>
        <v>1.4249232735598499E+17</v>
      </c>
      <c r="AG9" s="68"/>
    </row>
    <row r="10" spans="1:33" x14ac:dyDescent="0.2">
      <c r="A10" s="68" t="str">
        <f>Leonard2010!D12</f>
        <v>Panga-1</v>
      </c>
      <c r="B10" s="68" t="str">
        <f>Leonard2010!E12</f>
        <v>NA</v>
      </c>
      <c r="C10" s="68" t="str">
        <f>Leonard2010!F12</f>
        <v>Panga</v>
      </c>
      <c r="D10" t="str">
        <f>IF(B10="NA","NA",VLOOKUP(B10,Leonard2010!E:H,3,FALSE))</f>
        <v>NA</v>
      </c>
      <c r="E10">
        <f>IF(A10="NA","NA",VLOOKUP(A10,Leonard2010!D:I,6,FALSE))</f>
        <v>6.2</v>
      </c>
      <c r="F10">
        <f>IF(C10="NA","NA",VLOOKUP(C10,Leonard2010!F:K,6,FALSE))</f>
        <v>63.7</v>
      </c>
      <c r="G10" t="str">
        <f>IF(B10="NA","NA",VLOOKUP(B10,Leonard2010!E:H,4,FALSE))</f>
        <v>NA</v>
      </c>
      <c r="H10">
        <f>IF(A10="NA","NA",VLOOKUP(A10,Leonard2010!D:J,7,FALSE))</f>
        <v>305</v>
      </c>
      <c r="I10">
        <f>IF(C10="NA","NA",VLOOKUP(C10,Leonard2010!F:L,7,FALSE))</f>
        <v>319</v>
      </c>
      <c r="J10">
        <f>IF(A10="NA","NA",VLOOKUP(A10,Leonard2010!D:N,11,FALSE))</f>
        <v>53</v>
      </c>
      <c r="K10" t="s">
        <v>308</v>
      </c>
      <c r="L10">
        <f>VLOOKUP(A10,Leonard2010!D:AJ,32,FALSE)</f>
        <v>33</v>
      </c>
      <c r="M10">
        <f>VLOOKUP($A10,Leonard2010!D:AK,33,FALSE)</f>
        <v>70</v>
      </c>
      <c r="N10">
        <f>VLOOKUP($A10,Leonard2010!D:AL,34,FALSE)</f>
        <v>107</v>
      </c>
      <c r="O10" t="str">
        <f t="shared" si="0"/>
        <v>NA</v>
      </c>
      <c r="P10" t="str">
        <f t="shared" ref="P10:P15" si="6">IF(B10="NA","NA",IF(K10="N",E10*(35/SIN(RADIANS(J10))),"CHECK"))</f>
        <v>NA</v>
      </c>
      <c r="Q10" t="str">
        <f>IF(B10="NA","0",VLOOKUP(B10,SectionGeometry!C:E,3,FALSE)*IF(C10="NA",X$277/(X$277+X$276),X$277))</f>
        <v>0</v>
      </c>
      <c r="R10">
        <f>Q10*IF(B10="NA",0,((VLOOKUP(B10,SectionGeometry!C:Z,24,FALSE))))</f>
        <v>0</v>
      </c>
      <c r="S10">
        <f>IF(R10=0,0,Q10*3.3*10^10*P10*10^6*(1/O10)*VLOOKUP(B10,SectionGeometry!C:AA,25,FALSE)*10^-3)</f>
        <v>0</v>
      </c>
      <c r="T10">
        <f t="shared" si="1"/>
        <v>0.81915204428899158</v>
      </c>
      <c r="U10">
        <f>IF(K10="N",E10*35/SIN(RADIANS(J10)),IF(K10="Y",VLOOKUP(A10,Leonard2010!D:U,18,FALSE),IF(C10="NA",VLOOKUP(A10,MSSM_AdaptedSources!B:K,10,FALSE),"CHECK")))</f>
        <v>36.617683325124602</v>
      </c>
      <c r="V10">
        <f>(1*VLOOKUP(A10,FaultGeometry!B:C,2,FALSE))-Q10-AA10</f>
        <v>0.33333333333333326</v>
      </c>
      <c r="W10">
        <f>V10*(VLOOKUP(A10,FaultGeometry!B:Y,24,FALSE))</f>
        <v>28149889951708.578</v>
      </c>
      <c r="X10">
        <f>V10*3.3*10^10*U10*10^6*(1/T10)*VLOOKUP(A10,FaultGeometry!B:O,14,FALSE)*10^-3</f>
        <v>34632264518584.613</v>
      </c>
      <c r="Y10">
        <f t="shared" si="2"/>
        <v>0.93358042649720152</v>
      </c>
      <c r="Z10">
        <f>IF(C10="NA","NA",VLOOKUP(C10,MSSM_AdaptedSources!B:K,10,FALSE))</f>
        <v>1390</v>
      </c>
      <c r="AA10">
        <f>IF(C10="NA","0",VLOOKUP(C10,MultiFaultGeometry!B:C,2,FALSE)*IF(B10="NA",X$278/(X$278+X$276),X$278))</f>
        <v>0.66666666666666674</v>
      </c>
      <c r="AB10">
        <f>AA10*IF(C10="NA",0,VLOOKUP(C10,MultiFaultGeometry!B:O,14,FALSE))</f>
        <v>2116687284051417.5</v>
      </c>
      <c r="AC10">
        <f>IF(AB10=0,0,AA10*3.3*10^10*Z10*10^6*(1/Y10)*VLOOKUP(C10,MultiFaultGeometry!B:G,5,FALSE)*10^-3)</f>
        <v>2561274385266313.5</v>
      </c>
      <c r="AE10" s="68">
        <f t="shared" si="3"/>
        <v>28149889951708.578</v>
      </c>
      <c r="AF10" s="68">
        <f t="shared" si="4"/>
        <v>34632264518584.613</v>
      </c>
      <c r="AG10" s="68"/>
    </row>
    <row r="11" spans="1:33" x14ac:dyDescent="0.2">
      <c r="A11" s="68" t="str">
        <f>Leonard2010!D13</f>
        <v>Panga-2</v>
      </c>
      <c r="B11" s="68" t="str">
        <f>Leonard2010!E13</f>
        <v>NA</v>
      </c>
      <c r="C11" s="68" t="str">
        <f>Leonard2010!F13</f>
        <v>Panga</v>
      </c>
      <c r="D11" t="str">
        <f>IF(B11="NA","NA",VLOOKUP(B11,Leonard2010!E:H,3,FALSE))</f>
        <v>NA</v>
      </c>
      <c r="E11">
        <f>IF(A11="NA","NA",VLOOKUP(A11,Leonard2010!D:I,6,FALSE))</f>
        <v>11.9</v>
      </c>
      <c r="F11">
        <f>IF(C11="NA","NA",VLOOKUP(C11,Leonard2010!F:K,6,FALSE))</f>
        <v>63.7</v>
      </c>
      <c r="G11" t="str">
        <f>IF(B11="NA","NA",VLOOKUP(B11,Leonard2010!E:H,4,FALSE))</f>
        <v>NA</v>
      </c>
      <c r="H11">
        <f>IF(A11="NA","NA",VLOOKUP(A11,Leonard2010!D:J,7,FALSE))</f>
        <v>300</v>
      </c>
      <c r="I11">
        <f>IF(C11="NA","NA",VLOOKUP(C11,Leonard2010!F:L,7,FALSE))</f>
        <v>319</v>
      </c>
      <c r="J11">
        <f>IF(A11="NA","NA",VLOOKUP(A11,Leonard2010!D:N,11,FALSE))</f>
        <v>53</v>
      </c>
      <c r="K11" t="s">
        <v>308</v>
      </c>
      <c r="L11">
        <f>VLOOKUP(A11,Leonard2010!D:AJ,32,FALSE)</f>
        <v>33</v>
      </c>
      <c r="M11">
        <f>VLOOKUP($A11,Leonard2010!D:AK,33,FALSE)</f>
        <v>70</v>
      </c>
      <c r="N11">
        <f>VLOOKUP($A11,Leonard2010!D:AL,34,FALSE)</f>
        <v>107</v>
      </c>
      <c r="O11" t="str">
        <f t="shared" si="0"/>
        <v>NA</v>
      </c>
      <c r="P11" t="str">
        <f t="shared" si="6"/>
        <v>NA</v>
      </c>
      <c r="Q11" t="str">
        <f>IF(B11="NA","0",VLOOKUP(B11,SectionGeometry!C:E,3,FALSE)*IF(C11="NA",X$277/(X$277+X$276),X$277))</f>
        <v>0</v>
      </c>
      <c r="R11">
        <f>Q11*IF(B11="NA",0,((VLOOKUP(B11,SectionGeometry!C:Z,24,FALSE))))</f>
        <v>0</v>
      </c>
      <c r="S11">
        <f>IF(R11=0,0,Q11*3.3*10^10*P11*10^6*(1/O11)*VLOOKUP(B11,SectionGeometry!C:AA,25,FALSE)*10^-3)</f>
        <v>0</v>
      </c>
      <c r="T11">
        <f t="shared" si="1"/>
        <v>0.76604444311897779</v>
      </c>
      <c r="U11">
        <f>IF(K11="N",E11*35/SIN(RADIANS(J11)),IF(K11="Y",VLOOKUP(A11,Leonard2010!D:U,18,FALSE),IF(C11="NA",VLOOKUP(A11,MSSM_AdaptedSources!B:K,10,FALSE),"CHECK")))</f>
        <v>108.54662325816446</v>
      </c>
      <c r="V11">
        <f>(1*VLOOKUP(A11,FaultGeometry!B:C,2,FALSE))-Q11-AA11</f>
        <v>0.33333333333333326</v>
      </c>
      <c r="W11">
        <f>V11*(VLOOKUP(A11,FaultGeometry!B:Y,24,FALSE))</f>
        <v>82875625622559.266</v>
      </c>
      <c r="X11">
        <f>V11*3.3*10^10*U11*10^6*(1/T11)*VLOOKUP(A11,FaultGeometry!B:O,14,FALSE)*10^-3</f>
        <v>105118168915698.48</v>
      </c>
      <c r="Y11">
        <f t="shared" si="2"/>
        <v>0.93358042649720152</v>
      </c>
      <c r="Z11">
        <f>IF(C11="NA","NA",VLOOKUP(C11,MSSM_AdaptedSources!B:K,10,FALSE))</f>
        <v>1390</v>
      </c>
      <c r="AA11">
        <f>IF(C11="NA","0",VLOOKUP(C11,MultiFaultGeometry!B:C,2,FALSE)*IF(B11="NA",X$278/(X$278+X$276),X$278))</f>
        <v>0.66666666666666674</v>
      </c>
      <c r="AB11">
        <f>AA11*IF(C11="NA",0,VLOOKUP(C11,MultiFaultGeometry!B:O,14,FALSE))</f>
        <v>2116687284051417.5</v>
      </c>
      <c r="AC11">
        <f>IF(AB11=0,0,AA11*3.3*10^10*Z11*10^6*(1/Y11)*VLOOKUP(C11,MultiFaultGeometry!B:G,5,FALSE)*10^-3)</f>
        <v>2561274385266313.5</v>
      </c>
      <c r="AE11" s="68">
        <f t="shared" si="3"/>
        <v>82875625622559.266</v>
      </c>
      <c r="AF11" s="68">
        <f t="shared" si="4"/>
        <v>105118168915698.48</v>
      </c>
      <c r="AG11" s="68"/>
    </row>
    <row r="12" spans="1:33" x14ac:dyDescent="0.2">
      <c r="A12" s="68" t="str">
        <f>Leonard2010!D14</f>
        <v>Panga-3</v>
      </c>
      <c r="B12" s="68" t="str">
        <f>Leonard2010!E14</f>
        <v>NA</v>
      </c>
      <c r="C12" s="68" t="str">
        <f>Leonard2010!F14</f>
        <v>Panga</v>
      </c>
      <c r="D12" t="str">
        <f>IF(B12="NA","NA",VLOOKUP(B12,Leonard2010!E:H,3,FALSE))</f>
        <v>NA</v>
      </c>
      <c r="E12">
        <f>IF(A12="NA","NA",VLOOKUP(A12,Leonard2010!D:I,6,FALSE))</f>
        <v>17.399999999999999</v>
      </c>
      <c r="F12">
        <f>IF(C12="NA","NA",VLOOKUP(C12,Leonard2010!F:K,6,FALSE))</f>
        <v>63.7</v>
      </c>
      <c r="G12" t="str">
        <f>IF(B12="NA","NA",VLOOKUP(B12,Leonard2010!E:H,4,FALSE))</f>
        <v>NA</v>
      </c>
      <c r="H12">
        <f>IF(A12="NA","NA",VLOOKUP(A12,Leonard2010!D:J,7,FALSE))</f>
        <v>305</v>
      </c>
      <c r="I12">
        <f>IF(C12="NA","NA",VLOOKUP(C12,Leonard2010!F:L,7,FALSE))</f>
        <v>319</v>
      </c>
      <c r="J12">
        <f>IF(A12="NA","NA",VLOOKUP(A12,Leonard2010!D:N,11,FALSE))</f>
        <v>53</v>
      </c>
      <c r="K12" t="s">
        <v>308</v>
      </c>
      <c r="L12">
        <f>VLOOKUP(A12,Leonard2010!D:AJ,32,FALSE)</f>
        <v>33</v>
      </c>
      <c r="M12">
        <f>VLOOKUP($A12,Leonard2010!D:AK,33,FALSE)</f>
        <v>70</v>
      </c>
      <c r="N12">
        <f>VLOOKUP($A12,Leonard2010!D:AL,34,FALSE)</f>
        <v>107</v>
      </c>
      <c r="O12" t="str">
        <f t="shared" si="0"/>
        <v>NA</v>
      </c>
      <c r="P12" t="str">
        <f t="shared" si="6"/>
        <v>NA</v>
      </c>
      <c r="Q12" t="str">
        <f>IF(B12="NA","0",VLOOKUP(B12,SectionGeometry!C:E,3,FALSE)*IF(C12="NA",X$277/(X$277+X$276),X$277))</f>
        <v>0</v>
      </c>
      <c r="R12">
        <f>Q12*IF(B12="NA",0,((VLOOKUP(B12,SectionGeometry!C:Z,24,FALSE))))</f>
        <v>0</v>
      </c>
      <c r="S12">
        <f>IF(R12=0,0,Q12*3.3*10^10*P12*10^6*(1/O12)*VLOOKUP(B12,SectionGeometry!C:AA,25,FALSE)*10^-3)</f>
        <v>0</v>
      </c>
      <c r="T12">
        <f t="shared" si="1"/>
        <v>0.81915204428899158</v>
      </c>
      <c r="U12">
        <f>IF(K12="N",E12*35/SIN(RADIANS(J12)),IF(K12="Y",VLOOKUP(A12,Leonard2010!D:U,18,FALSE),IF(C12="NA",VLOOKUP(A12,MSSM_AdaptedSources!B:K,10,FALSE),"CHECK")))</f>
        <v>204.46554250333793</v>
      </c>
      <c r="V12">
        <f>(1*VLOOKUP(A12,FaultGeometry!B:C,2,FALSE))-Q12-AA12</f>
        <v>0.33333333333333326</v>
      </c>
      <c r="W12">
        <f>V12*(VLOOKUP(A12,FaultGeometry!B:Y,24,FALSE))</f>
        <v>166188683118103.47</v>
      </c>
      <c r="X12">
        <f>V12*3.3*10^10*U12*10^6*(1/T12)*VLOOKUP(A12,FaultGeometry!B:O,14,FALSE)*10^-3</f>
        <v>193184943681555.28</v>
      </c>
      <c r="Y12">
        <f t="shared" si="2"/>
        <v>0.93358042649720152</v>
      </c>
      <c r="Z12">
        <f>IF(C12="NA","NA",VLOOKUP(C12,MSSM_AdaptedSources!B:K,10,FALSE))</f>
        <v>1390</v>
      </c>
      <c r="AA12">
        <f>IF(C12="NA","0",VLOOKUP(C12,MultiFaultGeometry!B:C,2,FALSE)*IF(B12="NA",X$278/(X$278+X$276),X$278))</f>
        <v>0.66666666666666674</v>
      </c>
      <c r="AB12">
        <f>AA12*IF(C12="NA",0,VLOOKUP(C12,MultiFaultGeometry!B:O,14,FALSE))</f>
        <v>2116687284051417.5</v>
      </c>
      <c r="AC12">
        <f>IF(AB12=0,0,AA12*3.3*10^10*Z12*10^6*(1/Y12)*VLOOKUP(C12,MultiFaultGeometry!B:G,5,FALSE)*10^-3)</f>
        <v>2561274385266313.5</v>
      </c>
      <c r="AE12" s="68">
        <f t="shared" si="3"/>
        <v>166188683118103.47</v>
      </c>
      <c r="AF12" s="68">
        <f t="shared" si="4"/>
        <v>193184943681555.28</v>
      </c>
      <c r="AG12" s="68"/>
    </row>
    <row r="13" spans="1:33" x14ac:dyDescent="0.2">
      <c r="A13" s="68" t="str">
        <f>Leonard2010!D15</f>
        <v>Panga-4</v>
      </c>
      <c r="B13" s="68" t="str">
        <f>Leonard2010!E15</f>
        <v>NA</v>
      </c>
      <c r="C13" s="68" t="str">
        <f>Leonard2010!F15</f>
        <v>Panga</v>
      </c>
      <c r="D13" t="str">
        <f>IF(B13="NA","NA",VLOOKUP(B13,Leonard2010!E:H,3,FALSE))</f>
        <v>NA</v>
      </c>
      <c r="E13">
        <f>IF(A13="NA","NA",VLOOKUP(A13,Leonard2010!D:I,6,FALSE))</f>
        <v>28.2</v>
      </c>
      <c r="F13">
        <f>IF(C13="NA","NA",VLOOKUP(C13,Leonard2010!F:K,6,FALSE))</f>
        <v>63.7</v>
      </c>
      <c r="G13" t="str">
        <f>IF(B13="NA","NA",VLOOKUP(B13,Leonard2010!E:H,4,FALSE))</f>
        <v>NA</v>
      </c>
      <c r="H13">
        <f>IF(A13="NA","NA",VLOOKUP(A13,Leonard2010!D:J,7,FALSE))</f>
        <v>309</v>
      </c>
      <c r="I13">
        <f>IF(C13="NA","NA",VLOOKUP(C13,Leonard2010!F:L,7,FALSE))</f>
        <v>319</v>
      </c>
      <c r="J13">
        <f>IF(A13="NA","NA",VLOOKUP(A13,Leonard2010!D:N,11,FALSE))</f>
        <v>53</v>
      </c>
      <c r="K13" t="s">
        <v>308</v>
      </c>
      <c r="L13">
        <f>VLOOKUP(A13,Leonard2010!D:AJ,32,FALSE)</f>
        <v>33</v>
      </c>
      <c r="M13">
        <f>VLOOKUP($A13,Leonard2010!D:AK,33,FALSE)</f>
        <v>70</v>
      </c>
      <c r="N13">
        <f>VLOOKUP($A13,Leonard2010!D:AL,34,FALSE)</f>
        <v>107</v>
      </c>
      <c r="O13" t="str">
        <f t="shared" si="0"/>
        <v>NA</v>
      </c>
      <c r="P13" t="str">
        <f t="shared" si="6"/>
        <v>NA</v>
      </c>
      <c r="Q13" t="str">
        <f>IF(B13="NA","0",VLOOKUP(B13,SectionGeometry!C:E,3,FALSE)*IF(C13="NA",X$277/(X$277+X$276),X$277))</f>
        <v>0</v>
      </c>
      <c r="R13">
        <f>Q13*IF(B13="NA",0,((VLOOKUP(B13,SectionGeometry!C:Z,24,FALSE))))</f>
        <v>0</v>
      </c>
      <c r="S13">
        <f>IF(R13=0,0,Q13*3.3*10^10*P13*10^6*(1/O13)*VLOOKUP(B13,SectionGeometry!C:AA,25,FALSE)*10^-3)</f>
        <v>0</v>
      </c>
      <c r="T13">
        <f t="shared" si="1"/>
        <v>0.85716730070211211</v>
      </c>
      <c r="U13">
        <f>IF(K13="N",E13*35/SIN(RADIANS(J13)),IF(K13="Y",VLOOKUP(A13,Leonard2010!D:U,18,FALSE),IF(C13="NA",VLOOKUP(A13,MSSM_AdaptedSources!B:K,10,FALSE),"CHECK")))</f>
        <v>422</v>
      </c>
      <c r="V13">
        <f>(1*VLOOKUP(A13,FaultGeometry!B:C,2,FALSE))-Q13-AA13</f>
        <v>0.33333333333333326</v>
      </c>
      <c r="W13">
        <f>V13*(VLOOKUP(A13,FaultGeometry!B:Y,24,FALSE))</f>
        <v>341514171093553.44</v>
      </c>
      <c r="X13">
        <f>V13*3.3*10^10*U13*10^6*(1/T13)*VLOOKUP(A13,FaultGeometry!B:O,14,FALSE)*10^-3</f>
        <v>398451993588184.94</v>
      </c>
      <c r="Y13">
        <f t="shared" si="2"/>
        <v>0.93358042649720152</v>
      </c>
      <c r="Z13">
        <f>IF(C13="NA","NA",VLOOKUP(C13,MSSM_AdaptedSources!B:K,10,FALSE))</f>
        <v>1390</v>
      </c>
      <c r="AA13">
        <f>IF(C13="NA","0",VLOOKUP(C13,MultiFaultGeometry!B:C,2,FALSE)*IF(B13="NA",X$278/(X$278+X$276),X$278))</f>
        <v>0.66666666666666674</v>
      </c>
      <c r="AB13">
        <f>AA13*IF(C13="NA",0,VLOOKUP(C13,MultiFaultGeometry!B:O,14,FALSE))</f>
        <v>2116687284051417.5</v>
      </c>
      <c r="AC13">
        <f>IF(AB13=0,0,AA13*3.3*10^10*Z13*10^6*(1/Y13)*VLOOKUP(C13,MultiFaultGeometry!B:G,5,FALSE)*10^-3)</f>
        <v>2561274385266313.5</v>
      </c>
      <c r="AE13" s="68">
        <f t="shared" si="3"/>
        <v>341514171093553.44</v>
      </c>
      <c r="AF13" s="68">
        <f t="shared" si="4"/>
        <v>398451993588184.94</v>
      </c>
      <c r="AG13" s="68"/>
    </row>
    <row r="14" spans="1:33" x14ac:dyDescent="0.2">
      <c r="A14" s="68" t="str">
        <f>Leonard2010!D16</f>
        <v>Mtumba</v>
      </c>
      <c r="B14" s="68" t="str">
        <f>Leonard2010!E16</f>
        <v>NA</v>
      </c>
      <c r="C14" s="68" t="str">
        <f>Leonard2010!F16</f>
        <v>Mtumba-Elephant Marsh</v>
      </c>
      <c r="D14" t="str">
        <f>IF(B14="NA","NA",VLOOKUP(B14,Leonard2010!E:H,3,FALSE))</f>
        <v>NA</v>
      </c>
      <c r="E14">
        <f>IF(A14="NA","NA",VLOOKUP(A14,Leonard2010!D:I,6,FALSE))</f>
        <v>39.5</v>
      </c>
      <c r="F14">
        <f>IF(C14="NA","NA",VLOOKUP(C14,Leonard2010!F:K,6,FALSE))</f>
        <v>72.599999999999994</v>
      </c>
      <c r="G14" t="str">
        <f>IF(B14="NA","NA",VLOOKUP(B14,Leonard2010!E:H,4,FALSE))</f>
        <v>NA</v>
      </c>
      <c r="H14">
        <f>IF(A14="NA","NA",VLOOKUP(A14,Leonard2010!D:J,7,FALSE))</f>
        <v>141</v>
      </c>
      <c r="I14">
        <f>IF(C14="NA","NA",VLOOKUP(C14,Leonard2010!F:L,7,FALSE))</f>
        <v>137</v>
      </c>
      <c r="J14">
        <f>IF(A14="NA","NA",VLOOKUP(A14,Leonard2010!D:N,11,FALSE))</f>
        <v>53</v>
      </c>
      <c r="K14" t="s">
        <v>211</v>
      </c>
      <c r="L14">
        <f>VLOOKUP(A14,Leonard2010!D:AJ,32,FALSE)</f>
        <v>33</v>
      </c>
      <c r="M14">
        <f>VLOOKUP($A14,Leonard2010!D:AK,33,FALSE)</f>
        <v>70</v>
      </c>
      <c r="N14">
        <f>VLOOKUP($A14,Leonard2010!D:AL,34,FALSE)</f>
        <v>107</v>
      </c>
      <c r="O14" t="str">
        <f t="shared" si="0"/>
        <v>NA</v>
      </c>
      <c r="P14" t="str">
        <f t="shared" si="6"/>
        <v>NA</v>
      </c>
      <c r="Q14" t="str">
        <f>IF(B14="NA","0",VLOOKUP(B14,SectionGeometry!C:E,3,FALSE)*IF(C14="NA",X$277/(X$277+X$276),X$277))</f>
        <v>0</v>
      </c>
      <c r="R14">
        <f>Q14*IF(B14="NA",0,((VLOOKUP(B14,SectionGeometry!C:Z,24,FALSE))))</f>
        <v>0</v>
      </c>
      <c r="S14">
        <f>IF(R14=0,0,Q14*3.3*10^10*P14*10^6*(1/O14)*VLOOKUP(B14,SectionGeometry!C:AA,25,FALSE)*10^-3)</f>
        <v>0</v>
      </c>
      <c r="T14">
        <f t="shared" si="1"/>
        <v>0.94551857559931685</v>
      </c>
      <c r="U14">
        <f>IF(K14="N",E14*35/SIN(RADIANS(J14)),IF(K14="Y",VLOOKUP(A14,Leonard2010!D:U,18,FALSE),IF(C14="NA",VLOOKUP(A14,MSSM_AdaptedSources!B:K,10,FALSE),"CHECK")))</f>
        <v>1731.077547400982</v>
      </c>
      <c r="V14">
        <f>(1*VLOOKUP(A14,FaultGeometry!B:C,2,FALSE))-Q14-AA14</f>
        <v>0.33333333333333326</v>
      </c>
      <c r="W14">
        <f>V14*(VLOOKUP(A14,FaultGeometry!B:Y,24,FALSE))</f>
        <v>709686376857033.12</v>
      </c>
      <c r="X14">
        <f>V14*3.3*10^10*U14*10^6*(1/T14)*VLOOKUP(A14,FaultGeometry!B:O,14,FALSE)*10^-3</f>
        <v>1580382087970625</v>
      </c>
      <c r="Y14">
        <f>IF($C14="NA","NA",MEDIAN(ABS(COS(RADIANS($L14-$I14-90))),ABS(COS(RADIANS($M14-$I14-90))),ABS(COS(RADIANS($N14-$I14-90)))))</f>
        <v>0.92050485345244037</v>
      </c>
      <c r="Z14">
        <f>IF(C14="NA","NA",VLOOKUP(C14,MSSM_AdaptedSources!B:K,10,FALSE))</f>
        <v>3181.6767073749693</v>
      </c>
      <c r="AA14">
        <f>IF(C14="NA","0",VLOOKUP(C14,MultiFaultGeometry!B:C,2,FALSE)*IF(B14="NA",X$278/(X$278+X$276),X$278))</f>
        <v>0.66666666666666674</v>
      </c>
      <c r="AB14">
        <f>AA14*IF(C14="NA",0,VLOOKUP(C14,MultiFaultGeometry!B:O,14,FALSE))</f>
        <v>3675189074192615.5</v>
      </c>
      <c r="AC14">
        <f>IF(AB14=0,0,AA14*3.3*10^10*Z14*10^6*(1/Y14)*VLOOKUP(C14,MultiFaultGeometry!B:G,5,FALSE)*10^-3)</f>
        <v>5830099322588978</v>
      </c>
      <c r="AE14" s="68">
        <f t="shared" si="3"/>
        <v>709686376857033.12</v>
      </c>
      <c r="AF14" s="68">
        <f t="shared" si="4"/>
        <v>1580382087970625</v>
      </c>
      <c r="AG14" s="68"/>
    </row>
    <row r="15" spans="1:33" x14ac:dyDescent="0.2">
      <c r="A15" s="68" t="str">
        <f>Leonard2010!D17</f>
        <v>Elephant Marsh</v>
      </c>
      <c r="B15" s="68" t="str">
        <f>Leonard2010!E17</f>
        <v>NA</v>
      </c>
      <c r="C15" s="68" t="str">
        <f>Leonard2010!F17</f>
        <v>Mtumba-Elephant Marsh</v>
      </c>
      <c r="D15" t="str">
        <f>IF(B15="NA","NA",VLOOKUP(B15,Leonard2010!E:H,3,FALSE))</f>
        <v>NA</v>
      </c>
      <c r="E15">
        <f>IF(A15="NA","NA",VLOOKUP(A15,Leonard2010!D:I,6,FALSE))</f>
        <v>33.1</v>
      </c>
      <c r="F15">
        <f>IF(C15="NA","NA",VLOOKUP(C15,Leonard2010!F:K,6,FALSE))</f>
        <v>72.599999999999994</v>
      </c>
      <c r="G15" t="str">
        <f>IF(B15="NA","NA",VLOOKUP(B15,Leonard2010!E:H,4,FALSE))</f>
        <v>NA</v>
      </c>
      <c r="H15">
        <f>IF(A15="NA","NA",VLOOKUP(A15,Leonard2010!D:J,7,FALSE))</f>
        <v>137</v>
      </c>
      <c r="I15">
        <f>IF(C15="NA","NA",VLOOKUP(C15,Leonard2010!F:L,7,FALSE))</f>
        <v>137</v>
      </c>
      <c r="J15">
        <f>IF(A15="NA","NA",VLOOKUP(A15,Leonard2010!D:N,11,FALSE))</f>
        <v>53</v>
      </c>
      <c r="K15" t="s">
        <v>211</v>
      </c>
      <c r="L15">
        <f>VLOOKUP(A15,Leonard2010!D:AJ,32,FALSE)</f>
        <v>33</v>
      </c>
      <c r="M15">
        <f>VLOOKUP($A15,Leonard2010!D:AK,33,FALSE)</f>
        <v>70</v>
      </c>
      <c r="N15">
        <f>VLOOKUP($A15,Leonard2010!D:AL,34,FALSE)</f>
        <v>107</v>
      </c>
      <c r="O15" t="str">
        <f t="shared" si="0"/>
        <v>NA</v>
      </c>
      <c r="P15" t="str">
        <f t="shared" si="6"/>
        <v>NA</v>
      </c>
      <c r="Q15" t="str">
        <f>IF(B15="NA","0",VLOOKUP(B15,SectionGeometry!C:E,3,FALSE)*IF(C15="NA",X$277/(X$277+X$276),X$277))</f>
        <v>0</v>
      </c>
      <c r="R15">
        <f>Q15*IF(B15="NA",0,((VLOOKUP(B15,SectionGeometry!C:Z,24,FALSE))))</f>
        <v>0</v>
      </c>
      <c r="S15">
        <f>IF(R15=0,0,Q15*3.3*10^10*P15*10^6*(1/O15)*VLOOKUP(B15,SectionGeometry!C:AA,25,FALSE)*10^-3)</f>
        <v>0</v>
      </c>
      <c r="T15">
        <f t="shared" si="1"/>
        <v>0.92050485345244037</v>
      </c>
      <c r="U15">
        <f>IF(K15="N",E15*35/SIN(RADIANS(J15)),IF(K15="Y",VLOOKUP(A15,Leonard2010!D:U,18,FALSE),IF(C15="NA",VLOOKUP(A15,MSSM_AdaptedSources!B:K,10,FALSE),"CHECK")))</f>
        <v>1450.5991599739875</v>
      </c>
      <c r="V15">
        <f>(1*VLOOKUP(A15,FaultGeometry!B:C,2,FALSE))-Q15-AA15</f>
        <v>0.33333333333333326</v>
      </c>
      <c r="W15">
        <f>V15*(VLOOKUP(A15,FaultGeometry!B:Y,24,FALSE))</f>
        <v>525049679205373.62</v>
      </c>
      <c r="X15">
        <f>V15*3.3*10^10*U15*10^6*(1/T15)*VLOOKUP(A15,FaultGeometry!B:O,14,FALSE)*10^-3</f>
        <v>1348057272244203</v>
      </c>
      <c r="Y15">
        <f t="shared" ref="Y15" si="7">IF($C15="NA","NA",MEDIAN(ABS(COS(RADIANS($L15-$I15-90))),ABS(COS(RADIANS($M15-$I15-90))),ABS(COS(RADIANS($N15-$I15-90)))))</f>
        <v>0.92050485345244037</v>
      </c>
      <c r="Z15">
        <f>IF(C15="NA","NA",VLOOKUP(C15,MSSM_AdaptedSources!B:K,10,FALSE))</f>
        <v>3181.6767073749693</v>
      </c>
      <c r="AA15">
        <f>IF(C15="NA","0",VLOOKUP(C15,MultiFaultGeometry!B:C,2,FALSE)*IF(B15="NA",X$278/(X$278+X$276),X$278))</f>
        <v>0.66666666666666674</v>
      </c>
      <c r="AB15">
        <f>AA15*IF(C15="NA",0,VLOOKUP(C15,MultiFaultGeometry!B:O,14,FALSE))</f>
        <v>3675189074192615.5</v>
      </c>
      <c r="AC15">
        <f>IF(AB15=0,0,AA15*3.3*10^10*Z15*10^6*(1/Y15)*VLOOKUP(C15,MultiFaultGeometry!B:G,5,FALSE)*10^-3)</f>
        <v>5830099322588978</v>
      </c>
      <c r="AE15" s="68">
        <f t="shared" si="3"/>
        <v>525049679205373.62</v>
      </c>
      <c r="AF15" s="68">
        <f t="shared" si="4"/>
        <v>1348057272244203</v>
      </c>
      <c r="AG15" s="68"/>
    </row>
    <row r="16" spans="1:33" x14ac:dyDescent="0.2">
      <c r="A16" s="68" t="str">
        <f>Leonard2010!D18</f>
        <v>Ruo</v>
      </c>
      <c r="B16" s="68" t="str">
        <f>Leonard2010!E18</f>
        <v>Ruo South</v>
      </c>
      <c r="C16" s="68" t="str">
        <f>Leonard2010!F18</f>
        <v>NA</v>
      </c>
      <c r="D16">
        <f>IF(B16="NA","NA",VLOOKUP(B16,Leonard2010!E:H,3,FALSE))</f>
        <v>13.8</v>
      </c>
      <c r="E16">
        <f>IF(A16="NA","NA",VLOOKUP(A16,Leonard2010!D:I,6,FALSE))</f>
        <v>36</v>
      </c>
      <c r="F16" t="str">
        <f>IF(C16="NA","NA",VLOOKUP(C16,Leonard2010!F:K,6,FALSE))</f>
        <v>NA</v>
      </c>
      <c r="G16">
        <f>IF(B16="NA","NA",VLOOKUP(B16,Leonard2010!E:H,4,FALSE))</f>
        <v>120</v>
      </c>
      <c r="H16">
        <f>IF(A16="NA","NA",VLOOKUP(A16,Leonard2010!D:J,7,FALSE))</f>
        <v>135</v>
      </c>
      <c r="I16" t="str">
        <f>IF(C16="NA","NA",VLOOKUP(C16,Leonard2010!F:L,7,FALSE))</f>
        <v>NA</v>
      </c>
      <c r="J16">
        <f>IF(A16="NA","NA",VLOOKUP(A16,Leonard2010!D:N,11,FALSE))</f>
        <v>53</v>
      </c>
      <c r="K16" t="s">
        <v>211</v>
      </c>
      <c r="L16">
        <f>VLOOKUP(A16,Leonard2010!D:AJ,32,FALSE)</f>
        <v>33</v>
      </c>
      <c r="M16">
        <f>VLOOKUP($A16,Leonard2010!D:AK,33,FALSE)</f>
        <v>70</v>
      </c>
      <c r="N16">
        <f>VLOOKUP($A16,Leonard2010!D:AL,34,FALSE)</f>
        <v>107</v>
      </c>
      <c r="O16">
        <f t="shared" si="0"/>
        <v>0.7660444431189779</v>
      </c>
      <c r="P16">
        <f t="shared" ref="P16:P36" si="8">IF(B16="NA","NA",IF(K16="N",D16*(35/SIN(RADIANS(J16))),"CHECK"))</f>
        <v>604.78152288945705</v>
      </c>
      <c r="Q16">
        <f>IF(B16="NA","0",VLOOKUP(B16,SectionGeometry!C:E,3,FALSE)*IF(C16="NA",X$277/(X$277+X$276),X$277))</f>
        <v>0.25</v>
      </c>
      <c r="R16">
        <f>Q16*IF(B16="NA",0,((VLOOKUP(B16,SectionGeometry!C:Z,24,FALSE))))</f>
        <v>74378049157883.172</v>
      </c>
      <c r="S16">
        <f>IF(R16=0,0,Q16*3.3*10^10*P16*10^6*(1/O16)*VLOOKUP(B16,SectionGeometry!C:AA,25,FALSE)*10^-3)</f>
        <v>444890622939143.69</v>
      </c>
      <c r="T16">
        <f t="shared" si="1"/>
        <v>0.90630778703664994</v>
      </c>
      <c r="U16">
        <f>IF(K16="N",E16*35/SIN(RADIANS(J16)),IF(K16="Y",VLOOKUP(A16,Leonard2010!D:U,18,FALSE),IF(C16="NA",VLOOKUP(A16,MSSM_AdaptedSources!B:K,10,FALSE),"CHECK")))</f>
        <v>1577.6909292768444</v>
      </c>
      <c r="V16">
        <f>(1*VLOOKUP(A16,FaultGeometry!B:C,2,FALSE))-Q16-AA16</f>
        <v>0.75</v>
      </c>
      <c r="W16">
        <f>V16*(VLOOKUP(A16,FaultGeometry!B:Y,24,FALSE))</f>
        <v>1367112417799673.2</v>
      </c>
      <c r="X16">
        <f>V16*3.3*10^10*U16*10^6*(1/T16)*VLOOKUP(A16,FaultGeometry!B:O,14,FALSE)*10^-3</f>
        <v>3325990532191408</v>
      </c>
      <c r="Y16" t="str">
        <f t="shared" ref="Y16:Y83" si="9">IF($C16="NA","NA",MEDIAN(ABS(COS(RADIANS($L16-$I16-90))),ABS(COS(RADIANS($M16-$I16-90))),ABS(COS(RADIANS($N16-$I16-90)))))</f>
        <v>NA</v>
      </c>
      <c r="Z16" t="str">
        <f>IF(C16="NA","NA",VLOOKUP(C16,MSSM_AdaptedSources!B:K,10,FALSE))</f>
        <v>NA</v>
      </c>
      <c r="AA16" t="str">
        <f>IF(C16="NA","0",VLOOKUP(C16,MultiFaultGeometry!B:C,2,FALSE)*IF(B16="NA",X$278/(X$278+X$276),X$278))</f>
        <v>0</v>
      </c>
      <c r="AB16">
        <f>AA16*IF(C16="NA",0,VLOOKUP(C16,MultiFaultGeometry!B:O,14,FALSE))</f>
        <v>0</v>
      </c>
      <c r="AC16">
        <f>IF(AB16=0,0,AA16*3.3*10^10*Z16*10^6*(1/Y16)*VLOOKUP(C16,MultiFaultGeometry!B:G,5,FALSE)*10^-3)</f>
        <v>0</v>
      </c>
      <c r="AE16" s="68">
        <f t="shared" si="3"/>
        <v>0</v>
      </c>
      <c r="AF16" s="68">
        <f t="shared" si="4"/>
        <v>0</v>
      </c>
      <c r="AG16" s="68"/>
    </row>
    <row r="17" spans="1:33" x14ac:dyDescent="0.2">
      <c r="A17" s="68" t="str">
        <f>Leonard2010!D19</f>
        <v>Ruo</v>
      </c>
      <c r="B17" s="68" t="str">
        <f>Leonard2010!E19</f>
        <v>Ruo Central</v>
      </c>
      <c r="C17" s="68" t="str">
        <f>Leonard2010!F19</f>
        <v>NA</v>
      </c>
      <c r="D17">
        <f>IF(B17="NA","NA",VLOOKUP(B17,Leonard2010!E:H,3,FALSE))</f>
        <v>9.8000000000000007</v>
      </c>
      <c r="E17">
        <f>IF(A17="NA","NA",VLOOKUP(A17,Leonard2010!D:I,6,FALSE))</f>
        <v>36</v>
      </c>
      <c r="F17" t="str">
        <f>IF(C17="NA","NA",VLOOKUP(C17,Leonard2010!F:K,6,FALSE))</f>
        <v>NA</v>
      </c>
      <c r="G17">
        <f>IF(B17="NA","NA",VLOOKUP(B17,Leonard2010!E:H,4,FALSE))</f>
        <v>158</v>
      </c>
      <c r="H17">
        <f>IF(A17="NA","NA",VLOOKUP(A17,Leonard2010!D:J,7,FALSE))</f>
        <v>135</v>
      </c>
      <c r="I17" t="str">
        <f>IF(C17="NA","NA",VLOOKUP(C17,Leonard2010!F:L,7,FALSE))</f>
        <v>NA</v>
      </c>
      <c r="J17">
        <f>IF(A17="NA","NA",VLOOKUP(A17,Leonard2010!D:N,11,FALSE))</f>
        <v>53</v>
      </c>
      <c r="K17" t="s">
        <v>211</v>
      </c>
      <c r="L17">
        <f>VLOOKUP(A17,Leonard2010!D:AJ,32,FALSE)</f>
        <v>33</v>
      </c>
      <c r="M17">
        <f>VLOOKUP($A17,Leonard2010!D:AK,33,FALSE)</f>
        <v>70</v>
      </c>
      <c r="N17">
        <f>VLOOKUP($A17,Leonard2010!D:AL,34,FALSE)</f>
        <v>107</v>
      </c>
      <c r="O17">
        <f t="shared" si="0"/>
        <v>0.8191520442889918</v>
      </c>
      <c r="P17">
        <f t="shared" si="8"/>
        <v>429.48253074758543</v>
      </c>
      <c r="Q17">
        <f>IF(B17="NA","0",VLOOKUP(B17,SectionGeometry!C:E,3,FALSE)*IF(C17="NA",X$277/(X$277+X$276),X$277))</f>
        <v>0.25</v>
      </c>
      <c r="R17">
        <f>Q17*IF(B17="NA",0,((VLOOKUP(B17,SectionGeometry!C:Z,24,FALSE))))</f>
        <v>51320266108119.617</v>
      </c>
      <c r="S17">
        <f>IF(R17=0,0,Q17*3.3*10^10*P17*10^6*(1/O17)*VLOOKUP(B17,SectionGeometry!C:AA,25,FALSE)*10^-3)</f>
        <v>364340981301359.38</v>
      </c>
      <c r="T17">
        <f t="shared" si="1"/>
        <v>0.90630778703664994</v>
      </c>
      <c r="U17">
        <f>IF(K17="N",E17*35/SIN(RADIANS(J17)),IF(K17="Y",VLOOKUP(A17,Leonard2010!D:U,18,FALSE),IF(C17="NA",VLOOKUP(A17,MSSM_AdaptedSources!B:K,10,FALSE),"CHECK")))</f>
        <v>1577.6909292768444</v>
      </c>
      <c r="V17">
        <f>(1*VLOOKUP(A17,FaultGeometry!B:C,2,FALSE))-Q17-AA17</f>
        <v>0.75</v>
      </c>
      <c r="W17">
        <f>V17*(VLOOKUP(A17,FaultGeometry!B:Y,24,FALSE))</f>
        <v>1367112417799673.2</v>
      </c>
      <c r="X17">
        <f>V17*3.3*10^10*U17*10^6*(1/T17)*VLOOKUP(A17,FaultGeometry!B:O,14,FALSE)*10^-3</f>
        <v>3325990532191408</v>
      </c>
      <c r="Y17" t="str">
        <f t="shared" si="9"/>
        <v>NA</v>
      </c>
      <c r="Z17" t="str">
        <f>IF(C17="NA","NA",VLOOKUP(C17,MSSM_AdaptedSources!B:K,10,FALSE))</f>
        <v>NA</v>
      </c>
      <c r="AA17" t="str">
        <f>IF(C17="NA","0",VLOOKUP(C17,MultiFaultGeometry!B:C,2,FALSE)*IF(B17="NA",X$278/(X$278+X$276),X$278))</f>
        <v>0</v>
      </c>
      <c r="AB17">
        <f>AA17*IF(C17="NA",0,VLOOKUP(C17,MultiFaultGeometry!B:O,14,FALSE))</f>
        <v>0</v>
      </c>
      <c r="AC17">
        <f>IF(AB17=0,0,AA17*3.3*10^10*Z17*10^6*(1/Y17)*VLOOKUP(C17,MultiFaultGeometry!B:G,5,FALSE)*10^-3)</f>
        <v>0</v>
      </c>
      <c r="AE17" s="68">
        <f t="shared" si="3"/>
        <v>0</v>
      </c>
      <c r="AF17" s="68">
        <f t="shared" si="4"/>
        <v>0</v>
      </c>
      <c r="AG17" s="68"/>
    </row>
    <row r="18" spans="1:33" x14ac:dyDescent="0.2">
      <c r="A18" s="68" t="str">
        <f>Leonard2010!D20</f>
        <v>Ruo</v>
      </c>
      <c r="B18" s="68" t="str">
        <f>Leonard2010!E20</f>
        <v>Ruo North</v>
      </c>
      <c r="C18" s="68" t="str">
        <f>Leonard2010!F20</f>
        <v>NA</v>
      </c>
      <c r="D18">
        <f>IF(B18="NA","NA",VLOOKUP(B18,Leonard2010!E:H,3,FALSE))</f>
        <v>12.4</v>
      </c>
      <c r="E18">
        <f>IF(A18="NA","NA",VLOOKUP(A18,Leonard2010!D:I,6,FALSE))</f>
        <v>36</v>
      </c>
      <c r="F18" t="str">
        <f>IF(C18="NA","NA",VLOOKUP(C18,Leonard2010!F:K,6,FALSE))</f>
        <v>NA</v>
      </c>
      <c r="G18">
        <f>IF(B18="NA","NA",VLOOKUP(B18,Leonard2010!E:H,4,FALSE))</f>
        <v>134</v>
      </c>
      <c r="H18">
        <f>IF(A18="NA","NA",VLOOKUP(A18,Leonard2010!D:J,7,FALSE))</f>
        <v>135</v>
      </c>
      <c r="I18" t="str">
        <f>IF(C18="NA","NA",VLOOKUP(C18,Leonard2010!F:L,7,FALSE))</f>
        <v>NA</v>
      </c>
      <c r="J18">
        <f>IF(A18="NA","NA",VLOOKUP(A18,Leonard2010!D:N,11,FALSE))</f>
        <v>53</v>
      </c>
      <c r="K18" t="s">
        <v>211</v>
      </c>
      <c r="L18">
        <f>VLOOKUP(A18,Leonard2010!D:AJ,32,FALSE)</f>
        <v>33</v>
      </c>
      <c r="M18">
        <f>VLOOKUP($A18,Leonard2010!D:AK,33,FALSE)</f>
        <v>70</v>
      </c>
      <c r="N18">
        <f>VLOOKUP($A18,Leonard2010!D:AL,34,FALSE)</f>
        <v>107</v>
      </c>
      <c r="O18">
        <f t="shared" si="0"/>
        <v>0.89879404629916704</v>
      </c>
      <c r="P18">
        <f t="shared" si="8"/>
        <v>543.42687563980201</v>
      </c>
      <c r="Q18">
        <f>IF(B18="NA","0",VLOOKUP(B18,SectionGeometry!C:E,3,FALSE)*IF(C18="NA",X$277/(X$277+X$276),X$277))</f>
        <v>0.25</v>
      </c>
      <c r="R18">
        <f>Q18*IF(B18="NA",0,((VLOOKUP(B18,SectionGeometry!C:Z,24,FALSE))))</f>
        <v>68538352721356.633</v>
      </c>
      <c r="S18">
        <f>IF(R18=0,0,Q18*3.3*10^10*P18*10^6*(1/O18)*VLOOKUP(B18,SectionGeometry!C:AA,25,FALSE)*10^-3)</f>
        <v>377711688399102.5</v>
      </c>
      <c r="T18">
        <f t="shared" si="1"/>
        <v>0.90630778703664994</v>
      </c>
      <c r="U18">
        <f>IF(K18="N",E18*35/SIN(RADIANS(J18)),IF(K18="Y",VLOOKUP(A18,Leonard2010!D:U,18,FALSE),IF(C18="NA",VLOOKUP(A18,MSSM_AdaptedSources!B:K,10,FALSE),"CHECK")))</f>
        <v>1577.6909292768444</v>
      </c>
      <c r="V18">
        <f>(1*VLOOKUP(A18,FaultGeometry!B:C,2,FALSE))-Q18-AA18</f>
        <v>0.75</v>
      </c>
      <c r="W18">
        <f>V18*(VLOOKUP(A18,FaultGeometry!B:Y,24,FALSE))</f>
        <v>1367112417799673.2</v>
      </c>
      <c r="X18">
        <f>V18*3.3*10^10*U18*10^6*(1/T18)*VLOOKUP(A18,FaultGeometry!B:O,14,FALSE)*10^-3</f>
        <v>3325990532191408</v>
      </c>
      <c r="Y18" t="str">
        <f t="shared" si="9"/>
        <v>NA</v>
      </c>
      <c r="Z18" t="str">
        <f>IF(C18="NA","NA",VLOOKUP(C18,MSSM_AdaptedSources!B:K,10,FALSE))</f>
        <v>NA</v>
      </c>
      <c r="AA18" t="str">
        <f>IF(C18="NA","0",VLOOKUP(C18,MultiFaultGeometry!B:C,2,FALSE)*IF(B18="NA",X$278/(X$278+X$276),X$278))</f>
        <v>0</v>
      </c>
      <c r="AB18">
        <f>AA18*IF(C18="NA",0,VLOOKUP(C18,MultiFaultGeometry!B:O,14,FALSE))</f>
        <v>0</v>
      </c>
      <c r="AC18">
        <f>IF(AB18=0,0,AA18*3.3*10^10*Z18*10^6*(1/Y18)*VLOOKUP(C18,MultiFaultGeometry!B:G,5,FALSE)*10^-3)</f>
        <v>0</v>
      </c>
      <c r="AE18" s="68">
        <f t="shared" si="3"/>
        <v>1367112417799673.2</v>
      </c>
      <c r="AF18" s="68">
        <f t="shared" si="4"/>
        <v>3325990532191408</v>
      </c>
      <c r="AG18" s="68"/>
    </row>
    <row r="19" spans="1:33" x14ac:dyDescent="0.2">
      <c r="A19" s="68" t="str">
        <f>Leonard2010!D21</f>
        <v>Thyolo-1a</v>
      </c>
      <c r="B19" s="68" t="str">
        <f>Leonard2010!E21</f>
        <v>Thyolo North-1</v>
      </c>
      <c r="C19" s="68" t="str">
        <f>Leonard2010!F21</f>
        <v>NA</v>
      </c>
      <c r="D19">
        <f>IF(B19="NA","NA",VLOOKUP(B19,Leonard2010!E:H,3,FALSE))</f>
        <v>32.4</v>
      </c>
      <c r="E19">
        <f>IF(A19="NA","NA",VLOOKUP(A19,Leonard2010!D:I,6,FALSE))</f>
        <v>95.1</v>
      </c>
      <c r="F19" t="str">
        <f>IF(C19="NA","NA",VLOOKUP(C19,Leonard2010!F:K,6,FALSE))</f>
        <v>NA</v>
      </c>
      <c r="G19">
        <f>IF(B19="NA","NA",VLOOKUP(B19,Leonard2010!E:H,4,FALSE))</f>
        <v>153</v>
      </c>
      <c r="H19">
        <f>IF(A19="NA","NA",VLOOKUP(A19,Leonard2010!D:J,7,FALSE))</f>
        <v>146</v>
      </c>
      <c r="I19" t="str">
        <f>IF(C19="NA","NA",VLOOKUP(C19,Leonard2010!F:L,7,FALSE))</f>
        <v>NA</v>
      </c>
      <c r="J19">
        <f>IF(A19="NA","NA",VLOOKUP(A19,Leonard2010!D:N,11,FALSE))</f>
        <v>53</v>
      </c>
      <c r="K19" t="s">
        <v>211</v>
      </c>
      <c r="L19">
        <f>VLOOKUP(A19,Leonard2010!D:AJ,32,FALSE)</f>
        <v>33</v>
      </c>
      <c r="M19">
        <f>VLOOKUP($A19,Leonard2010!D:AK,33,FALSE)</f>
        <v>70</v>
      </c>
      <c r="N19">
        <f>VLOOKUP($A19,Leonard2010!D:AL,34,FALSE)</f>
        <v>107</v>
      </c>
      <c r="O19">
        <f t="shared" si="0"/>
        <v>0.8660254037844386</v>
      </c>
      <c r="P19">
        <f t="shared" si="8"/>
        <v>1419.9218363491598</v>
      </c>
      <c r="Q19">
        <f>IF(B19="NA","0",VLOOKUP(B19,SectionGeometry!C:E,3,FALSE)*IF(C19="NA",X$277/(X$277+X$276),X$277))</f>
        <v>6.25E-2</v>
      </c>
      <c r="R19">
        <f>Q19*IF(B19="NA",0,((VLOOKUP(B19,SectionGeometry!C:Z,24,FALSE))))</f>
        <v>159923780783202.97</v>
      </c>
      <c r="S19">
        <f>IF(R19=0,0,Q19*3.3*10^10*P19*10^6*(1/O19)*VLOOKUP(B19,SectionGeometry!C:AA,25,FALSE)*10^-3)</f>
        <v>1945288975773009.5</v>
      </c>
      <c r="T19">
        <f t="shared" si="1"/>
        <v>0.92050485345244037</v>
      </c>
      <c r="U19">
        <f>IF(K19="N",E19*35/SIN(RADIANS(J19)),IF(K19="Y",VLOOKUP(A19,Leonard2010!D:U,18,FALSE),IF(C19="NA",VLOOKUP(A19,MSSM_AdaptedSources!B:K,10,FALSE),"CHECK")))</f>
        <v>4167.7335381729972</v>
      </c>
      <c r="V19">
        <f>(1*VLOOKUP(A19,FaultGeometry!B:C,2,FALSE))-Q19-AA19</f>
        <v>0.1875</v>
      </c>
      <c r="W19">
        <f>V19*(VLOOKUP(A19,FaultGeometry!B:Y,24,FALSE))</f>
        <v>3183333846786042</v>
      </c>
      <c r="X19">
        <f>V19*3.3*10^10*U19*10^6*(1/T19)*VLOOKUP(A19,FaultGeometry!B:O,14,FALSE)*10^-3</f>
        <v>1.596060786136765E+16</v>
      </c>
      <c r="Y19" t="str">
        <f t="shared" si="9"/>
        <v>NA</v>
      </c>
      <c r="Z19" t="str">
        <f>IF(C19="NA","NA",VLOOKUP(C19,MSSM_AdaptedSources!B:K,10,FALSE))</f>
        <v>NA</v>
      </c>
      <c r="AA19" t="str">
        <f>IF(C19="NA","0",VLOOKUP(C19,MultiFaultGeometry!B:C,2,FALSE)*IF(B19="NA",X$278/(X$278+X$276),X$278))</f>
        <v>0</v>
      </c>
      <c r="AB19">
        <f>AA19*IF(C19="NA",0,VLOOKUP(C19,MultiFaultGeometry!B:O,14,FALSE))</f>
        <v>0</v>
      </c>
      <c r="AC19">
        <f>IF(AB19=0,0,AA19*3.3*10^10*Z19*10^6*(1/Y19)*VLOOKUP(C19,MultiFaultGeometry!B:G,5,FALSE)*10^-3)</f>
        <v>0</v>
      </c>
      <c r="AE19" s="68">
        <f t="shared" si="3"/>
        <v>0</v>
      </c>
      <c r="AF19" s="68">
        <f t="shared" si="4"/>
        <v>0</v>
      </c>
      <c r="AG19" s="68"/>
    </row>
    <row r="20" spans="1:33" x14ac:dyDescent="0.2">
      <c r="A20" s="68" t="str">
        <f>Leonard2010!D22</f>
        <v>Thyolo-1a</v>
      </c>
      <c r="B20" s="68" t="str">
        <f>Leonard2010!E22</f>
        <v>Mbewe-1</v>
      </c>
      <c r="C20" s="68" t="str">
        <f>Leonard2010!F22</f>
        <v>NA</v>
      </c>
      <c r="D20">
        <f>IF(B20="NA","NA",VLOOKUP(B20,Leonard2010!E:H,3,FALSE))</f>
        <v>14</v>
      </c>
      <c r="E20">
        <f>IF(A20="NA","NA",VLOOKUP(A20,Leonard2010!D:I,6,FALSE))</f>
        <v>95.1</v>
      </c>
      <c r="F20" t="str">
        <f>IF(C20="NA","NA",VLOOKUP(C20,Leonard2010!F:K,6,FALSE))</f>
        <v>NA</v>
      </c>
      <c r="G20">
        <f>IF(B20="NA","NA",VLOOKUP(B20,Leonard2010!E:H,4,FALSE))</f>
        <v>132</v>
      </c>
      <c r="H20">
        <f>IF(A20="NA","NA",VLOOKUP(A20,Leonard2010!D:J,7,FALSE))</f>
        <v>146</v>
      </c>
      <c r="I20" t="str">
        <f>IF(C20="NA","NA",VLOOKUP(C20,Leonard2010!F:L,7,FALSE))</f>
        <v>NA</v>
      </c>
      <c r="J20">
        <f>IF(A20="NA","NA",VLOOKUP(A20,Leonard2010!D:N,11,FALSE))</f>
        <v>53</v>
      </c>
      <c r="K20" t="s">
        <v>211</v>
      </c>
      <c r="L20">
        <f>VLOOKUP(A20,Leonard2010!D:AJ,32,FALSE)</f>
        <v>33</v>
      </c>
      <c r="M20">
        <f>VLOOKUP($A20,Leonard2010!D:AK,33,FALSE)</f>
        <v>70</v>
      </c>
      <c r="N20">
        <f>VLOOKUP($A20,Leonard2010!D:AL,34,FALSE)</f>
        <v>107</v>
      </c>
      <c r="O20">
        <f t="shared" si="0"/>
        <v>0.88294759285892699</v>
      </c>
      <c r="P20">
        <f t="shared" si="8"/>
        <v>613.54647249655056</v>
      </c>
      <c r="Q20">
        <f>IF(B20="NA","0",VLOOKUP(B20,SectionGeometry!C:E,3,FALSE)*IF(C20="NA",X$277/(X$277+X$276),X$277))</f>
        <v>6.25E-2</v>
      </c>
      <c r="R20">
        <f>Q20*IF(B20="NA",0,((VLOOKUP(B20,SectionGeometry!C:Z,24,FALSE))))</f>
        <v>36111542236809.711</v>
      </c>
      <c r="S20">
        <f>IF(R20=0,0,Q20*3.3*10^10*P20*10^6*(1/O20)*VLOOKUP(B20,SectionGeometry!C:AA,25,FALSE)*10^-3)</f>
        <v>757591969672634.5</v>
      </c>
      <c r="T20">
        <f t="shared" si="1"/>
        <v>0.92050485345244037</v>
      </c>
      <c r="U20">
        <f>IF(K20="N",E20*35/SIN(RADIANS(J20)),IF(K20="Y",VLOOKUP(A20,Leonard2010!D:U,18,FALSE),IF(C20="NA",VLOOKUP(A20,MSSM_AdaptedSources!B:K,10,FALSE),"CHECK")))</f>
        <v>4167.7335381729972</v>
      </c>
      <c r="V20">
        <f>(1*VLOOKUP(A20,FaultGeometry!B:C,2,FALSE))-Q20-AA20</f>
        <v>0.1875</v>
      </c>
      <c r="W20">
        <f>V20*(VLOOKUP(A20,FaultGeometry!B:Y,24,FALSE))</f>
        <v>3183333846786042</v>
      </c>
      <c r="X20">
        <f>V20*3.3*10^10*U20*10^6*(1/T20)*VLOOKUP(A20,FaultGeometry!B:O,14,FALSE)*10^-3</f>
        <v>1.596060786136765E+16</v>
      </c>
      <c r="Y20" t="str">
        <f t="shared" si="9"/>
        <v>NA</v>
      </c>
      <c r="Z20" t="str">
        <f>IF(C20="NA","NA",VLOOKUP(C20,MSSM_AdaptedSources!B:K,10,FALSE))</f>
        <v>NA</v>
      </c>
      <c r="AA20" t="str">
        <f>IF(C20="NA","0",VLOOKUP(C20,MultiFaultGeometry!B:C,2,FALSE)*IF(B20="NA",X$278/(X$278+X$276),X$278))</f>
        <v>0</v>
      </c>
      <c r="AB20">
        <f>AA20*IF(C20="NA",0,VLOOKUP(C20,MultiFaultGeometry!B:O,14,FALSE))</f>
        <v>0</v>
      </c>
      <c r="AC20">
        <f>IF(AB20=0,0,AA20*3.3*10^10*Z20*10^6*(1/Y20)*VLOOKUP(C20,MultiFaultGeometry!B:G,5,FALSE)*10^-3)</f>
        <v>0</v>
      </c>
      <c r="AE20" s="68">
        <f t="shared" si="3"/>
        <v>0</v>
      </c>
      <c r="AF20" s="68">
        <f t="shared" si="4"/>
        <v>0</v>
      </c>
      <c r="AG20" s="68"/>
    </row>
    <row r="21" spans="1:33" x14ac:dyDescent="0.2">
      <c r="A21" s="68" t="str">
        <f>Leonard2010!D23</f>
        <v>Thyolo-1a</v>
      </c>
      <c r="B21" s="68" t="str">
        <f>Leonard2010!E23</f>
        <v>Kalulu-1</v>
      </c>
      <c r="C21" s="68" t="str">
        <f>Leonard2010!F23</f>
        <v>NA</v>
      </c>
      <c r="D21">
        <f>IF(B21="NA","NA",VLOOKUP(B21,Leonard2010!E:H,3,FALSE))</f>
        <v>17.3</v>
      </c>
      <c r="E21">
        <f>IF(A21="NA","NA",VLOOKUP(A21,Leonard2010!D:I,6,FALSE))</f>
        <v>95.1</v>
      </c>
      <c r="F21" t="str">
        <f>IF(C21="NA","NA",VLOOKUP(C21,Leonard2010!F:K,6,FALSE))</f>
        <v>NA</v>
      </c>
      <c r="G21">
        <f>IF(B21="NA","NA",VLOOKUP(B21,Leonard2010!E:H,4,FALSE))</f>
        <v>138</v>
      </c>
      <c r="H21">
        <f>IF(A21="NA","NA",VLOOKUP(A21,Leonard2010!D:J,7,FALSE))</f>
        <v>146</v>
      </c>
      <c r="I21" t="str">
        <f>IF(C21="NA","NA",VLOOKUP(C21,Leonard2010!F:L,7,FALSE))</f>
        <v>NA</v>
      </c>
      <c r="J21">
        <f>IF(A21="NA","NA",VLOOKUP(A21,Leonard2010!D:N,11,FALSE))</f>
        <v>53</v>
      </c>
      <c r="K21" t="s">
        <v>211</v>
      </c>
      <c r="L21">
        <f>VLOOKUP(A21,Leonard2010!D:AJ,32,FALSE)</f>
        <v>33</v>
      </c>
      <c r="M21">
        <f>VLOOKUP($A21,Leonard2010!D:AK,33,FALSE)</f>
        <v>70</v>
      </c>
      <c r="N21">
        <f>VLOOKUP($A21,Leonard2010!D:AL,34,FALSE)</f>
        <v>107</v>
      </c>
      <c r="O21">
        <f t="shared" si="0"/>
        <v>0.92718385456678731</v>
      </c>
      <c r="P21">
        <f t="shared" si="8"/>
        <v>758.16814101359466</v>
      </c>
      <c r="Q21">
        <f>IF(B21="NA","0",VLOOKUP(B21,SectionGeometry!C:E,3,FALSE)*IF(C21="NA",X$277/(X$277+X$276),X$277))</f>
        <v>6.25E-2</v>
      </c>
      <c r="R21">
        <f>Q21*IF(B21="NA",0,((VLOOKUP(B21,SectionGeometry!C:Z,24,FALSE))))</f>
        <v>52791800092103.68</v>
      </c>
      <c r="S21">
        <f>IF(R21=0,0,Q21*3.3*10^10*P21*10^6*(1/O21)*VLOOKUP(B21,SectionGeometry!C:AA,25,FALSE)*10^-3)</f>
        <v>913200217229714.38</v>
      </c>
      <c r="T21">
        <f t="shared" si="1"/>
        <v>0.92050485345244037</v>
      </c>
      <c r="U21">
        <f>IF(K21="N",E21*35/SIN(RADIANS(J21)),IF(K21="Y",VLOOKUP(A21,Leonard2010!D:U,18,FALSE),IF(C21="NA",VLOOKUP(A21,MSSM_AdaptedSources!B:K,10,FALSE),"CHECK")))</f>
        <v>4167.7335381729972</v>
      </c>
      <c r="V21">
        <f>(1*VLOOKUP(A21,FaultGeometry!B:C,2,FALSE))-Q21-AA21</f>
        <v>0.1875</v>
      </c>
      <c r="W21">
        <f>V21*(VLOOKUP(A21,FaultGeometry!B:Y,24,FALSE))</f>
        <v>3183333846786042</v>
      </c>
      <c r="X21">
        <f>V21*3.3*10^10*U21*10^6*(1/T21)*VLOOKUP(A21,FaultGeometry!B:O,14,FALSE)*10^-3</f>
        <v>1.596060786136765E+16</v>
      </c>
      <c r="Y21" t="str">
        <f t="shared" si="9"/>
        <v>NA</v>
      </c>
      <c r="Z21" t="str">
        <f>IF(C21="NA","NA",VLOOKUP(C21,MSSM_AdaptedSources!B:K,10,FALSE))</f>
        <v>NA</v>
      </c>
      <c r="AA21" t="str">
        <f>IF(C21="NA","0",VLOOKUP(C21,MultiFaultGeometry!B:C,2,FALSE)*IF(B21="NA",X$278/(X$278+X$276),X$278))</f>
        <v>0</v>
      </c>
      <c r="AB21">
        <f>AA21*IF(C21="NA",0,VLOOKUP(C21,MultiFaultGeometry!B:O,14,FALSE))</f>
        <v>0</v>
      </c>
      <c r="AC21">
        <f>IF(AB21=0,0,AA21*3.3*10^10*Z21*10^6*(1/Y21)*VLOOKUP(C21,MultiFaultGeometry!B:G,5,FALSE)*10^-3)</f>
        <v>0</v>
      </c>
      <c r="AE21" s="68">
        <f t="shared" si="3"/>
        <v>0</v>
      </c>
      <c r="AF21" s="68">
        <f t="shared" si="4"/>
        <v>0</v>
      </c>
      <c r="AG21" s="68"/>
    </row>
    <row r="22" spans="1:33" x14ac:dyDescent="0.2">
      <c r="A22" s="68" t="str">
        <f>Leonard2010!D24</f>
        <v>Thyolo-1a</v>
      </c>
      <c r="B22" s="68" t="str">
        <f>Leonard2010!E24</f>
        <v>Thyolo Link</v>
      </c>
      <c r="C22" s="68" t="str">
        <f>Leonard2010!F24</f>
        <v>NA</v>
      </c>
      <c r="D22">
        <f>IF(B22="NA","NA",VLOOKUP(B22,Leonard2010!E:H,3,FALSE))</f>
        <v>4.5999999999999996</v>
      </c>
      <c r="E22">
        <f>IF(A22="NA","NA",VLOOKUP(A22,Leonard2010!D:I,6,FALSE))</f>
        <v>95.1</v>
      </c>
      <c r="F22" t="str">
        <f>IF(C22="NA","NA",VLOOKUP(C22,Leonard2010!F:K,6,FALSE))</f>
        <v>NA</v>
      </c>
      <c r="G22">
        <f>IF(B22="NA","NA",VLOOKUP(B22,Leonard2010!E:H,4,FALSE))</f>
        <v>213</v>
      </c>
      <c r="H22">
        <f>IF(A22="NA","NA",VLOOKUP(A22,Leonard2010!D:J,7,FALSE))</f>
        <v>146</v>
      </c>
      <c r="I22" t="str">
        <f>IF(C22="NA","NA",VLOOKUP(C22,Leonard2010!F:L,7,FALSE))</f>
        <v>NA</v>
      </c>
      <c r="J22">
        <f>IF(A22="NA","NA",VLOOKUP(A22,Leonard2010!D:N,11,FALSE))</f>
        <v>53</v>
      </c>
      <c r="K22" t="s">
        <v>211</v>
      </c>
      <c r="L22">
        <f>VLOOKUP(A22,Leonard2010!D:AJ,32,FALSE)</f>
        <v>33</v>
      </c>
      <c r="M22">
        <f>VLOOKUP($A22,Leonard2010!D:AK,33,FALSE)</f>
        <v>70</v>
      </c>
      <c r="N22">
        <f>VLOOKUP($A22,Leonard2010!D:AL,34,FALSE)</f>
        <v>107</v>
      </c>
      <c r="O22">
        <f t="shared" si="0"/>
        <v>0.60181502315204827</v>
      </c>
      <c r="P22">
        <f t="shared" si="8"/>
        <v>201.59384096315233</v>
      </c>
      <c r="Q22">
        <f>IF(B22="NA","0",VLOOKUP(B22,SectionGeometry!C:E,3,FALSE)*IF(C22="NA",X$277/(X$277+X$276),X$277))</f>
        <v>6.25E-2</v>
      </c>
      <c r="R22">
        <f>Q22*IF(B22="NA",0,((VLOOKUP(B22,SectionGeometry!C:Z,24,FALSE))))</f>
        <v>0</v>
      </c>
      <c r="S22">
        <f>IF(R22=0,0,Q22*3.3*10^10*P22*10^6*(1/O22)*VLOOKUP(B22,SectionGeometry!C:AA,25,FALSE)*10^-3)</f>
        <v>0</v>
      </c>
      <c r="T22">
        <f t="shared" si="1"/>
        <v>0.92050485345244037</v>
      </c>
      <c r="U22">
        <f>IF(K22="N",E22*35/SIN(RADIANS(J22)),IF(K22="Y",VLOOKUP(A22,Leonard2010!D:U,18,FALSE),IF(C22="NA",VLOOKUP(A22,MSSM_AdaptedSources!B:K,10,FALSE),"CHECK")))</f>
        <v>4167.7335381729972</v>
      </c>
      <c r="V22">
        <f>(1*VLOOKUP(A22,FaultGeometry!B:C,2,FALSE))-Q22-AA22</f>
        <v>0.1875</v>
      </c>
      <c r="W22">
        <f>V22*(VLOOKUP(A22,FaultGeometry!B:Y,24,FALSE))</f>
        <v>3183333846786042</v>
      </c>
      <c r="X22">
        <f>V22*3.3*10^10*U22*10^6*(1/T22)*VLOOKUP(A22,FaultGeometry!B:O,14,FALSE)*10^-3</f>
        <v>1.596060786136765E+16</v>
      </c>
      <c r="Y22" t="str">
        <f t="shared" si="9"/>
        <v>NA</v>
      </c>
      <c r="Z22" t="str">
        <f>IF(C22="NA","NA",VLOOKUP(C22,MSSM_AdaptedSources!B:K,10,FALSE))</f>
        <v>NA</v>
      </c>
      <c r="AA22" t="str">
        <f>IF(C22="NA","0",VLOOKUP(C22,MultiFaultGeometry!B:C,2,FALSE)*IF(B22="NA",X$278/(X$278+X$276),X$278))</f>
        <v>0</v>
      </c>
      <c r="AB22">
        <f>AA22*IF(C22="NA",0,VLOOKUP(C22,MultiFaultGeometry!B:O,14,FALSE))</f>
        <v>0</v>
      </c>
      <c r="AC22">
        <f>IF(AB22=0,0,AA22*3.3*10^10*Z22*10^6*(1/Y22)*VLOOKUP(C22,MultiFaultGeometry!B:G,5,FALSE)*10^-3)</f>
        <v>0</v>
      </c>
      <c r="AE22" s="68">
        <f t="shared" si="3"/>
        <v>0</v>
      </c>
      <c r="AF22" s="68">
        <f t="shared" si="4"/>
        <v>0</v>
      </c>
      <c r="AG22" s="68"/>
    </row>
    <row r="23" spans="1:33" x14ac:dyDescent="0.2">
      <c r="A23" s="68" t="str">
        <f>Leonard2010!D25</f>
        <v>Thyolo-1a</v>
      </c>
      <c r="B23" s="68" t="str">
        <f>Leonard2010!E25</f>
        <v>Muona-1a</v>
      </c>
      <c r="C23" s="68" t="str">
        <f>Leonard2010!F25</f>
        <v>NA</v>
      </c>
      <c r="D23">
        <f>IF(B23="NA","NA",VLOOKUP(B23,Leonard2010!E:H,3,FALSE))</f>
        <v>26.8</v>
      </c>
      <c r="E23">
        <f>IF(A23="NA","NA",VLOOKUP(A23,Leonard2010!D:I,6,FALSE))</f>
        <v>95.1</v>
      </c>
      <c r="F23" t="str">
        <f>IF(C23="NA","NA",VLOOKUP(C23,Leonard2010!F:K,6,FALSE))</f>
        <v>NA</v>
      </c>
      <c r="G23">
        <f>IF(B23="NA","NA",VLOOKUP(B23,Leonard2010!E:H,4,FALSE))</f>
        <v>140</v>
      </c>
      <c r="H23">
        <f>IF(A23="NA","NA",VLOOKUP(A23,Leonard2010!D:J,7,FALSE))</f>
        <v>146</v>
      </c>
      <c r="I23" t="str">
        <f>IF(C23="NA","NA",VLOOKUP(C23,Leonard2010!F:L,7,FALSE))</f>
        <v>NA</v>
      </c>
      <c r="J23">
        <f>IF(A23="NA","NA",VLOOKUP(A23,Leonard2010!D:N,11,FALSE))</f>
        <v>53</v>
      </c>
      <c r="K23" t="s">
        <v>211</v>
      </c>
      <c r="L23">
        <f>VLOOKUP(A23,Leonard2010!D:AJ,32,FALSE)</f>
        <v>33</v>
      </c>
      <c r="M23">
        <f>VLOOKUP($A23,Leonard2010!D:AK,33,FALSE)</f>
        <v>70</v>
      </c>
      <c r="N23">
        <f>VLOOKUP($A23,Leonard2010!D:AL,34,FALSE)</f>
        <v>107</v>
      </c>
      <c r="O23">
        <f t="shared" si="0"/>
        <v>0.93969262078590832</v>
      </c>
      <c r="P23">
        <f t="shared" si="8"/>
        <v>1174.5032473505396</v>
      </c>
      <c r="Q23">
        <f>IF(B23="NA","0",VLOOKUP(B23,SectionGeometry!C:E,3,FALSE)*IF(C23="NA",X$277/(X$277+X$276),X$277))</f>
        <v>6.25E-2</v>
      </c>
      <c r="R23">
        <f>Q23*IF(B23="NA",0,((VLOOKUP(B23,SectionGeometry!C:Z,24,FALSE))))</f>
        <v>111649996952143.89</v>
      </c>
      <c r="S23">
        <f>IF(R23=0,0,Q23*3.3*10^10*P23*10^6*(1/O23)*VLOOKUP(B23,SectionGeometry!C:AA,25,FALSE)*10^-3)</f>
        <v>1415880362883344</v>
      </c>
      <c r="T23">
        <f t="shared" si="1"/>
        <v>0.92050485345244037</v>
      </c>
      <c r="U23">
        <f>IF(K23="N",E23*35/SIN(RADIANS(J23)),IF(K23="Y",VLOOKUP(A23,Leonard2010!D:U,18,FALSE),IF(C23="NA",VLOOKUP(A23,MSSM_AdaptedSources!B:K,10,FALSE),"CHECK")))</f>
        <v>4167.7335381729972</v>
      </c>
      <c r="V23">
        <f>(1*VLOOKUP(A23,FaultGeometry!B:C,2,FALSE))-Q23-AA23</f>
        <v>0.1875</v>
      </c>
      <c r="W23">
        <f>V23*(VLOOKUP(A23,FaultGeometry!B:Y,24,FALSE))</f>
        <v>3183333846786042</v>
      </c>
      <c r="X23">
        <f>V23*3.3*10^10*U23*10^6*(1/T23)*VLOOKUP(A23,FaultGeometry!B:O,14,FALSE)*10^-3</f>
        <v>1.596060786136765E+16</v>
      </c>
      <c r="Y23" t="str">
        <f t="shared" si="9"/>
        <v>NA</v>
      </c>
      <c r="Z23" t="str">
        <f>IF(C23="NA","NA",VLOOKUP(C23,MSSM_AdaptedSources!B:K,10,FALSE))</f>
        <v>NA</v>
      </c>
      <c r="AA23" t="str">
        <f>IF(C23="NA","0",VLOOKUP(C23,MultiFaultGeometry!B:C,2,FALSE)*IF(B23="NA",X$278/(X$278+X$276),X$278))</f>
        <v>0</v>
      </c>
      <c r="AB23">
        <f>AA23*IF(C23="NA",0,VLOOKUP(C23,MultiFaultGeometry!B:O,14,FALSE))</f>
        <v>0</v>
      </c>
      <c r="AC23">
        <f>IF(AB23=0,0,AA23*3.3*10^10*Z23*10^6*(1/Y23)*VLOOKUP(C23,MultiFaultGeometry!B:G,5,FALSE)*10^-3)</f>
        <v>0</v>
      </c>
      <c r="AE23" s="68">
        <f t="shared" si="3"/>
        <v>3183333846786042</v>
      </c>
      <c r="AF23" s="68">
        <f t="shared" si="4"/>
        <v>1.596060786136765E+16</v>
      </c>
      <c r="AG23" s="68"/>
    </row>
    <row r="24" spans="1:33" x14ac:dyDescent="0.2">
      <c r="A24" s="68" t="str">
        <f>Leonard2010!D26</f>
        <v>Thyolo-1b</v>
      </c>
      <c r="B24" s="68" t="str">
        <f>Leonard2010!E26</f>
        <v>NA</v>
      </c>
      <c r="C24" s="68" t="str">
        <f>Leonard2010!F26</f>
        <v>NA</v>
      </c>
      <c r="D24" t="str">
        <f>IF(B24="NA","NA",VLOOKUP(B24,Leonard2010!E:H,3,FALSE))</f>
        <v>NA</v>
      </c>
      <c r="E24">
        <f>IF(A24="NA","NA",VLOOKUP(A24,Leonard2010!D:I,6,FALSE))</f>
        <v>41.3</v>
      </c>
      <c r="F24" t="str">
        <f>IF(C24="NA","NA",VLOOKUP(C24,Leonard2010!F:K,6,FALSE))</f>
        <v>NA</v>
      </c>
      <c r="G24" t="str">
        <f>IF(B24="NA","NA",VLOOKUP(B24,Leonard2010!E:H,4,FALSE))</f>
        <v>NA</v>
      </c>
      <c r="H24">
        <f>IF(A24="NA","NA",VLOOKUP(A24,Leonard2010!D:J,7,FALSE))</f>
        <v>139</v>
      </c>
      <c r="I24" t="str">
        <f>IF(C24="NA","NA",VLOOKUP(C24,Leonard2010!F:L,7,FALSE))</f>
        <v>NA</v>
      </c>
      <c r="J24">
        <f>IF(A24="NA","NA",VLOOKUP(A24,Leonard2010!D:N,11,FALSE))</f>
        <v>53</v>
      </c>
      <c r="K24" t="s">
        <v>211</v>
      </c>
      <c r="L24">
        <f>VLOOKUP(A24,Leonard2010!D:AJ,32,FALSE)</f>
        <v>33</v>
      </c>
      <c r="M24">
        <f>VLOOKUP($A24,Leonard2010!D:AK,33,FALSE)</f>
        <v>70</v>
      </c>
      <c r="N24">
        <f>VLOOKUP($A24,Leonard2010!D:AL,34,FALSE)</f>
        <v>107</v>
      </c>
      <c r="O24" t="str">
        <f t="shared" si="0"/>
        <v>NA</v>
      </c>
      <c r="P24" t="str">
        <f t="shared" si="8"/>
        <v>NA</v>
      </c>
      <c r="Q24" t="str">
        <f>IF(B24="NA","0",VLOOKUP(B24,SectionGeometry!C:E,3,FALSE)*IF(C24="NA",X$277/(X$277+X$276),X$277))</f>
        <v>0</v>
      </c>
      <c r="R24">
        <f>Q24*IF(B24="NA",0,((VLOOKUP(B24,SectionGeometry!C:Z,24,FALSE))))</f>
        <v>0</v>
      </c>
      <c r="S24">
        <f>IF(R24=0,0,Q24*3.3*10^10*P24*10^6*(1/O24)*VLOOKUP(B24,SectionGeometry!C:AA,25,FALSE)*10^-3)</f>
        <v>0</v>
      </c>
      <c r="T24">
        <f t="shared" si="1"/>
        <v>0.93358042649720174</v>
      </c>
      <c r="U24">
        <f>IF(K24="N",E24*35/SIN(RADIANS(J24)),IF(K24="Y",VLOOKUP(A24,Leonard2010!D:U,18,FALSE),IF(C24="NA",VLOOKUP(A24,MSSM_AdaptedSources!B:K,10,FALSE),"CHECK")))</f>
        <v>1809.9620938648243</v>
      </c>
      <c r="V24">
        <f>(1*VLOOKUP(A24,FaultGeometry!B:C,2,FALSE))-Q24-AA24</f>
        <v>0.25</v>
      </c>
      <c r="W24">
        <f>V24*(VLOOKUP(A24,FaultGeometry!B:Y,24,FALSE))</f>
        <v>1019816195609518.8</v>
      </c>
      <c r="X24">
        <f>V24*3.3*10^10*U24*10^6*(1/T24)*VLOOKUP(A24,FaultGeometry!B:O,14,FALSE)*10^-3</f>
        <v>8771688053308799</v>
      </c>
      <c r="Y24" t="str">
        <f t="shared" si="9"/>
        <v>NA</v>
      </c>
      <c r="Z24" t="str">
        <f>IF(C24="NA","NA",VLOOKUP(C24,MSSM_AdaptedSources!B:K,10,FALSE))</f>
        <v>NA</v>
      </c>
      <c r="AA24" t="str">
        <f>IF(C24="NA","0",VLOOKUP(C24,MultiFaultGeometry!B:C,2,FALSE)*IF(B24="NA",X$278/(X$278+X$276),X$278))</f>
        <v>0</v>
      </c>
      <c r="AB24">
        <f>AA24*IF(C24="NA",0,VLOOKUP(C24,MultiFaultGeometry!B:O,14,FALSE))</f>
        <v>0</v>
      </c>
      <c r="AC24">
        <f>IF(AB24=0,0,AA24*3.3*10^10*Z24*10^6*(1/Y24)*VLOOKUP(C24,MultiFaultGeometry!B:G,5,FALSE)*10^-3)</f>
        <v>0</v>
      </c>
      <c r="AE24" s="68">
        <f t="shared" si="3"/>
        <v>1019816195609518.8</v>
      </c>
      <c r="AF24" s="68">
        <f t="shared" si="4"/>
        <v>8771688053308799</v>
      </c>
      <c r="AG24" s="68"/>
    </row>
    <row r="25" spans="1:33" x14ac:dyDescent="0.2">
      <c r="A25" s="68" t="str">
        <f>Leonard2010!D27</f>
        <v>Thyolo-2</v>
      </c>
      <c r="B25" s="68" t="str">
        <f>Leonard2010!E27</f>
        <v>Thyolo North-2</v>
      </c>
      <c r="C25" s="68" t="str">
        <f>Leonard2010!F27</f>
        <v>NA</v>
      </c>
      <c r="D25">
        <f>IF(B25="NA","NA",VLOOKUP(B25,Leonard2010!E:H,3,FALSE))</f>
        <v>32.4</v>
      </c>
      <c r="E25">
        <f>IF(A25="NA","NA",VLOOKUP(A25,Leonard2010!D:I,6,FALSE))</f>
        <v>73.099999999999994</v>
      </c>
      <c r="F25" t="str">
        <f>IF(C25="NA","NA",VLOOKUP(C25,Leonard2010!F:K,6,FALSE))</f>
        <v>NA</v>
      </c>
      <c r="G25">
        <f>IF(B25="NA","NA",VLOOKUP(B25,Leonard2010!E:H,4,FALSE))</f>
        <v>153</v>
      </c>
      <c r="H25">
        <f>IF(A25="NA","NA",VLOOKUP(A25,Leonard2010!D:J,7,FALSE))</f>
        <v>142</v>
      </c>
      <c r="I25" t="str">
        <f>IF(C25="NA","NA",VLOOKUP(C25,Leonard2010!F:L,7,FALSE))</f>
        <v>NA</v>
      </c>
      <c r="J25">
        <f>IF(A25="NA","NA",VLOOKUP(A25,Leonard2010!D:N,11,FALSE))</f>
        <v>53</v>
      </c>
      <c r="K25" t="s">
        <v>211</v>
      </c>
      <c r="L25">
        <f>VLOOKUP(A25,Leonard2010!D:AJ,32,FALSE)</f>
        <v>33</v>
      </c>
      <c r="M25">
        <f>VLOOKUP($A25,Leonard2010!D:AK,33,FALSE)</f>
        <v>70</v>
      </c>
      <c r="N25">
        <f>VLOOKUP($A25,Leonard2010!D:AL,34,FALSE)</f>
        <v>107</v>
      </c>
      <c r="O25">
        <f t="shared" si="0"/>
        <v>0.8660254037844386</v>
      </c>
      <c r="P25">
        <f t="shared" si="8"/>
        <v>1419.9218363491598</v>
      </c>
      <c r="Q25">
        <f>IF(B25="NA","0",VLOOKUP(B25,SectionGeometry!C:E,3,FALSE)*IF(C25="NA",X$277/(X$277+X$276),X$277))</f>
        <v>0.125</v>
      </c>
      <c r="R25">
        <f>Q25*IF(B25="NA",0,((VLOOKUP(B25,SectionGeometry!C:Z,24,FALSE))))</f>
        <v>648867621444414.25</v>
      </c>
      <c r="S25">
        <f>IF(R25=0,0,Q25*3.3*10^10*P25*10^6*(1/O25)*VLOOKUP(B25,SectionGeometry!C:AA,25,FALSE)*10^-3)</f>
        <v>3899144752311106.5</v>
      </c>
      <c r="T25">
        <f t="shared" si="1"/>
        <v>0.94551857559931674</v>
      </c>
      <c r="U25">
        <f>IF(K25="N",E25*35/SIN(RADIANS(J25)),IF(K25="Y",VLOOKUP(A25,Leonard2010!D:U,18,FALSE),IF(C25="NA",VLOOKUP(A25,MSSM_AdaptedSources!B:K,10,FALSE),"CHECK")))</f>
        <v>3203.5890813927035</v>
      </c>
      <c r="V25">
        <f>(1*VLOOKUP(A25,FaultGeometry!B:C,2,FALSE))-Q25-AA25</f>
        <v>0.375</v>
      </c>
      <c r="W25">
        <f>V25*(VLOOKUP(A25,FaultGeometry!B:Y,24,FALSE))</f>
        <v>7839256412042326</v>
      </c>
      <c r="X25">
        <f>V25*3.3*10^10*U25*10^6*(1/T25)*VLOOKUP(A25,FaultGeometry!B:O,14,FALSE)*10^-3</f>
        <v>2.3294711758778812E+16</v>
      </c>
      <c r="Y25" t="str">
        <f t="shared" si="9"/>
        <v>NA</v>
      </c>
      <c r="Z25" t="str">
        <f>IF(C25="NA","NA",VLOOKUP(C25,MSSM_AdaptedSources!B:K,10,FALSE))</f>
        <v>NA</v>
      </c>
      <c r="AA25" t="str">
        <f>IF(C25="NA","0",VLOOKUP(C25,MultiFaultGeometry!B:C,2,FALSE)*IF(B25="NA",X$278/(X$278+X$276),X$278))</f>
        <v>0</v>
      </c>
      <c r="AB25">
        <f>AA25*IF(C25="NA",0,VLOOKUP(C25,MultiFaultGeometry!B:O,14,FALSE))</f>
        <v>0</v>
      </c>
      <c r="AC25">
        <f>IF(AB25=0,0,AA25*3.3*10^10*Z25*10^6*(1/Y25)*VLOOKUP(C25,MultiFaultGeometry!B:G,5,FALSE)*10^-3)</f>
        <v>0</v>
      </c>
      <c r="AE25" s="68">
        <f t="shared" si="3"/>
        <v>0</v>
      </c>
      <c r="AF25" s="68">
        <f t="shared" si="4"/>
        <v>0</v>
      </c>
      <c r="AG25" s="68"/>
    </row>
    <row r="26" spans="1:33" x14ac:dyDescent="0.2">
      <c r="A26" s="68" t="str">
        <f>Leonard2010!D28</f>
        <v>Thyolo-2</v>
      </c>
      <c r="B26" s="68" t="str">
        <f>Leonard2010!E28</f>
        <v>Mbewe-2</v>
      </c>
      <c r="C26" s="68" t="str">
        <f>Leonard2010!F28</f>
        <v>NA</v>
      </c>
      <c r="D26">
        <f>IF(B26="NA","NA",VLOOKUP(B26,Leonard2010!E:H,3,FALSE))</f>
        <v>14</v>
      </c>
      <c r="E26">
        <f>IF(A26="NA","NA",VLOOKUP(A26,Leonard2010!D:I,6,FALSE))</f>
        <v>73.099999999999994</v>
      </c>
      <c r="F26" t="str">
        <f>IF(C26="NA","NA",VLOOKUP(C26,Leonard2010!F:K,6,FALSE))</f>
        <v>NA</v>
      </c>
      <c r="G26">
        <f>IF(B26="NA","NA",VLOOKUP(B26,Leonard2010!E:H,4,FALSE))</f>
        <v>132</v>
      </c>
      <c r="H26">
        <f>IF(A26="NA","NA",VLOOKUP(A26,Leonard2010!D:J,7,FALSE))</f>
        <v>142</v>
      </c>
      <c r="I26" t="str">
        <f>IF(C26="NA","NA",VLOOKUP(C26,Leonard2010!F:L,7,FALSE))</f>
        <v>NA</v>
      </c>
      <c r="J26">
        <f>IF(A26="NA","NA",VLOOKUP(A26,Leonard2010!D:N,11,FALSE))</f>
        <v>53</v>
      </c>
      <c r="K26" t="s">
        <v>211</v>
      </c>
      <c r="L26">
        <f>VLOOKUP(A26,Leonard2010!D:AJ,32,FALSE)</f>
        <v>33</v>
      </c>
      <c r="M26">
        <f>VLOOKUP($A26,Leonard2010!D:AK,33,FALSE)</f>
        <v>70</v>
      </c>
      <c r="N26">
        <f>VLOOKUP($A26,Leonard2010!D:AL,34,FALSE)</f>
        <v>107</v>
      </c>
      <c r="O26">
        <f t="shared" si="0"/>
        <v>0.88294759285892699</v>
      </c>
      <c r="P26">
        <f t="shared" si="8"/>
        <v>613.54647249655056</v>
      </c>
      <c r="Q26">
        <f>IF(B26="NA","0",VLOOKUP(B26,SectionGeometry!C:E,3,FALSE)*IF(C26="NA",X$277/(X$277+X$276),X$277))</f>
        <v>0.125</v>
      </c>
      <c r="R26">
        <f>Q26*IF(B26="NA",0,((VLOOKUP(B26,SectionGeometry!C:Z,24,FALSE))))</f>
        <v>145513920188162.84</v>
      </c>
      <c r="S26">
        <f>IF(R26=0,0,Q26*3.3*10^10*P26*10^6*(1/O26)*VLOOKUP(B26,SectionGeometry!C:AA,25,FALSE)*10^-3)</f>
        <v>1511843796065521.5</v>
      </c>
      <c r="T26">
        <f t="shared" si="1"/>
        <v>0.94551857559931674</v>
      </c>
      <c r="U26">
        <f>IF(K26="N",E26*35/SIN(RADIANS(J26)),IF(K26="Y",VLOOKUP(A26,Leonard2010!D:U,18,FALSE),IF(C26="NA",VLOOKUP(A26,MSSM_AdaptedSources!B:K,10,FALSE),"CHECK")))</f>
        <v>3203.5890813927035</v>
      </c>
      <c r="V26">
        <f>(1*VLOOKUP(A26,FaultGeometry!B:C,2,FALSE))-Q26-AA26</f>
        <v>0.375</v>
      </c>
      <c r="W26">
        <f>V26*(VLOOKUP(A26,FaultGeometry!B:Y,24,FALSE))</f>
        <v>7839256412042326</v>
      </c>
      <c r="X26">
        <f>V26*3.3*10^10*U26*10^6*(1/T26)*VLOOKUP(A26,FaultGeometry!B:O,14,FALSE)*10^-3</f>
        <v>2.3294711758778812E+16</v>
      </c>
      <c r="Y26" t="str">
        <f t="shared" si="9"/>
        <v>NA</v>
      </c>
      <c r="Z26" t="str">
        <f>IF(C26="NA","NA",VLOOKUP(C26,MSSM_AdaptedSources!B:K,10,FALSE))</f>
        <v>NA</v>
      </c>
      <c r="AA26" t="str">
        <f>IF(C26="NA","0",VLOOKUP(C26,MultiFaultGeometry!B:C,2,FALSE)*IF(B26="NA",X$278/(X$278+X$276),X$278))</f>
        <v>0</v>
      </c>
      <c r="AB26">
        <f>AA26*IF(C26="NA",0,VLOOKUP(C26,MultiFaultGeometry!B:O,14,FALSE))</f>
        <v>0</v>
      </c>
      <c r="AC26">
        <f>IF(AB26=0,0,AA26*3.3*10^10*Z26*10^6*(1/Y26)*VLOOKUP(C26,MultiFaultGeometry!B:G,5,FALSE)*10^-3)</f>
        <v>0</v>
      </c>
      <c r="AE26" s="68">
        <f t="shared" si="3"/>
        <v>0</v>
      </c>
      <c r="AF26" s="68">
        <f t="shared" si="4"/>
        <v>0</v>
      </c>
      <c r="AG26" s="68"/>
    </row>
    <row r="27" spans="1:33" x14ac:dyDescent="0.2">
      <c r="A27" s="68" t="str">
        <f>Leonard2010!D29</f>
        <v>Thyolo-2</v>
      </c>
      <c r="B27" s="68" t="str">
        <f>Leonard2010!E29</f>
        <v>Kalulu-2</v>
      </c>
      <c r="C27" s="68" t="str">
        <f>Leonard2010!F29</f>
        <v>NA</v>
      </c>
      <c r="D27">
        <f>IF(B27="NA","NA",VLOOKUP(B27,Leonard2010!E:H,3,FALSE))</f>
        <v>26.7</v>
      </c>
      <c r="E27">
        <f>IF(A27="NA","NA",VLOOKUP(A27,Leonard2010!D:I,6,FALSE))</f>
        <v>73.099999999999994</v>
      </c>
      <c r="F27" t="str">
        <f>IF(C27="NA","NA",VLOOKUP(C27,Leonard2010!F:K,6,FALSE))</f>
        <v>NA</v>
      </c>
      <c r="G27">
        <f>IF(B27="NA","NA",VLOOKUP(B27,Leonard2010!E:H,4,FALSE))</f>
        <v>134</v>
      </c>
      <c r="H27">
        <f>IF(A27="NA","NA",VLOOKUP(A27,Leonard2010!D:J,7,FALSE))</f>
        <v>142</v>
      </c>
      <c r="I27" t="str">
        <f>IF(C27="NA","NA",VLOOKUP(C27,Leonard2010!F:L,7,FALSE))</f>
        <v>NA</v>
      </c>
      <c r="J27">
        <f>IF(A27="NA","NA",VLOOKUP(A27,Leonard2010!D:N,11,FALSE))</f>
        <v>53</v>
      </c>
      <c r="K27" t="s">
        <v>211</v>
      </c>
      <c r="L27">
        <f>VLOOKUP(A27,Leonard2010!D:AJ,32,FALSE)</f>
        <v>33</v>
      </c>
      <c r="M27">
        <f>VLOOKUP($A27,Leonard2010!D:AK,33,FALSE)</f>
        <v>70</v>
      </c>
      <c r="N27">
        <f>VLOOKUP($A27,Leonard2010!D:AL,34,FALSE)</f>
        <v>107</v>
      </c>
      <c r="O27">
        <f t="shared" si="0"/>
        <v>0.89879404629916704</v>
      </c>
      <c r="P27">
        <f t="shared" si="8"/>
        <v>1170.1207725469928</v>
      </c>
      <c r="Q27">
        <f>IF(B27="NA","0",VLOOKUP(B27,SectionGeometry!C:E,3,FALSE)*IF(C27="NA",X$277/(X$277+X$276),X$277))</f>
        <v>0.125</v>
      </c>
      <c r="R27">
        <f>Q27*IF(B27="NA",0,((VLOOKUP(B27,SectionGeometry!C:Z,24,FALSE))))</f>
        <v>433704423252789.94</v>
      </c>
      <c r="S27">
        <f>IF(R27=0,0,Q27*3.3*10^10*P27*10^6*(1/O27)*VLOOKUP(B27,SectionGeometry!C:AA,25,FALSE)*10^-3)</f>
        <v>2854067936609479.5</v>
      </c>
      <c r="T27">
        <f t="shared" si="1"/>
        <v>0.94551857559931674</v>
      </c>
      <c r="U27">
        <f>IF(K27="N",E27*35/SIN(RADIANS(J27)),IF(K27="Y",VLOOKUP(A27,Leonard2010!D:U,18,FALSE),IF(C27="NA",VLOOKUP(A27,MSSM_AdaptedSources!B:K,10,FALSE),"CHECK")))</f>
        <v>3203.5890813927035</v>
      </c>
      <c r="V27">
        <f>(1*VLOOKUP(A27,FaultGeometry!B:C,2,FALSE))-Q27-AA27</f>
        <v>0.375</v>
      </c>
      <c r="W27">
        <f>V27*(VLOOKUP(A27,FaultGeometry!B:Y,24,FALSE))</f>
        <v>7839256412042326</v>
      </c>
      <c r="X27">
        <f>V27*3.3*10^10*U27*10^6*(1/T27)*VLOOKUP(A27,FaultGeometry!B:O,14,FALSE)*10^-3</f>
        <v>2.3294711758778812E+16</v>
      </c>
      <c r="Y27" t="str">
        <f t="shared" si="9"/>
        <v>NA</v>
      </c>
      <c r="Z27" t="str">
        <f>IF(C27="NA","NA",VLOOKUP(C27,MSSM_AdaptedSources!B:K,10,FALSE))</f>
        <v>NA</v>
      </c>
      <c r="AA27" t="str">
        <f>IF(C27="NA","0",VLOOKUP(C27,MultiFaultGeometry!B:C,2,FALSE)*IF(B27="NA",X$278/(X$278+X$276),X$278))</f>
        <v>0</v>
      </c>
      <c r="AB27">
        <f>AA27*IF(C27="NA",0,VLOOKUP(C27,MultiFaultGeometry!B:O,14,FALSE))</f>
        <v>0</v>
      </c>
      <c r="AC27">
        <f>IF(AB27=0,0,AA27*3.3*10^10*Z27*10^6*(1/Y27)*VLOOKUP(C27,MultiFaultGeometry!B:G,5,FALSE)*10^-3)</f>
        <v>0</v>
      </c>
      <c r="AE27" s="68">
        <f t="shared" si="3"/>
        <v>7839256412042326</v>
      </c>
      <c r="AF27" s="68">
        <f t="shared" si="4"/>
        <v>2.3294711758778812E+16</v>
      </c>
      <c r="AG27" s="68"/>
    </row>
    <row r="28" spans="1:33" x14ac:dyDescent="0.2">
      <c r="A28" s="68" t="str">
        <f>Leonard2010!D30</f>
        <v>Zomba</v>
      </c>
      <c r="B28" s="68" t="str">
        <f>Leonard2010!E30</f>
        <v>Zomba South</v>
      </c>
      <c r="C28" s="68" t="str">
        <f>Leonard2010!F30</f>
        <v>NA</v>
      </c>
      <c r="D28">
        <f>IF(B28="NA","NA",VLOOKUP(B28,Leonard2010!E:H,3,FALSE))</f>
        <v>27.5</v>
      </c>
      <c r="E28">
        <f>IF(A28="NA","NA",VLOOKUP(A28,Leonard2010!D:I,6,FALSE))</f>
        <v>70.400000000000006</v>
      </c>
      <c r="F28" t="str">
        <f>IF(C28="NA","NA",VLOOKUP(C28,Leonard2010!F:K,6,FALSE))</f>
        <v>NA</v>
      </c>
      <c r="G28">
        <f>IF(B28="NA","NA",VLOOKUP(B28,Leonard2010!E:H,4,FALSE))</f>
        <v>202</v>
      </c>
      <c r="H28">
        <f>IF(A28="NA","NA",VLOOKUP(A28,Leonard2010!D:J,7,FALSE))</f>
        <v>205</v>
      </c>
      <c r="I28" t="str">
        <f>IF(C28="NA","NA",VLOOKUP(C28,Leonard2010!F:L,7,FALSE))</f>
        <v>NA</v>
      </c>
      <c r="J28">
        <f>IF(A28="NA","NA",VLOOKUP(A28,Leonard2010!D:N,11,FALSE))</f>
        <v>53</v>
      </c>
      <c r="K28" t="s">
        <v>211</v>
      </c>
      <c r="L28">
        <f>VLOOKUP(A28,Leonard2010!D:AJ,32,FALSE)</f>
        <v>39</v>
      </c>
      <c r="M28">
        <f>VLOOKUP($A28,Leonard2010!D:AK,33,FALSE)</f>
        <v>71</v>
      </c>
      <c r="N28">
        <f>VLOOKUP($A28,Leonard2010!D:AL,34,FALSE)</f>
        <v>103</v>
      </c>
      <c r="O28">
        <f t="shared" si="0"/>
        <v>0.75470958022277213</v>
      </c>
      <c r="P28">
        <f t="shared" si="8"/>
        <v>1205.1805709753671</v>
      </c>
      <c r="Q28">
        <f>IF(B28="NA","0",VLOOKUP(B28,SectionGeometry!C:E,3,FALSE)*IF(C28="NA",X$277/(X$277+X$276),X$277))</f>
        <v>0.25</v>
      </c>
      <c r="R28">
        <f>Q28*IF(B28="NA",0,((VLOOKUP(B28,SectionGeometry!C:Z,24,FALSE))))</f>
        <v>1888501346950934.2</v>
      </c>
      <c r="S28">
        <f>IF(R28=0,0,Q28*3.3*10^10*P28*10^6*(1/O28)*VLOOKUP(B28,SectionGeometry!C:AA,25,FALSE)*10^-3)</f>
        <v>7283308530671177</v>
      </c>
      <c r="T28">
        <f t="shared" si="1"/>
        <v>0.71933980033865108</v>
      </c>
      <c r="U28">
        <f>IF(K28="N",E28*35/SIN(RADIANS(J28)),IF(K28="Y",VLOOKUP(A28,Leonard2010!D:U,18,FALSE),IF(C28="NA",VLOOKUP(A28,MSSM_AdaptedSources!B:K,10,FALSE),"CHECK")))</f>
        <v>3085.2622616969402</v>
      </c>
      <c r="V28">
        <f>(1*VLOOKUP(A28,FaultGeometry!B:C,2,FALSE))-Q28-AA28</f>
        <v>0.75</v>
      </c>
      <c r="W28">
        <f>V28*(VLOOKUP(A28,FaultGeometry!B:Y,24,FALSE))</f>
        <v>2.7417661982509368E+16</v>
      </c>
      <c r="X28">
        <f>V28*3.3*10^10*U28*10^6*(1/T28)*VLOOKUP(A28,FaultGeometry!B:O,14,FALSE)*10^-3</f>
        <v>5.6446967456482096E+16</v>
      </c>
      <c r="Y28" t="str">
        <f t="shared" si="9"/>
        <v>NA</v>
      </c>
      <c r="Z28" t="str">
        <f>IF(C28="NA","NA",VLOOKUP(C28,MSSM_AdaptedSources!B:K,10,FALSE))</f>
        <v>NA</v>
      </c>
      <c r="AA28" t="str">
        <f>IF(C28="NA","0",VLOOKUP(C28,MultiFaultGeometry!B:C,2,FALSE)*IF(B28="NA",X$278/(X$278+X$276),X$278))</f>
        <v>0</v>
      </c>
      <c r="AB28">
        <f>AA28*IF(C28="NA",0,VLOOKUP(C28,MultiFaultGeometry!B:O,14,FALSE))</f>
        <v>0</v>
      </c>
      <c r="AC28">
        <f>IF(AB28=0,0,AA28*3.3*10^10*Z28*10^6*(1/Y28)*VLOOKUP(C28,MultiFaultGeometry!B:G,5,FALSE)*10^-3)</f>
        <v>0</v>
      </c>
      <c r="AE28" s="68">
        <f t="shared" si="3"/>
        <v>0</v>
      </c>
      <c r="AF28" s="68">
        <f t="shared" si="4"/>
        <v>0</v>
      </c>
      <c r="AG28" s="68"/>
    </row>
    <row r="29" spans="1:33" x14ac:dyDescent="0.2">
      <c r="A29" s="68" t="str">
        <f>Leonard2010!D31</f>
        <v>Zomba</v>
      </c>
      <c r="B29" s="68" t="str">
        <f>Leonard2010!E31</f>
        <v>Chingale Stream</v>
      </c>
      <c r="C29" s="68" t="str">
        <f>Leonard2010!F31</f>
        <v>NA</v>
      </c>
      <c r="D29">
        <f>IF(B29="NA","NA",VLOOKUP(B29,Leonard2010!E:H,3,FALSE))</f>
        <v>13</v>
      </c>
      <c r="E29">
        <f>IF(A29="NA","NA",VLOOKUP(A29,Leonard2010!D:I,6,FALSE))</f>
        <v>70.400000000000006</v>
      </c>
      <c r="F29" t="str">
        <f>IF(C29="NA","NA",VLOOKUP(C29,Leonard2010!F:K,6,FALSE))</f>
        <v>NA</v>
      </c>
      <c r="G29">
        <f>IF(B29="NA","NA",VLOOKUP(B29,Leonard2010!E:H,4,FALSE))</f>
        <v>206</v>
      </c>
      <c r="H29">
        <f>IF(A29="NA","NA",VLOOKUP(A29,Leonard2010!D:J,7,FALSE))</f>
        <v>205</v>
      </c>
      <c r="I29" t="str">
        <f>IF(C29="NA","NA",VLOOKUP(C29,Leonard2010!F:L,7,FALSE))</f>
        <v>NA</v>
      </c>
      <c r="J29">
        <f>IF(A29="NA","NA",VLOOKUP(A29,Leonard2010!D:N,11,FALSE))</f>
        <v>53</v>
      </c>
      <c r="K29" t="s">
        <v>211</v>
      </c>
      <c r="L29">
        <f>VLOOKUP(A29,Leonard2010!D:AJ,32,FALSE)</f>
        <v>39</v>
      </c>
      <c r="M29">
        <f>VLOOKUP($A29,Leonard2010!D:AK,33,FALSE)</f>
        <v>71</v>
      </c>
      <c r="N29">
        <f>VLOOKUP($A29,Leonard2010!D:AL,34,FALSE)</f>
        <v>103</v>
      </c>
      <c r="O29">
        <f t="shared" si="0"/>
        <v>0.70710678118654768</v>
      </c>
      <c r="P29">
        <f t="shared" si="8"/>
        <v>569.72172446108266</v>
      </c>
      <c r="Q29">
        <f>IF(B29="NA","0",VLOOKUP(B29,SectionGeometry!C:E,3,FALSE)*IF(C29="NA",X$277/(X$277+X$276),X$277))</f>
        <v>0.25</v>
      </c>
      <c r="R29">
        <f>Q29*IF(B29="NA",0,((VLOOKUP(B29,SectionGeometry!C:Z,24,FALSE))))</f>
        <v>510791752224778.31</v>
      </c>
      <c r="S29">
        <f>IF(R29=0,0,Q29*3.3*10^10*P29*10^6*(1/O29)*VLOOKUP(B29,SectionGeometry!C:AA,25,FALSE)*10^-3)</f>
        <v>3509049135878142</v>
      </c>
      <c r="T29">
        <f t="shared" si="1"/>
        <v>0.71933980033865108</v>
      </c>
      <c r="U29">
        <f>IF(K29="N",E29*35/SIN(RADIANS(J29)),IF(K29="Y",VLOOKUP(A29,Leonard2010!D:U,18,FALSE),IF(C29="NA",VLOOKUP(A29,MSSM_AdaptedSources!B:K,10,FALSE),"CHECK")))</f>
        <v>3085.2622616969402</v>
      </c>
      <c r="V29">
        <f>(1*VLOOKUP(A29,FaultGeometry!B:C,2,FALSE))-Q29-AA29</f>
        <v>0.75</v>
      </c>
      <c r="W29">
        <f>V29*(VLOOKUP(A29,FaultGeometry!B:Y,24,FALSE))</f>
        <v>2.7417661982509368E+16</v>
      </c>
      <c r="X29">
        <f>V29*3.3*10^10*U29*10^6*(1/T29)*VLOOKUP(A29,FaultGeometry!B:O,14,FALSE)*10^-3</f>
        <v>5.6446967456482096E+16</v>
      </c>
      <c r="Y29" t="str">
        <f t="shared" si="9"/>
        <v>NA</v>
      </c>
      <c r="Z29" t="str">
        <f>IF(C29="NA","NA",VLOOKUP(C29,MSSM_AdaptedSources!B:K,10,FALSE))</f>
        <v>NA</v>
      </c>
      <c r="AA29" t="str">
        <f>IF(C29="NA","0",VLOOKUP(C29,MultiFaultGeometry!B:C,2,FALSE)*IF(B29="NA",X$278/(X$278+X$276),X$278))</f>
        <v>0</v>
      </c>
      <c r="AB29">
        <f>AA29*IF(C29="NA",0,VLOOKUP(C29,MultiFaultGeometry!B:O,14,FALSE))</f>
        <v>0</v>
      </c>
      <c r="AC29">
        <f>IF(AB29=0,0,AA29*3.3*10^10*Z29*10^6*(1/Y29)*VLOOKUP(C29,MultiFaultGeometry!B:G,5,FALSE)*10^-3)</f>
        <v>0</v>
      </c>
      <c r="AE29" s="68">
        <f t="shared" si="3"/>
        <v>0</v>
      </c>
      <c r="AF29" s="68">
        <f t="shared" si="4"/>
        <v>0</v>
      </c>
      <c r="AG29" s="68"/>
    </row>
    <row r="30" spans="1:33" x14ac:dyDescent="0.2">
      <c r="A30" s="68" t="str">
        <f>Leonard2010!D32</f>
        <v>Zomba</v>
      </c>
      <c r="B30" s="68" t="str">
        <f>Leonard2010!E32</f>
        <v>Mwinje</v>
      </c>
      <c r="C30" s="68" t="str">
        <f>Leonard2010!F32</f>
        <v>NA</v>
      </c>
      <c r="D30">
        <f>IF(B30="NA","NA",VLOOKUP(B30,Leonard2010!E:H,3,FALSE))</f>
        <v>8</v>
      </c>
      <c r="E30">
        <f>IF(A30="NA","NA",VLOOKUP(A30,Leonard2010!D:I,6,FALSE))</f>
        <v>70.400000000000006</v>
      </c>
      <c r="F30" t="str">
        <f>IF(C30="NA","NA",VLOOKUP(C30,Leonard2010!F:K,6,FALSE))</f>
        <v>NA</v>
      </c>
      <c r="G30">
        <f>IF(B30="NA","NA",VLOOKUP(B30,Leonard2010!E:H,4,FALSE))</f>
        <v>208</v>
      </c>
      <c r="H30">
        <f>IF(A30="NA","NA",VLOOKUP(A30,Leonard2010!D:J,7,FALSE))</f>
        <v>205</v>
      </c>
      <c r="I30" t="str">
        <f>IF(C30="NA","NA",VLOOKUP(C30,Leonard2010!F:L,7,FALSE))</f>
        <v>NA</v>
      </c>
      <c r="J30">
        <f>IF(A30="NA","NA",VLOOKUP(A30,Leonard2010!D:N,11,FALSE))</f>
        <v>53</v>
      </c>
      <c r="K30" t="s">
        <v>211</v>
      </c>
      <c r="L30">
        <f>VLOOKUP(A30,Leonard2010!D:AJ,32,FALSE)</f>
        <v>39</v>
      </c>
      <c r="M30">
        <f>VLOOKUP($A30,Leonard2010!D:AK,33,FALSE)</f>
        <v>71</v>
      </c>
      <c r="N30">
        <f>VLOOKUP($A30,Leonard2010!D:AL,34,FALSE)</f>
        <v>103</v>
      </c>
      <c r="O30">
        <f t="shared" si="0"/>
        <v>0.68199836006249859</v>
      </c>
      <c r="P30">
        <f t="shared" si="8"/>
        <v>350.59798428374319</v>
      </c>
      <c r="Q30">
        <f>IF(B30="NA","0",VLOOKUP(B30,SectionGeometry!C:E,3,FALSE)*IF(C30="NA",X$277/(X$277+X$276),X$277))</f>
        <v>0.25</v>
      </c>
      <c r="R30">
        <f>Q30*IF(B30="NA",0,((VLOOKUP(B30,SectionGeometry!C:Z,24,FALSE))))</f>
        <v>222922650419650.16</v>
      </c>
      <c r="S30">
        <f>IF(R30=0,0,Q30*3.3*10^10*P30*10^6*(1/O30)*VLOOKUP(B30,SectionGeometry!C:AA,25,FALSE)*10^-3)</f>
        <v>2178062525134454.5</v>
      </c>
      <c r="T30">
        <f t="shared" si="1"/>
        <v>0.71933980033865108</v>
      </c>
      <c r="U30">
        <f>IF(K30="N",E30*35/SIN(RADIANS(J30)),IF(K30="Y",VLOOKUP(A30,Leonard2010!D:U,18,FALSE),IF(C30="NA",VLOOKUP(A30,MSSM_AdaptedSources!B:K,10,FALSE),"CHECK")))</f>
        <v>3085.2622616969402</v>
      </c>
      <c r="V30">
        <f>(1*VLOOKUP(A30,FaultGeometry!B:C,2,FALSE))-Q30-AA30</f>
        <v>0.75</v>
      </c>
      <c r="W30">
        <f>V30*(VLOOKUP(A30,FaultGeometry!B:Y,24,FALSE))</f>
        <v>2.7417661982509368E+16</v>
      </c>
      <c r="X30">
        <f>V30*3.3*10^10*U30*10^6*(1/T30)*VLOOKUP(A30,FaultGeometry!B:O,14,FALSE)*10^-3</f>
        <v>5.6446967456482096E+16</v>
      </c>
      <c r="Y30" t="str">
        <f t="shared" si="9"/>
        <v>NA</v>
      </c>
      <c r="Z30" t="str">
        <f>IF(C30="NA","NA",VLOOKUP(C30,MSSM_AdaptedSources!B:K,10,FALSE))</f>
        <v>NA</v>
      </c>
      <c r="AA30" t="str">
        <f>IF(C30="NA","0",VLOOKUP(C30,MultiFaultGeometry!B:C,2,FALSE)*IF(B30="NA",X$278/(X$278+X$276),X$278))</f>
        <v>0</v>
      </c>
      <c r="AB30">
        <f>AA30*IF(C30="NA",0,VLOOKUP(C30,MultiFaultGeometry!B:O,14,FALSE))</f>
        <v>0</v>
      </c>
      <c r="AC30">
        <f>IF(AB30=0,0,AA30*3.3*10^10*Z30*10^6*(1/Y30)*VLOOKUP(C30,MultiFaultGeometry!B:G,5,FALSE)*10^-3)</f>
        <v>0</v>
      </c>
      <c r="AE30" s="68">
        <f t="shared" si="3"/>
        <v>0</v>
      </c>
      <c r="AF30" s="68">
        <f t="shared" si="4"/>
        <v>0</v>
      </c>
      <c r="AG30" s="68"/>
    </row>
    <row r="31" spans="1:33" x14ac:dyDescent="0.2">
      <c r="A31" s="68" t="str">
        <f>Leonard2010!D33</f>
        <v>Zomba</v>
      </c>
      <c r="B31" s="68" t="str">
        <f>Leonard2010!E33</f>
        <v>Zomba North</v>
      </c>
      <c r="C31" s="68" t="str">
        <f>Leonard2010!F33</f>
        <v>NA</v>
      </c>
      <c r="D31">
        <f>IF(B31="NA","NA",VLOOKUP(B31,Leonard2010!E:H,3,FALSE))</f>
        <v>21.9</v>
      </c>
      <c r="E31">
        <f>IF(A31="NA","NA",VLOOKUP(A31,Leonard2010!D:I,6,FALSE))</f>
        <v>70.400000000000006</v>
      </c>
      <c r="F31" t="str">
        <f>IF(C31="NA","NA",VLOOKUP(C31,Leonard2010!F:K,6,FALSE))</f>
        <v>NA</v>
      </c>
      <c r="G31">
        <f>IF(B31="NA","NA",VLOOKUP(B31,Leonard2010!E:H,4,FALSE))</f>
        <v>205</v>
      </c>
      <c r="H31">
        <f>IF(A31="NA","NA",VLOOKUP(A31,Leonard2010!D:J,7,FALSE))</f>
        <v>205</v>
      </c>
      <c r="I31" t="str">
        <f>IF(C31="NA","NA",VLOOKUP(C31,Leonard2010!F:L,7,FALSE))</f>
        <v>NA</v>
      </c>
      <c r="J31">
        <f>IF(A31="NA","NA",VLOOKUP(A31,Leonard2010!D:N,11,FALSE))</f>
        <v>53</v>
      </c>
      <c r="K31" t="s">
        <v>211</v>
      </c>
      <c r="L31">
        <f>VLOOKUP(A31,Leonard2010!D:AJ,32,FALSE)</f>
        <v>39</v>
      </c>
      <c r="M31">
        <f>VLOOKUP($A31,Leonard2010!D:AK,33,FALSE)</f>
        <v>71</v>
      </c>
      <c r="N31">
        <f>VLOOKUP($A31,Leonard2010!D:AL,34,FALSE)</f>
        <v>103</v>
      </c>
      <c r="O31">
        <f t="shared" si="0"/>
        <v>0.71933980033865108</v>
      </c>
      <c r="P31">
        <f t="shared" si="8"/>
        <v>959.76198197674694</v>
      </c>
      <c r="Q31">
        <f>IF(B31="NA","0",VLOOKUP(B31,SectionGeometry!C:E,3,FALSE)*IF(C31="NA",X$277/(X$277+X$276),X$277))</f>
        <v>0.25</v>
      </c>
      <c r="R31">
        <f>Q31*IF(B31="NA",0,((VLOOKUP(B31,SectionGeometry!C:Z,24,FALSE))))</f>
        <v>1234563833226838.8</v>
      </c>
      <c r="S31">
        <f>IF(R31=0,0,Q31*3.3*10^10*P31*10^6*(1/O31)*VLOOKUP(B31,SectionGeometry!C:AA,25,FALSE)*10^-3)</f>
        <v>5882362796097311</v>
      </c>
      <c r="T31">
        <f t="shared" si="1"/>
        <v>0.71933980033865108</v>
      </c>
      <c r="U31">
        <f>IF(K31="N",E31*35/SIN(RADIANS(J31)),IF(K31="Y",VLOOKUP(A31,Leonard2010!D:U,18,FALSE),IF(C31="NA",VLOOKUP(A31,MSSM_AdaptedSources!B:K,10,FALSE),"CHECK")))</f>
        <v>3085.2622616969402</v>
      </c>
      <c r="V31">
        <f>(1*VLOOKUP(A31,FaultGeometry!B:C,2,FALSE))-Q31-AA31</f>
        <v>0.75</v>
      </c>
      <c r="W31">
        <f>V31*(VLOOKUP(A31,FaultGeometry!B:Y,24,FALSE))</f>
        <v>2.7417661982509368E+16</v>
      </c>
      <c r="X31">
        <f>V31*3.3*10^10*U31*10^6*(1/T31)*VLOOKUP(A31,FaultGeometry!B:O,14,FALSE)*10^-3</f>
        <v>5.6446967456482096E+16</v>
      </c>
      <c r="Y31" t="str">
        <f t="shared" si="9"/>
        <v>NA</v>
      </c>
      <c r="Z31" t="str">
        <f>IF(C31="NA","NA",VLOOKUP(C31,MSSM_AdaptedSources!B:K,10,FALSE))</f>
        <v>NA</v>
      </c>
      <c r="AA31" t="str">
        <f>IF(C31="NA","0",VLOOKUP(C31,MultiFaultGeometry!B:C,2,FALSE)*IF(B31="NA",X$278/(X$278+X$276),X$278))</f>
        <v>0</v>
      </c>
      <c r="AB31">
        <f>AA31*IF(C31="NA",0,VLOOKUP(C31,MultiFaultGeometry!B:O,14,FALSE))</f>
        <v>0</v>
      </c>
      <c r="AC31">
        <f>IF(AB31=0,0,AA31*3.3*10^10*Z31*10^6*(1/Y31)*VLOOKUP(C31,MultiFaultGeometry!B:G,5,FALSE)*10^-3)</f>
        <v>0</v>
      </c>
      <c r="AE31" s="68">
        <f t="shared" si="3"/>
        <v>2.7417661982509368E+16</v>
      </c>
      <c r="AF31" s="68">
        <f t="shared" si="4"/>
        <v>5.6446967456482096E+16</v>
      </c>
      <c r="AG31" s="68"/>
    </row>
    <row r="32" spans="1:33" x14ac:dyDescent="0.2">
      <c r="A32" s="68" t="str">
        <f>Leonard2010!D34</f>
        <v>Chingale Step</v>
      </c>
      <c r="B32" s="68" t="str">
        <f>Leonard2010!E34</f>
        <v>Chingale Step South</v>
      </c>
      <c r="C32" s="68" t="str">
        <f>Leonard2010!F34</f>
        <v>NA</v>
      </c>
      <c r="D32">
        <f>IF(B32="NA","NA",VLOOKUP(B32,Leonard2010!E:H,3,FALSE))</f>
        <v>39.4</v>
      </c>
      <c r="E32">
        <f>IF(A32="NA","NA",VLOOKUP(A32,Leonard2010!D:I,6,FALSE))</f>
        <v>80</v>
      </c>
      <c r="F32" t="str">
        <f>IF(C32="NA","NA",VLOOKUP(C32,Leonard2010!F:K,6,FALSE))</f>
        <v>NA</v>
      </c>
      <c r="G32">
        <f>IF(B32="NA","NA",VLOOKUP(B32,Leonard2010!E:H,4,FALSE))</f>
        <v>213</v>
      </c>
      <c r="H32">
        <f>IF(A32="NA","NA",VLOOKUP(A32,Leonard2010!D:J,7,FALSE))</f>
        <v>205</v>
      </c>
      <c r="I32" t="str">
        <f>IF(C32="NA","NA",VLOOKUP(C32,Leonard2010!F:L,7,FALSE))</f>
        <v>NA</v>
      </c>
      <c r="J32">
        <f>IF(A32="NA","NA",VLOOKUP(A32,Leonard2010!D:N,11,FALSE))</f>
        <v>53</v>
      </c>
      <c r="K32" t="s">
        <v>211</v>
      </c>
      <c r="L32">
        <f>VLOOKUP(A32,Leonard2010!D:AJ,32,FALSE)</f>
        <v>39</v>
      </c>
      <c r="M32">
        <f>VLOOKUP($A32,Leonard2010!D:AK,33,FALSE)</f>
        <v>71</v>
      </c>
      <c r="N32">
        <f>VLOOKUP($A32,Leonard2010!D:AL,34,FALSE)</f>
        <v>103</v>
      </c>
      <c r="O32">
        <f t="shared" si="0"/>
        <v>0.61566147532565807</v>
      </c>
      <c r="P32">
        <f t="shared" si="8"/>
        <v>1726.6950725974352</v>
      </c>
      <c r="Q32">
        <f>IF(B32="NA","0",VLOOKUP(B32,SectionGeometry!C:E,3,FALSE)*IF(C32="NA",X$277/(X$277+X$276),X$277))</f>
        <v>0.25</v>
      </c>
      <c r="R32">
        <f>Q32*IF(B32="NA",0,((VLOOKUP(B32,SectionGeometry!C:Z,24,FALSE))))</f>
        <v>233508718033013.5</v>
      </c>
      <c r="S32">
        <f>IF(R32=0,0,Q32*3.3*10^10*P32*10^6*(1/O32)*VLOOKUP(B32,SectionGeometry!C:AA,25,FALSE)*10^-3)</f>
        <v>862718182060007.12</v>
      </c>
      <c r="T32">
        <f t="shared" si="1"/>
        <v>0.71933980033865108</v>
      </c>
      <c r="U32">
        <f>IF(K32="N",E32*35/SIN(RADIANS(J32)),IF(K32="Y",VLOOKUP(A32,Leonard2010!D:U,18,FALSE),IF(C32="NA",VLOOKUP(A32,MSSM_AdaptedSources!B:K,10,FALSE),"CHECK")))</f>
        <v>3505.979842837432</v>
      </c>
      <c r="V32">
        <f>(1*VLOOKUP(A32,FaultGeometry!B:C,2,FALSE))-Q32-AA32</f>
        <v>0.75</v>
      </c>
      <c r="W32">
        <f>V32*(VLOOKUP(A32,FaultGeometry!B:Y,24,FALSE))</f>
        <v>2601692944206362</v>
      </c>
      <c r="X32">
        <f>V32*3.3*10^10*U32*10^6*(1/T32)*VLOOKUP(A32,FaultGeometry!B:O,14,FALSE)*10^-3</f>
        <v>4857362229628456</v>
      </c>
      <c r="Y32" t="str">
        <f t="shared" si="9"/>
        <v>NA</v>
      </c>
      <c r="Z32" t="str">
        <f>IF(C32="NA","NA",VLOOKUP(C32,MSSM_AdaptedSources!B:K,10,FALSE))</f>
        <v>NA</v>
      </c>
      <c r="AA32" t="str">
        <f>IF(C32="NA","0",VLOOKUP(C32,MultiFaultGeometry!B:C,2,FALSE)*IF(B32="NA",X$278/(X$278+X$276),X$278))</f>
        <v>0</v>
      </c>
      <c r="AB32">
        <f>AA32*IF(C32="NA",0,VLOOKUP(C32,MultiFaultGeometry!B:O,14,FALSE))</f>
        <v>0</v>
      </c>
      <c r="AC32">
        <f>IF(AB32=0,0,AA32*3.3*10^10*Z32*10^6*(1/Y32)*VLOOKUP(C32,MultiFaultGeometry!B:G,5,FALSE)*10^-3)</f>
        <v>0</v>
      </c>
      <c r="AE32" s="68">
        <f t="shared" si="3"/>
        <v>0</v>
      </c>
      <c r="AF32" s="68">
        <f t="shared" si="4"/>
        <v>0</v>
      </c>
      <c r="AG32" s="68"/>
    </row>
    <row r="33" spans="1:33" x14ac:dyDescent="0.2">
      <c r="A33" s="68" t="str">
        <f>Leonard2010!D35</f>
        <v>Chingale Step</v>
      </c>
      <c r="B33" s="68" t="str">
        <f>Leonard2010!E35</f>
        <v>Lintipe River</v>
      </c>
      <c r="C33" s="68" t="str">
        <f>Leonard2010!F35</f>
        <v>NA</v>
      </c>
      <c r="D33">
        <f>IF(B33="NA","NA",VLOOKUP(B33,Leonard2010!E:H,3,FALSE))</f>
        <v>9.6</v>
      </c>
      <c r="E33">
        <f>IF(A33="NA","NA",VLOOKUP(A33,Leonard2010!D:I,6,FALSE))</f>
        <v>80</v>
      </c>
      <c r="F33" t="str">
        <f>IF(C33="NA","NA",VLOOKUP(C33,Leonard2010!F:K,6,FALSE))</f>
        <v>NA</v>
      </c>
      <c r="G33">
        <f>IF(B33="NA","NA",VLOOKUP(B33,Leonard2010!E:H,4,FALSE))</f>
        <v>192</v>
      </c>
      <c r="H33">
        <f>IF(A33="NA","NA",VLOOKUP(A33,Leonard2010!D:J,7,FALSE))</f>
        <v>205</v>
      </c>
      <c r="I33" t="str">
        <f>IF(C33="NA","NA",VLOOKUP(C33,Leonard2010!F:L,7,FALSE))</f>
        <v>NA</v>
      </c>
      <c r="J33">
        <f>IF(A33="NA","NA",VLOOKUP(A33,Leonard2010!D:N,11,FALSE))</f>
        <v>53</v>
      </c>
      <c r="K33" t="s">
        <v>211</v>
      </c>
      <c r="L33">
        <f>VLOOKUP(A33,Leonard2010!D:AJ,32,FALSE)</f>
        <v>39</v>
      </c>
      <c r="M33">
        <f>VLOOKUP($A33,Leonard2010!D:AK,33,FALSE)</f>
        <v>71</v>
      </c>
      <c r="N33">
        <f>VLOOKUP($A33,Leonard2010!D:AL,34,FALSE)</f>
        <v>103</v>
      </c>
      <c r="O33">
        <f t="shared" si="0"/>
        <v>0.85716730070211233</v>
      </c>
      <c r="P33">
        <f t="shared" si="8"/>
        <v>420.7175811404918</v>
      </c>
      <c r="Q33">
        <f>IF(B33="NA","0",VLOOKUP(B33,SectionGeometry!C:E,3,FALSE)*IF(C33="NA",X$277/(X$277+X$276),X$277))</f>
        <v>0.25</v>
      </c>
      <c r="R33">
        <f>Q33*IF(B33="NA",0,((VLOOKUP(B33,SectionGeometry!C:Z,24,FALSE))))</f>
        <v>28458647928849.734</v>
      </c>
      <c r="S33">
        <f>IF(R33=0,0,Q33*3.3*10^10*P33*10^6*(1/O33)*VLOOKUP(B33,SectionGeometry!C:AA,25,FALSE)*10^-3)</f>
        <v>192978866932397.78</v>
      </c>
      <c r="T33">
        <f t="shared" si="1"/>
        <v>0.71933980033865108</v>
      </c>
      <c r="U33">
        <f>IF(K33="N",E33*35/SIN(RADIANS(J33)),IF(K33="Y",VLOOKUP(A33,Leonard2010!D:U,18,FALSE),IF(C33="NA",VLOOKUP(A33,MSSM_AdaptedSources!B:K,10,FALSE),"CHECK")))</f>
        <v>3505.979842837432</v>
      </c>
      <c r="V33">
        <f>(1*VLOOKUP(A33,FaultGeometry!B:C,2,FALSE))-Q33-AA33</f>
        <v>0.75</v>
      </c>
      <c r="W33">
        <f>V33*(VLOOKUP(A33,FaultGeometry!B:Y,24,FALSE))</f>
        <v>2601692944206362</v>
      </c>
      <c r="X33">
        <f>V33*3.3*10^10*U33*10^6*(1/T33)*VLOOKUP(A33,FaultGeometry!B:O,14,FALSE)*10^-3</f>
        <v>4857362229628456</v>
      </c>
      <c r="Y33" t="str">
        <f t="shared" si="9"/>
        <v>NA</v>
      </c>
      <c r="Z33" t="str">
        <f>IF(C33="NA","NA",VLOOKUP(C33,MSSM_AdaptedSources!B:K,10,FALSE))</f>
        <v>NA</v>
      </c>
      <c r="AA33" t="str">
        <f>IF(C33="NA","0",VLOOKUP(C33,MultiFaultGeometry!B:C,2,FALSE)*IF(B33="NA",X$278/(X$278+X$276),X$278))</f>
        <v>0</v>
      </c>
      <c r="AB33">
        <f>AA33*IF(C33="NA",0,VLOOKUP(C33,MultiFaultGeometry!B:O,14,FALSE))</f>
        <v>0</v>
      </c>
      <c r="AC33">
        <f>IF(AB33=0,0,AA33*3.3*10^10*Z33*10^6*(1/Y33)*VLOOKUP(C33,MultiFaultGeometry!B:G,5,FALSE)*10^-3)</f>
        <v>0</v>
      </c>
      <c r="AE33" s="68">
        <f t="shared" si="3"/>
        <v>0</v>
      </c>
      <c r="AF33" s="68">
        <f t="shared" si="4"/>
        <v>0</v>
      </c>
      <c r="AG33" s="68"/>
    </row>
    <row r="34" spans="1:33" x14ac:dyDescent="0.2">
      <c r="A34" s="68" t="str">
        <f>Leonard2010!D36</f>
        <v>Chingale Step</v>
      </c>
      <c r="B34" s="68" t="str">
        <f>Leonard2010!E36</f>
        <v>Namitembo</v>
      </c>
      <c r="C34" s="68" t="str">
        <f>Leonard2010!F36</f>
        <v>NA</v>
      </c>
      <c r="D34">
        <f>IF(B34="NA","NA",VLOOKUP(B34,Leonard2010!E:H,3,FALSE))</f>
        <v>18.399999999999999</v>
      </c>
      <c r="E34">
        <f>IF(A34="NA","NA",VLOOKUP(A34,Leonard2010!D:I,6,FALSE))</f>
        <v>80</v>
      </c>
      <c r="F34" t="str">
        <f>IF(C34="NA","NA",VLOOKUP(C34,Leonard2010!F:K,6,FALSE))</f>
        <v>NA</v>
      </c>
      <c r="G34">
        <f>IF(B34="NA","NA",VLOOKUP(B34,Leonard2010!E:H,4,FALSE))</f>
        <v>200</v>
      </c>
      <c r="H34">
        <f>IF(A34="NA","NA",VLOOKUP(A34,Leonard2010!D:J,7,FALSE))</f>
        <v>205</v>
      </c>
      <c r="I34" t="str">
        <f>IF(C34="NA","NA",VLOOKUP(C34,Leonard2010!F:L,7,FALSE))</f>
        <v>NA</v>
      </c>
      <c r="J34">
        <f>IF(A34="NA","NA",VLOOKUP(A34,Leonard2010!D:N,11,FALSE))</f>
        <v>53</v>
      </c>
      <c r="K34" t="s">
        <v>211</v>
      </c>
      <c r="L34">
        <f>VLOOKUP(A34,Leonard2010!D:AJ,32,FALSE)</f>
        <v>39</v>
      </c>
      <c r="M34">
        <f>VLOOKUP($A34,Leonard2010!D:AK,33,FALSE)</f>
        <v>71</v>
      </c>
      <c r="N34">
        <f>VLOOKUP($A34,Leonard2010!D:AL,34,FALSE)</f>
        <v>103</v>
      </c>
      <c r="O34">
        <f t="shared" ref="O34:O58" si="10">IF($B34="NA","NA",MEDIAN(ABS(COS(RADIANS($L34-$G34-90))),ABS(COS(RADIANS($M34-$G34-90))),ABS(COS(RADIANS($N34-$G34-90)))))</f>
        <v>0.77714596145697079</v>
      </c>
      <c r="P34">
        <f t="shared" si="8"/>
        <v>806.37536385260933</v>
      </c>
      <c r="Q34">
        <f>IF(B34="NA","0",VLOOKUP(B34,SectionGeometry!C:E,3,FALSE)*IF(C34="NA",X$277/(X$277+X$276),X$277))</f>
        <v>0.25</v>
      </c>
      <c r="R34">
        <f>Q34*IF(B34="NA",0,((VLOOKUP(B34,SectionGeometry!C:Z,24,FALSE))))</f>
        <v>77110872562719.172</v>
      </c>
      <c r="S34">
        <f>IF(R34=0,0,Q34*3.3*10^10*P34*10^6*(1/O34)*VLOOKUP(B34,SectionGeometry!C:AA,25,FALSE)*10^-3)</f>
        <v>370914915368615.44</v>
      </c>
      <c r="T34">
        <f t="shared" si="1"/>
        <v>0.71933980033865108</v>
      </c>
      <c r="U34">
        <f>IF(K34="N",E34*35/SIN(RADIANS(J34)),IF(K34="Y",VLOOKUP(A34,Leonard2010!D:U,18,FALSE),IF(C34="NA",VLOOKUP(A34,MSSM_AdaptedSources!B:K,10,FALSE),"CHECK")))</f>
        <v>3505.979842837432</v>
      </c>
      <c r="V34">
        <f>(1*VLOOKUP(A34,FaultGeometry!B:C,2,FALSE))-Q34-AA34</f>
        <v>0.75</v>
      </c>
      <c r="W34">
        <f>V34*(VLOOKUP(A34,FaultGeometry!B:Y,24,FALSE))</f>
        <v>2601692944206362</v>
      </c>
      <c r="X34">
        <f>V34*3.3*10^10*U34*10^6*(1/T34)*VLOOKUP(A34,FaultGeometry!B:O,14,FALSE)*10^-3</f>
        <v>4857362229628456</v>
      </c>
      <c r="Y34" t="str">
        <f t="shared" si="9"/>
        <v>NA</v>
      </c>
      <c r="Z34" t="str">
        <f>IF(C34="NA","NA",VLOOKUP(C34,MSSM_AdaptedSources!B:K,10,FALSE))</f>
        <v>NA</v>
      </c>
      <c r="AA34" t="str">
        <f>IF(C34="NA","0",VLOOKUP(C34,MultiFaultGeometry!B:C,2,FALSE)*IF(B34="NA",X$278/(X$278+X$276),X$278))</f>
        <v>0</v>
      </c>
      <c r="AB34">
        <f>AA34*IF(C34="NA",0,VLOOKUP(C34,MultiFaultGeometry!B:O,14,FALSE))</f>
        <v>0</v>
      </c>
      <c r="AC34">
        <f>IF(AB34=0,0,AA34*3.3*10^10*Z34*10^6*(1/Y34)*VLOOKUP(C34,MultiFaultGeometry!B:G,5,FALSE)*10^-3)</f>
        <v>0</v>
      </c>
      <c r="AE34" s="68">
        <f t="shared" si="3"/>
        <v>0</v>
      </c>
      <c r="AF34" s="68">
        <f t="shared" si="4"/>
        <v>0</v>
      </c>
      <c r="AG34" s="68"/>
    </row>
    <row r="35" spans="1:33" x14ac:dyDescent="0.2">
      <c r="A35" s="68" t="str">
        <f>Leonard2010!D37</f>
        <v>Chingale Step</v>
      </c>
      <c r="B35" s="68" t="str">
        <f>Leonard2010!E37</f>
        <v>Chingale Step Link</v>
      </c>
      <c r="C35" s="68" t="str">
        <f>Leonard2010!F37</f>
        <v>NA</v>
      </c>
      <c r="D35">
        <f>IF(B35="NA","NA",VLOOKUP(B35,Leonard2010!E:H,3,FALSE))</f>
        <v>2</v>
      </c>
      <c r="E35">
        <f>IF(A35="NA","NA",VLOOKUP(A35,Leonard2010!D:I,6,FALSE))</f>
        <v>80</v>
      </c>
      <c r="F35" t="str">
        <f>IF(C35="NA","NA",VLOOKUP(C35,Leonard2010!F:K,6,FALSE))</f>
        <v>NA</v>
      </c>
      <c r="G35">
        <f>IF(B35="NA","NA",VLOOKUP(B35,Leonard2010!E:H,4,FALSE))</f>
        <v>250</v>
      </c>
      <c r="H35">
        <f>IF(A35="NA","NA",VLOOKUP(A35,Leonard2010!D:J,7,FALSE))</f>
        <v>205</v>
      </c>
      <c r="I35" t="str">
        <f>IF(C35="NA","NA",VLOOKUP(C35,Leonard2010!F:L,7,FALSE))</f>
        <v>NA</v>
      </c>
      <c r="J35">
        <f>IF(A35="NA","NA",VLOOKUP(A35,Leonard2010!D:N,11,FALSE))</f>
        <v>53</v>
      </c>
      <c r="K35" t="s">
        <v>211</v>
      </c>
      <c r="L35">
        <f>VLOOKUP(A35,Leonard2010!D:AJ,32,FALSE)</f>
        <v>39</v>
      </c>
      <c r="M35">
        <f>VLOOKUP($A35,Leonard2010!D:AK,33,FALSE)</f>
        <v>71</v>
      </c>
      <c r="N35">
        <f>VLOOKUP($A35,Leonard2010!D:AL,34,FALSE)</f>
        <v>103</v>
      </c>
      <c r="O35">
        <f t="shared" si="10"/>
        <v>0.51503807491005416</v>
      </c>
      <c r="P35">
        <f t="shared" si="8"/>
        <v>87.649496070935797</v>
      </c>
      <c r="Q35">
        <f>IF(B35="NA","0",VLOOKUP(B35,SectionGeometry!C:E,3,FALSE)*IF(C35="NA",X$277/(X$277+X$276),X$277))</f>
        <v>0.25</v>
      </c>
      <c r="R35">
        <f>Q35*IF(B35="NA",0,((VLOOKUP(B35,SectionGeometry!C:Z,24,FALSE))))</f>
        <v>0</v>
      </c>
      <c r="S35">
        <f>IF(R35=0,0,Q35*3.3*10^10*P35*10^6*(1/O35)*VLOOKUP(B35,SectionGeometry!C:AA,25,FALSE)*10^-3)</f>
        <v>0</v>
      </c>
      <c r="T35">
        <f t="shared" si="1"/>
        <v>0.71933980033865108</v>
      </c>
      <c r="U35">
        <f>IF(K35="N",E35*35/SIN(RADIANS(J35)),IF(K35="Y",VLOOKUP(A35,Leonard2010!D:U,18,FALSE),IF(C35="NA",VLOOKUP(A35,MSSM_AdaptedSources!B:K,10,FALSE),"CHECK")))</f>
        <v>3505.979842837432</v>
      </c>
      <c r="V35">
        <f>(1*VLOOKUP(A35,FaultGeometry!B:C,2,FALSE))-Q35-AA35</f>
        <v>0.75</v>
      </c>
      <c r="W35">
        <f>V35*(VLOOKUP(A35,FaultGeometry!B:Y,24,FALSE))</f>
        <v>2601692944206362</v>
      </c>
      <c r="X35">
        <f>V35*3.3*10^10*U35*10^6*(1/T35)*VLOOKUP(A35,FaultGeometry!B:O,14,FALSE)*10^-3</f>
        <v>4857362229628456</v>
      </c>
      <c r="Y35" t="str">
        <f t="shared" si="9"/>
        <v>NA</v>
      </c>
      <c r="Z35" t="str">
        <f>IF(C35="NA","NA",VLOOKUP(C35,MSSM_AdaptedSources!B:K,10,FALSE))</f>
        <v>NA</v>
      </c>
      <c r="AA35" t="str">
        <f>IF(C35="NA","0",VLOOKUP(C35,MultiFaultGeometry!B:C,2,FALSE)*IF(B35="NA",X$278/(X$278+X$276),X$278))</f>
        <v>0</v>
      </c>
      <c r="AB35">
        <f>AA35*IF(C35="NA",0,VLOOKUP(C35,MultiFaultGeometry!B:O,14,FALSE))</f>
        <v>0</v>
      </c>
      <c r="AC35">
        <f>IF(AB35=0,0,AA35*3.3*10^10*Z35*10^6*(1/Y35)*VLOOKUP(C35,MultiFaultGeometry!B:G,5,FALSE)*10^-3)</f>
        <v>0</v>
      </c>
      <c r="AE35" s="68">
        <f t="shared" si="3"/>
        <v>0</v>
      </c>
      <c r="AF35" s="68">
        <f t="shared" si="4"/>
        <v>0</v>
      </c>
      <c r="AG35" s="68"/>
    </row>
    <row r="36" spans="1:33" x14ac:dyDescent="0.2">
      <c r="A36" s="68" t="str">
        <f>Leonard2010!D38</f>
        <v>Chingale Step</v>
      </c>
      <c r="B36" s="68" t="str">
        <f>Leonard2010!E38</f>
        <v>Chingale Step North</v>
      </c>
      <c r="C36" s="68" t="str">
        <f>Leonard2010!F38</f>
        <v>NA</v>
      </c>
      <c r="D36">
        <f>IF(B36="NA","NA",VLOOKUP(B36,Leonard2010!E:H,3,FALSE))</f>
        <v>10.6</v>
      </c>
      <c r="E36">
        <f>IF(A36="NA","NA",VLOOKUP(A36,Leonard2010!D:I,6,FALSE))</f>
        <v>80</v>
      </c>
      <c r="F36" t="str">
        <f>IF(C36="NA","NA",VLOOKUP(C36,Leonard2010!F:K,6,FALSE))</f>
        <v>NA</v>
      </c>
      <c r="G36">
        <f>IF(B36="NA","NA",VLOOKUP(B36,Leonard2010!E:H,4,FALSE))</f>
        <v>190</v>
      </c>
      <c r="H36">
        <f>IF(A36="NA","NA",VLOOKUP(A36,Leonard2010!D:J,7,FALSE))</f>
        <v>205</v>
      </c>
      <c r="I36" t="str">
        <f>IF(C36="NA","NA",VLOOKUP(C36,Leonard2010!F:L,7,FALSE))</f>
        <v>NA</v>
      </c>
      <c r="J36">
        <f>IF(A36="NA","NA",VLOOKUP(A36,Leonard2010!D:N,11,FALSE))</f>
        <v>53</v>
      </c>
      <c r="K36" t="s">
        <v>211</v>
      </c>
      <c r="L36">
        <f>VLOOKUP(A36,Leonard2010!D:AJ,32,FALSE)</f>
        <v>39</v>
      </c>
      <c r="M36">
        <f>VLOOKUP($A36,Leonard2010!D:AK,33,FALSE)</f>
        <v>71</v>
      </c>
      <c r="N36">
        <f>VLOOKUP($A36,Leonard2010!D:AL,34,FALSE)</f>
        <v>103</v>
      </c>
      <c r="O36">
        <f t="shared" si="10"/>
        <v>0.87461970713939585</v>
      </c>
      <c r="P36">
        <f t="shared" si="8"/>
        <v>464.54232917595971</v>
      </c>
      <c r="Q36">
        <f>IF(B36="NA","0",VLOOKUP(B36,SectionGeometry!C:E,3,FALSE)*IF(C36="NA",X$277/(X$277+X$276),X$277))</f>
        <v>0.25</v>
      </c>
      <c r="R36">
        <f>Q36*IF(B36="NA",0,((VLOOKUP(B36,SectionGeometry!C:Z,24,FALSE))))</f>
        <v>33354742137563</v>
      </c>
      <c r="S36">
        <f>IF(R36=0,0,Q36*3.3*10^10*P36*10^6*(1/O36)*VLOOKUP(B36,SectionGeometry!C:AA,25,FALSE)*10^-3)</f>
        <v>207719902879135.41</v>
      </c>
      <c r="T36">
        <f t="shared" si="1"/>
        <v>0.71933980033865108</v>
      </c>
      <c r="U36">
        <f>IF(K36="N",E36*35/SIN(RADIANS(J36)),IF(K36="Y",VLOOKUP(A36,Leonard2010!D:U,18,FALSE),IF(C36="NA",VLOOKUP(A36,MSSM_AdaptedSources!B:K,10,FALSE),"CHECK")))</f>
        <v>3505.979842837432</v>
      </c>
      <c r="V36">
        <f>(1*VLOOKUP(A36,FaultGeometry!B:C,2,FALSE))-Q36-AA36</f>
        <v>0.75</v>
      </c>
      <c r="W36">
        <f>V36*(VLOOKUP(A36,FaultGeometry!B:Y,24,FALSE))</f>
        <v>2601692944206362</v>
      </c>
      <c r="X36">
        <f>V36*3.3*10^10*U36*10^6*(1/T36)*VLOOKUP(A36,FaultGeometry!B:O,14,FALSE)*10^-3</f>
        <v>4857362229628456</v>
      </c>
      <c r="Y36" t="str">
        <f t="shared" si="9"/>
        <v>NA</v>
      </c>
      <c r="Z36" t="str">
        <f>IF(C36="NA","NA",VLOOKUP(C36,MSSM_AdaptedSources!B:K,10,FALSE))</f>
        <v>NA</v>
      </c>
      <c r="AA36" t="str">
        <f>IF(C36="NA","0",VLOOKUP(C36,MultiFaultGeometry!B:C,2,FALSE)*IF(B36="NA",X$278/(X$278+X$276),X$278))</f>
        <v>0</v>
      </c>
      <c r="AB36">
        <f>AA36*IF(C36="NA",0,VLOOKUP(C36,MultiFaultGeometry!B:O,14,FALSE))</f>
        <v>0</v>
      </c>
      <c r="AC36">
        <f>IF(AB36=0,0,AA36*3.3*10^10*Z36*10^6*(1/Y36)*VLOOKUP(C36,MultiFaultGeometry!B:G,5,FALSE)*10^-3)</f>
        <v>0</v>
      </c>
      <c r="AE36" s="68">
        <f t="shared" si="3"/>
        <v>2601692944206362</v>
      </c>
      <c r="AF36" s="68">
        <f t="shared" si="4"/>
        <v>4857362229628456</v>
      </c>
      <c r="AG36" s="68"/>
    </row>
    <row r="37" spans="1:33" x14ac:dyDescent="0.2">
      <c r="A37" s="68" t="str">
        <f>Leonard2010!D39</f>
        <v>Liwawadzi</v>
      </c>
      <c r="B37" s="68" t="str">
        <f>Leonard2010!E39</f>
        <v>Liwawadzi South</v>
      </c>
      <c r="C37" s="68" t="str">
        <f>Leonard2010!F39</f>
        <v>Liwawadzi-Malombe</v>
      </c>
      <c r="D37">
        <f>IF(B37="NA","NA",VLOOKUP(B37,Leonard2010!E:H,3,FALSE))</f>
        <v>8.6</v>
      </c>
      <c r="E37">
        <f>IF(A37="NA","NA",VLOOKUP(A37,Leonard2010!D:I,6,FALSE))</f>
        <v>33.900000000000006</v>
      </c>
      <c r="F37">
        <f>IF(C37="NA","NA",VLOOKUP(C37,Leonard2010!F:K,6,FALSE))</f>
        <v>114.6</v>
      </c>
      <c r="G37">
        <f>IF(B37="NA","NA",VLOOKUP(B37,Leonard2010!E:H,4,FALSE))</f>
        <v>6</v>
      </c>
      <c r="H37">
        <f>IF(A37="NA","NA",VLOOKUP(A37,Leonard2010!D:J,7,FALSE))</f>
        <v>2</v>
      </c>
      <c r="I37">
        <f>IF(C37="NA","NA",VLOOKUP(C37,Leonard2010!F:L,7,FALSE))</f>
        <v>10</v>
      </c>
      <c r="J37">
        <f>IF(A37="NA","NA",VLOOKUP(A37,Leonard2010!D:N,11,FALSE))</f>
        <v>53</v>
      </c>
      <c r="K37" t="s">
        <v>308</v>
      </c>
      <c r="L37">
        <f>VLOOKUP(A37,Leonard2010!D:AJ,32,FALSE)</f>
        <v>39</v>
      </c>
      <c r="M37">
        <f>VLOOKUP($A37,Leonard2010!D:AK,33,FALSE)</f>
        <v>71</v>
      </c>
      <c r="N37">
        <f>VLOOKUP($A37,Leonard2010!D:AL,34,FALSE)</f>
        <v>103</v>
      </c>
      <c r="O37">
        <f t="shared" si="10"/>
        <v>0.90630778703664994</v>
      </c>
      <c r="P37">
        <f>D37*(449/E37)</f>
        <v>113.90560471976399</v>
      </c>
      <c r="Q37">
        <f>IF(B37="NA","0",VLOOKUP(B37,SectionGeometry!C:E,3,FALSE)*IF(C37="NA",X$277/(X$277+X$276),X$277))</f>
        <v>0.1</v>
      </c>
      <c r="R37">
        <f>Q37*IF(B37="NA",0,((VLOOKUP(B37,SectionGeometry!C:Z,24,FALSE))))</f>
        <v>9006272709876.8027</v>
      </c>
      <c r="S37">
        <f>IF(R37=0,0,Q37*3.3*10^10*P37*10^6*(1/O37)*VLOOKUP(B37,SectionGeometry!C:AA,25,FALSE)*10^-3)</f>
        <v>19059700491927.977</v>
      </c>
      <c r="T37">
        <f t="shared" si="1"/>
        <v>0.93358042649720174</v>
      </c>
      <c r="U37">
        <f>IF(K37="N",E37*35/SIN(RADIANS(J37)),IF(K37="Y",VLOOKUP(A37,Leonard2010!D:U,18,FALSE),IF(C37="NA",VLOOKUP(A37,MSSM_AdaptedSources!B:K,10,FALSE),"CHECK")))</f>
        <v>449</v>
      </c>
      <c r="V37">
        <f>(1*VLOOKUP(A37,FaultGeometry!B:C,2,FALSE))-Q37-AA37</f>
        <v>0.30000000000000004</v>
      </c>
      <c r="W37">
        <f>V37*(VLOOKUP(A37,FaultGeometry!B:Y,24,FALSE))</f>
        <v>213344780695974.34</v>
      </c>
      <c r="X37">
        <f>V37*3.3*10^10*U37*10^6*(1/T37)*VLOOKUP(A37,FaultGeometry!B:O,14,FALSE)*10^-3</f>
        <v>228609662492862.72</v>
      </c>
      <c r="Y37">
        <f t="shared" si="9"/>
        <v>0.87461970713939574</v>
      </c>
      <c r="Z37">
        <f>IF(C37="NA","NA",VLOOKUP(C37,MSSM_AdaptedSources!B:K,10,FALSE))</f>
        <v>2421</v>
      </c>
      <c r="AA37">
        <f>IF(C37="NA","0",VLOOKUP(C37,MultiFaultGeometry!B:C,2,FALSE)*IF(B37="NA",X$278/(X$278+X$276),X$278))</f>
        <v>0.6</v>
      </c>
      <c r="AB37">
        <f>AA37*IF(C37="NA",0,VLOOKUP(C37,MultiFaultGeometry!B:O,14,FALSE))</f>
        <v>2104600981257574.5</v>
      </c>
      <c r="AC37">
        <f>IF(AB37=0,0,AA37*3.3*10^10*Z37*10^6*(1/Y37)*VLOOKUP(C37,MultiFaultGeometry!B:G,5,FALSE)*10^-3)</f>
        <v>2414397919099033</v>
      </c>
      <c r="AE37" s="68">
        <f t="shared" si="3"/>
        <v>0</v>
      </c>
      <c r="AF37" s="68">
        <f t="shared" si="4"/>
        <v>0</v>
      </c>
      <c r="AG37" s="68"/>
    </row>
    <row r="38" spans="1:33" x14ac:dyDescent="0.2">
      <c r="A38" s="68" t="str">
        <f>Leonard2010!D40</f>
        <v>Liwawadzi</v>
      </c>
      <c r="B38" s="68" t="str">
        <f>Leonard2010!E40</f>
        <v>Liwawadzi Link</v>
      </c>
      <c r="C38" s="68" t="str">
        <f>Leonard2010!F40</f>
        <v>Liwawadzi-Malombe</v>
      </c>
      <c r="D38">
        <f>IF(B38="NA","NA",VLOOKUP(B38,Leonard2010!E:H,3,FALSE))</f>
        <v>2.2000000000000002</v>
      </c>
      <c r="E38">
        <f>IF(A38="NA","NA",VLOOKUP(A38,Leonard2010!D:I,6,FALSE))</f>
        <v>33.900000000000006</v>
      </c>
      <c r="F38">
        <f>IF(C38="NA","NA",VLOOKUP(C38,Leonard2010!F:K,6,FALSE))</f>
        <v>114.6</v>
      </c>
      <c r="G38">
        <f>IF(B38="NA","NA",VLOOKUP(B38,Leonard2010!E:H,4,FALSE))</f>
        <v>52</v>
      </c>
      <c r="H38">
        <f>IF(A38="NA","NA",VLOOKUP(A38,Leonard2010!D:J,7,FALSE))</f>
        <v>2</v>
      </c>
      <c r="I38">
        <f>IF(C38="NA","NA",VLOOKUP(C38,Leonard2010!F:L,7,FALSE))</f>
        <v>10</v>
      </c>
      <c r="J38">
        <f>IF(A38="NA","NA",VLOOKUP(A38,Leonard2010!D:N,11,FALSE))</f>
        <v>53</v>
      </c>
      <c r="K38" t="s">
        <v>308</v>
      </c>
      <c r="L38">
        <f>VLOOKUP(A38,Leonard2010!D:AJ,32,FALSE)</f>
        <v>39</v>
      </c>
      <c r="M38">
        <f>VLOOKUP($A38,Leonard2010!D:AK,33,FALSE)</f>
        <v>71</v>
      </c>
      <c r="N38">
        <f>VLOOKUP($A38,Leonard2010!D:AL,34,FALSE)</f>
        <v>103</v>
      </c>
      <c r="O38">
        <f t="shared" si="10"/>
        <v>0.32556815445715676</v>
      </c>
      <c r="P38">
        <f t="shared" ref="P38:P39" si="11">D38*(449/E38)</f>
        <v>29.138643067846605</v>
      </c>
      <c r="Q38">
        <f>IF(B38="NA","0",VLOOKUP(B38,SectionGeometry!C:E,3,FALSE)*IF(C38="NA",X$277/(X$277+X$276),X$277))</f>
        <v>0.1</v>
      </c>
      <c r="R38">
        <f>Q38*IF(B38="NA",0,((VLOOKUP(B38,SectionGeometry!C:Z,24,FALSE))))</f>
        <v>0</v>
      </c>
      <c r="S38">
        <f>IF(R38=0,0,Q38*3.3*10^10*P38*10^6*(1/O38)*VLOOKUP(B38,SectionGeometry!C:AA,25,FALSE)*10^-3)</f>
        <v>0</v>
      </c>
      <c r="T38">
        <f t="shared" si="1"/>
        <v>0.93358042649720174</v>
      </c>
      <c r="U38">
        <f>IF(K38="N",E38*35/SIN(RADIANS(J38)),IF(K38="Y",VLOOKUP(A38,Leonard2010!D:U,18,FALSE),IF(C38="NA",VLOOKUP(A38,MSSM_AdaptedSources!B:K,10,FALSE),"CHECK")))</f>
        <v>449</v>
      </c>
      <c r="V38">
        <f>(1*VLOOKUP(A38,FaultGeometry!B:C,2,FALSE))-Q38-AA38</f>
        <v>0.30000000000000004</v>
      </c>
      <c r="W38">
        <f>V38*(VLOOKUP(A38,FaultGeometry!B:Y,24,FALSE))</f>
        <v>213344780695974.34</v>
      </c>
      <c r="X38">
        <f>V38*3.3*10^10*U38*10^6*(1/T38)*VLOOKUP(A38,FaultGeometry!B:O,14,FALSE)*10^-3</f>
        <v>228609662492862.72</v>
      </c>
      <c r="Y38">
        <f t="shared" si="9"/>
        <v>0.87461970713939574</v>
      </c>
      <c r="Z38">
        <f>IF(C38="NA","NA",VLOOKUP(C38,MSSM_AdaptedSources!B:K,10,FALSE))</f>
        <v>2421</v>
      </c>
      <c r="AA38">
        <f>IF(C38="NA","0",VLOOKUP(C38,MultiFaultGeometry!B:C,2,FALSE)*IF(B38="NA",X$278/(X$278+X$276),X$278))</f>
        <v>0.6</v>
      </c>
      <c r="AB38">
        <f>AA38*IF(C38="NA",0,VLOOKUP(C38,MultiFaultGeometry!B:O,14,FALSE))</f>
        <v>2104600981257574.5</v>
      </c>
      <c r="AC38">
        <f>IF(AB38=0,0,AA38*3.3*10^10*Z38*10^6*(1/Y38)*VLOOKUP(C38,MultiFaultGeometry!B:G,5,FALSE)*10^-3)</f>
        <v>2414397919099033</v>
      </c>
      <c r="AE38" s="68">
        <f t="shared" si="3"/>
        <v>0</v>
      </c>
      <c r="AF38" s="68">
        <f t="shared" si="4"/>
        <v>0</v>
      </c>
      <c r="AG38" s="68"/>
    </row>
    <row r="39" spans="1:33" x14ac:dyDescent="0.2">
      <c r="A39" s="68" t="str">
        <f>Leonard2010!D41</f>
        <v>Liwawadzi</v>
      </c>
      <c r="B39" s="68" t="str">
        <f>Leonard2010!E41</f>
        <v>Liwawadzi North</v>
      </c>
      <c r="C39" s="68" t="str">
        <f>Leonard2010!F41</f>
        <v>Liwawadzi-Malombe</v>
      </c>
      <c r="D39">
        <f>IF(B39="NA","NA",VLOOKUP(B39,Leonard2010!E:H,3,FALSE))</f>
        <v>23.1</v>
      </c>
      <c r="E39">
        <f>IF(A39="NA","NA",VLOOKUP(A39,Leonard2010!D:I,6,FALSE))</f>
        <v>33.900000000000006</v>
      </c>
      <c r="F39">
        <f>IF(C39="NA","NA",VLOOKUP(C39,Leonard2010!F:K,6,FALSE))</f>
        <v>114.6</v>
      </c>
      <c r="G39">
        <f>IF(B39="NA","NA",VLOOKUP(B39,Leonard2010!E:H,4,FALSE))</f>
        <v>356</v>
      </c>
      <c r="H39">
        <f>IF(A39="NA","NA",VLOOKUP(A39,Leonard2010!D:J,7,FALSE))</f>
        <v>2</v>
      </c>
      <c r="I39">
        <f>IF(C39="NA","NA",VLOOKUP(C39,Leonard2010!F:L,7,FALSE))</f>
        <v>10</v>
      </c>
      <c r="J39">
        <f>IF(A39="NA","NA",VLOOKUP(A39,Leonard2010!D:N,11,FALSE))</f>
        <v>53</v>
      </c>
      <c r="K39" t="s">
        <v>308</v>
      </c>
      <c r="L39">
        <f>VLOOKUP(A39,Leonard2010!D:AJ,32,FALSE)</f>
        <v>39</v>
      </c>
      <c r="M39">
        <f>VLOOKUP($A39,Leonard2010!D:AK,33,FALSE)</f>
        <v>71</v>
      </c>
      <c r="N39">
        <f>VLOOKUP($A39,Leonard2010!D:AL,34,FALSE)</f>
        <v>103</v>
      </c>
      <c r="O39">
        <f t="shared" si="10"/>
        <v>0.95630475596303532</v>
      </c>
      <c r="P39">
        <f t="shared" si="11"/>
        <v>305.95575221238937</v>
      </c>
      <c r="Q39">
        <f>IF(B39="NA","0",VLOOKUP(B39,SectionGeometry!C:E,3,FALSE)*IF(C39="NA",X$277/(X$277+X$276),X$277))</f>
        <v>0.1</v>
      </c>
      <c r="R39">
        <f>Q39*IF(B39="NA",0,((VLOOKUP(B39,SectionGeometry!C:Z,24,FALSE))))</f>
        <v>50190191396250.266</v>
      </c>
      <c r="S39">
        <f>IF(R39=0,0,Q39*3.3*10^10*P39*10^6*(1/O39)*VLOOKUP(B39,SectionGeometry!C:AA,25,FALSE)*10^-3)</f>
        <v>51836025501393.602</v>
      </c>
      <c r="T39">
        <f t="shared" si="1"/>
        <v>0.93358042649720174</v>
      </c>
      <c r="U39">
        <f>IF(K39="N",E39*35/SIN(RADIANS(J39)),IF(K39="Y",VLOOKUP(A39,Leonard2010!D:U,18,FALSE),IF(C39="NA",VLOOKUP(A39,MSSM_AdaptedSources!B:K,10,FALSE),"CHECK")))</f>
        <v>449</v>
      </c>
      <c r="V39">
        <f>(1*VLOOKUP(A39,FaultGeometry!B:C,2,FALSE))-Q39-AA39</f>
        <v>0.30000000000000004</v>
      </c>
      <c r="W39">
        <f>V39*(VLOOKUP(A39,FaultGeometry!B:Y,24,FALSE))</f>
        <v>213344780695974.34</v>
      </c>
      <c r="X39">
        <f>V39*3.3*10^10*U39*10^6*(1/T39)*VLOOKUP(A39,FaultGeometry!B:O,14,FALSE)*10^-3</f>
        <v>228609662492862.72</v>
      </c>
      <c r="Y39">
        <f t="shared" si="9"/>
        <v>0.87461970713939574</v>
      </c>
      <c r="Z39">
        <f>IF(C39="NA","NA",VLOOKUP(C39,MSSM_AdaptedSources!B:K,10,FALSE))</f>
        <v>2421</v>
      </c>
      <c r="AA39">
        <f>IF(C39="NA","0",VLOOKUP(C39,MultiFaultGeometry!B:C,2,FALSE)*IF(B39="NA",X$278/(X$278+X$276),X$278))</f>
        <v>0.6</v>
      </c>
      <c r="AB39">
        <f>AA39*IF(C39="NA",0,VLOOKUP(C39,MultiFaultGeometry!B:O,14,FALSE))</f>
        <v>2104600981257574.5</v>
      </c>
      <c r="AC39">
        <f>IF(AB39=0,0,AA39*3.3*10^10*Z39*10^6*(1/Y39)*VLOOKUP(C39,MultiFaultGeometry!B:G,5,FALSE)*10^-3)</f>
        <v>2414397919099033</v>
      </c>
      <c r="AE39" s="68">
        <f t="shared" si="3"/>
        <v>213344780695974.34</v>
      </c>
      <c r="AF39" s="68">
        <f t="shared" si="4"/>
        <v>228609662492862.72</v>
      </c>
      <c r="AG39" s="68"/>
    </row>
    <row r="40" spans="1:33" x14ac:dyDescent="0.2">
      <c r="A40" s="68" t="str">
        <f>Leonard2010!D42</f>
        <v>Mlungusi</v>
      </c>
      <c r="B40" s="68" t="str">
        <f>Leonard2010!E42</f>
        <v>Mlungusi South</v>
      </c>
      <c r="C40" s="68" t="str">
        <f>Leonard2010!F42</f>
        <v>NA</v>
      </c>
      <c r="D40">
        <f>IF(B40="NA","NA",VLOOKUP(B40,Leonard2010!E:H,3,FALSE))</f>
        <v>5.4</v>
      </c>
      <c r="E40">
        <f>IF(A40="NA","NA",VLOOKUP(A40,Leonard2010!D:I,6,FALSE))</f>
        <v>38.199999999999996</v>
      </c>
      <c r="F40" t="str">
        <f>IF(C40="NA","NA",VLOOKUP(C40,Leonard2010!F:K,6,FALSE))</f>
        <v>NA</v>
      </c>
      <c r="G40">
        <f>IF(B40="NA","NA",VLOOKUP(B40,Leonard2010!E:H,4,FALSE))</f>
        <v>346</v>
      </c>
      <c r="H40">
        <f>IF(A40="NA","NA",VLOOKUP(A40,Leonard2010!D:J,7,FALSE))</f>
        <v>1</v>
      </c>
      <c r="I40" t="str">
        <f>IF(C40="NA","NA",VLOOKUP(C40,Leonard2010!F:L,7,FALSE))</f>
        <v>NA</v>
      </c>
      <c r="J40">
        <f>IF(A40="NA","NA",VLOOKUP(A40,Leonard2010!D:N,11,FALSE))</f>
        <v>53</v>
      </c>
      <c r="K40" t="s">
        <v>308</v>
      </c>
      <c r="L40">
        <f>VLOOKUP(A40,Leonard2010!D:AJ,32,FALSE)</f>
        <v>39</v>
      </c>
      <c r="M40">
        <f>VLOOKUP($A40,Leonard2010!D:AK,33,FALSE)</f>
        <v>71</v>
      </c>
      <c r="N40">
        <f>VLOOKUP($A40,Leonard2010!D:AL,34,FALSE)</f>
        <v>103</v>
      </c>
      <c r="O40">
        <f t="shared" si="10"/>
        <v>0.89100652418836779</v>
      </c>
      <c r="P40">
        <f>D40*(606/E40)</f>
        <v>85.664921465968604</v>
      </c>
      <c r="Q40">
        <f>IF(B40="NA","0",VLOOKUP(B40,SectionGeometry!C:E,3,FALSE)*IF(C40="NA",X$277/(X$277+X$276),X$277))</f>
        <v>0.25</v>
      </c>
      <c r="R40">
        <f>Q40*IF(B40="NA",0,((VLOOKUP(B40,SectionGeometry!C:Z,24,FALSE))))</f>
        <v>11262416530212.188</v>
      </c>
      <c r="S40">
        <f>IF(R40=0,0,Q40*3.3*10^10*P40*10^6*(1/O40)*VLOOKUP(B40,SectionGeometry!C:AA,25,FALSE)*10^-3)</f>
        <v>39253725718056.906</v>
      </c>
      <c r="T40">
        <f t="shared" si="1"/>
        <v>0.93969262078590843</v>
      </c>
      <c r="U40">
        <f>IF(K40="N",E40*35/SIN(RADIANS(J40)),IF(K40="Y",VLOOKUP(A40,Leonard2010!D:U,18,FALSE),IF(C40="NA",VLOOKUP(A40,MSSM_AdaptedSources!B:K,10,FALSE),"CHECK")))</f>
        <v>606</v>
      </c>
      <c r="V40">
        <f>(1*VLOOKUP(A40,FaultGeometry!B:C,2,FALSE))-Q40-AA40</f>
        <v>0.75</v>
      </c>
      <c r="W40">
        <f>V40*(VLOOKUP(A40,FaultGeometry!B:Y,24,FALSE))</f>
        <v>724078800348517.75</v>
      </c>
      <c r="X40">
        <f>V40*3.3*10^10*U40*10^6*(1/T40)*VLOOKUP(A40,FaultGeometry!B:O,14,FALSE)*10^-3</f>
        <v>764113614629183.25</v>
      </c>
      <c r="Y40" t="str">
        <f t="shared" si="9"/>
        <v>NA</v>
      </c>
      <c r="Z40" t="str">
        <f>IF(C40="NA","NA",VLOOKUP(C40,MSSM_AdaptedSources!B:K,10,FALSE))</f>
        <v>NA</v>
      </c>
      <c r="AA40" t="str">
        <f>IF(C40="NA","0",VLOOKUP(C40,MultiFaultGeometry!B:C,2,FALSE)*IF(B40="NA",X$278/(X$278+X$276),X$278))</f>
        <v>0</v>
      </c>
      <c r="AB40">
        <f>AA40*IF(C40="NA",0,VLOOKUP(C40,MultiFaultGeometry!B:O,14,FALSE))</f>
        <v>0</v>
      </c>
      <c r="AC40">
        <f>IF(AB40=0,0,AA40*3.3*10^10*Z40*10^6*(1/Y40)*VLOOKUP(C40,MultiFaultGeometry!B:G,5,FALSE)*10^-3)</f>
        <v>0</v>
      </c>
      <c r="AE40" s="68">
        <f t="shared" si="3"/>
        <v>0</v>
      </c>
      <c r="AF40" s="68">
        <f t="shared" si="4"/>
        <v>0</v>
      </c>
      <c r="AG40" s="68"/>
    </row>
    <row r="41" spans="1:33" x14ac:dyDescent="0.2">
      <c r="A41" s="68" t="str">
        <f>Leonard2010!D43</f>
        <v>Mlungusi</v>
      </c>
      <c r="B41" s="68" t="str">
        <f>Leonard2010!E43</f>
        <v>Matope</v>
      </c>
      <c r="C41" s="68" t="str">
        <f>Leonard2010!F43</f>
        <v>NA</v>
      </c>
      <c r="D41">
        <f>IF(B41="NA","NA",VLOOKUP(B41,Leonard2010!E:H,3,FALSE))</f>
        <v>7</v>
      </c>
      <c r="E41">
        <f>IF(A41="NA","NA",VLOOKUP(A41,Leonard2010!D:I,6,FALSE))</f>
        <v>38.199999999999996</v>
      </c>
      <c r="F41" t="str">
        <f>IF(C41="NA","NA",VLOOKUP(C41,Leonard2010!F:K,6,FALSE))</f>
        <v>NA</v>
      </c>
      <c r="G41">
        <f>IF(B41="NA","NA",VLOOKUP(B41,Leonard2010!E:H,4,FALSE))</f>
        <v>15</v>
      </c>
      <c r="H41">
        <f>IF(A41="NA","NA",VLOOKUP(A41,Leonard2010!D:J,7,FALSE))</f>
        <v>1</v>
      </c>
      <c r="I41" t="str">
        <f>IF(C41="NA","NA",VLOOKUP(C41,Leonard2010!F:L,7,FALSE))</f>
        <v>NA</v>
      </c>
      <c r="J41">
        <f>IF(A41="NA","NA",VLOOKUP(A41,Leonard2010!D:N,11,FALSE))</f>
        <v>53</v>
      </c>
      <c r="K41" t="s">
        <v>308</v>
      </c>
      <c r="L41">
        <f>VLOOKUP(A41,Leonard2010!D:AJ,32,FALSE)</f>
        <v>39</v>
      </c>
      <c r="M41">
        <f>VLOOKUP($A41,Leonard2010!D:AK,33,FALSE)</f>
        <v>71</v>
      </c>
      <c r="N41">
        <f>VLOOKUP($A41,Leonard2010!D:AL,34,FALSE)</f>
        <v>103</v>
      </c>
      <c r="O41">
        <f t="shared" si="10"/>
        <v>0.82903757255504174</v>
      </c>
      <c r="P41">
        <f t="shared" ref="P41:P45" si="12">D41*(606/E41)</f>
        <v>111.04712041884818</v>
      </c>
      <c r="Q41">
        <f>IF(B41="NA","0",VLOOKUP(B41,SectionGeometry!C:E,3,FALSE)*IF(C41="NA",X$277/(X$277+X$276),X$277))</f>
        <v>0.25</v>
      </c>
      <c r="R41">
        <f>Q41*IF(B41="NA",0,((VLOOKUP(B41,SectionGeometry!C:Z,24,FALSE))))</f>
        <v>14705503037914.744</v>
      </c>
      <c r="S41">
        <f>IF(R41=0,0,Q41*3.3*10^10*P41*10^6*(1/O41)*VLOOKUP(B41,SectionGeometry!C:AA,25,FALSE)*10^-3)</f>
        <v>46855288300633.055</v>
      </c>
      <c r="T41">
        <f t="shared" si="1"/>
        <v>0.93969262078590843</v>
      </c>
      <c r="U41">
        <f>IF(K41="N",E41*35/SIN(RADIANS(J41)),IF(K41="Y",VLOOKUP(A41,Leonard2010!D:U,18,FALSE),IF(C41="NA",VLOOKUP(A41,MSSM_AdaptedSources!B:K,10,FALSE),"CHECK")))</f>
        <v>606</v>
      </c>
      <c r="V41">
        <f>(1*VLOOKUP(A41,FaultGeometry!B:C,2,FALSE))-Q41-AA41</f>
        <v>0.75</v>
      </c>
      <c r="W41">
        <f>V41*(VLOOKUP(A41,FaultGeometry!B:Y,24,FALSE))</f>
        <v>724078800348517.75</v>
      </c>
      <c r="X41">
        <f>V41*3.3*10^10*U41*10^6*(1/T41)*VLOOKUP(A41,FaultGeometry!B:O,14,FALSE)*10^-3</f>
        <v>764113614629183.25</v>
      </c>
      <c r="Y41" t="str">
        <f t="shared" si="9"/>
        <v>NA</v>
      </c>
      <c r="Z41" t="str">
        <f>IF(C41="NA","NA",VLOOKUP(C41,MSSM_AdaptedSources!B:K,10,FALSE))</f>
        <v>NA</v>
      </c>
      <c r="AA41" t="str">
        <f>IF(C41="NA","0",VLOOKUP(C41,MultiFaultGeometry!B:C,2,FALSE)*IF(B41="NA",X$278/(X$278+X$276),X$278))</f>
        <v>0</v>
      </c>
      <c r="AB41">
        <f>AA41*IF(C41="NA",0,VLOOKUP(C41,MultiFaultGeometry!B:O,14,FALSE))</f>
        <v>0</v>
      </c>
      <c r="AC41">
        <f>IF(AB41=0,0,AA41*3.3*10^10*Z41*10^6*(1/Y41)*VLOOKUP(C41,MultiFaultGeometry!B:G,5,FALSE)*10^-3)</f>
        <v>0</v>
      </c>
      <c r="AE41" s="68">
        <f t="shared" si="3"/>
        <v>0</v>
      </c>
      <c r="AF41" s="68">
        <f t="shared" si="4"/>
        <v>0</v>
      </c>
      <c r="AG41" s="68"/>
    </row>
    <row r="42" spans="1:33" x14ac:dyDescent="0.2">
      <c r="A42" s="68" t="str">
        <f>Leonard2010!D44</f>
        <v>Mlungusi</v>
      </c>
      <c r="B42" s="68" t="str">
        <f>Leonard2010!E44</f>
        <v>Utale</v>
      </c>
      <c r="C42" s="68" t="str">
        <f>Leonard2010!F44</f>
        <v>NA</v>
      </c>
      <c r="D42">
        <f>IF(B42="NA","NA",VLOOKUP(B42,Leonard2010!E:H,3,FALSE))</f>
        <v>11.5</v>
      </c>
      <c r="E42">
        <f>IF(A42="NA","NA",VLOOKUP(A42,Leonard2010!D:I,6,FALSE))</f>
        <v>38.199999999999996</v>
      </c>
      <c r="F42" t="str">
        <f>IF(C42="NA","NA",VLOOKUP(C42,Leonard2010!F:K,6,FALSE))</f>
        <v>NA</v>
      </c>
      <c r="G42">
        <f>IF(B42="NA","NA",VLOOKUP(B42,Leonard2010!E:H,4,FALSE))</f>
        <v>10</v>
      </c>
      <c r="H42">
        <f>IF(A42="NA","NA",VLOOKUP(A42,Leonard2010!D:J,7,FALSE))</f>
        <v>1</v>
      </c>
      <c r="I42" t="str">
        <f>IF(C42="NA","NA",VLOOKUP(C42,Leonard2010!F:L,7,FALSE))</f>
        <v>NA</v>
      </c>
      <c r="J42">
        <f>IF(A42="NA","NA",VLOOKUP(A42,Leonard2010!D:N,11,FALSE))</f>
        <v>53</v>
      </c>
      <c r="K42" t="s">
        <v>308</v>
      </c>
      <c r="L42">
        <f>VLOOKUP(A42,Leonard2010!D:AJ,32,FALSE)</f>
        <v>39</v>
      </c>
      <c r="M42">
        <f>VLOOKUP($A42,Leonard2010!D:AK,33,FALSE)</f>
        <v>71</v>
      </c>
      <c r="N42">
        <f>VLOOKUP($A42,Leonard2010!D:AL,34,FALSE)</f>
        <v>103</v>
      </c>
      <c r="O42">
        <f t="shared" si="10"/>
        <v>0.87461970713939574</v>
      </c>
      <c r="P42">
        <f t="shared" si="12"/>
        <v>182.43455497382203</v>
      </c>
      <c r="Q42">
        <f>IF(B42="NA","0",VLOOKUP(B42,SectionGeometry!C:E,3,FALSE)*IF(C42="NA",X$277/(X$277+X$276),X$277))</f>
        <v>0.25</v>
      </c>
      <c r="R42">
        <f>Q42*IF(B42="NA",0,((VLOOKUP(B42,SectionGeometry!C:Z,24,FALSE))))</f>
        <v>35668046715802.531</v>
      </c>
      <c r="S42">
        <f>IF(R42=0,0,Q42*3.3*10^10*P42*10^6*(1/O42)*VLOOKUP(B42,SectionGeometry!C:AA,25,FALSE)*10^-3)</f>
        <v>75953549391651.797</v>
      </c>
      <c r="T42">
        <f t="shared" si="1"/>
        <v>0.93969262078590843</v>
      </c>
      <c r="U42">
        <f>IF(K42="N",E42*35/SIN(RADIANS(J42)),IF(K42="Y",VLOOKUP(A42,Leonard2010!D:U,18,FALSE),IF(C42="NA",VLOOKUP(A42,MSSM_AdaptedSources!B:K,10,FALSE),"CHECK")))</f>
        <v>606</v>
      </c>
      <c r="V42">
        <f>(1*VLOOKUP(A42,FaultGeometry!B:C,2,FALSE))-Q42-AA42</f>
        <v>0.75</v>
      </c>
      <c r="W42">
        <f>V42*(VLOOKUP(A42,FaultGeometry!B:Y,24,FALSE))</f>
        <v>724078800348517.75</v>
      </c>
      <c r="X42">
        <f>V42*3.3*10^10*U42*10^6*(1/T42)*VLOOKUP(A42,FaultGeometry!B:O,14,FALSE)*10^-3</f>
        <v>764113614629183.25</v>
      </c>
      <c r="Y42" t="str">
        <f t="shared" si="9"/>
        <v>NA</v>
      </c>
      <c r="Z42" t="str">
        <f>IF(C42="NA","NA",VLOOKUP(C42,MSSM_AdaptedSources!B:K,10,FALSE))</f>
        <v>NA</v>
      </c>
      <c r="AA42" t="str">
        <f>IF(C42="NA","0",VLOOKUP(C42,MultiFaultGeometry!B:C,2,FALSE)*IF(B42="NA",X$278/(X$278+X$276),X$278))</f>
        <v>0</v>
      </c>
      <c r="AB42">
        <f>AA42*IF(C42="NA",0,VLOOKUP(C42,MultiFaultGeometry!B:O,14,FALSE))</f>
        <v>0</v>
      </c>
      <c r="AC42">
        <f>IF(AB42=0,0,AA42*3.3*10^10*Z42*10^6*(1/Y42)*VLOOKUP(C42,MultiFaultGeometry!B:G,5,FALSE)*10^-3)</f>
        <v>0</v>
      </c>
      <c r="AE42" s="68">
        <f t="shared" si="3"/>
        <v>0</v>
      </c>
      <c r="AF42" s="68">
        <f t="shared" si="4"/>
        <v>0</v>
      </c>
      <c r="AG42" s="68"/>
    </row>
    <row r="43" spans="1:33" x14ac:dyDescent="0.2">
      <c r="A43" s="68" t="str">
        <f>Leonard2010!D45</f>
        <v>Mlungusi</v>
      </c>
      <c r="B43" s="68" t="str">
        <f>Leonard2010!E45</f>
        <v>Mlungusi Central</v>
      </c>
      <c r="C43" s="68" t="str">
        <f>Leonard2010!F45</f>
        <v>NA</v>
      </c>
      <c r="D43">
        <f>IF(B43="NA","NA",VLOOKUP(B43,Leonard2010!E:H,3,FALSE))</f>
        <v>4.7</v>
      </c>
      <c r="E43">
        <f>IF(A43="NA","NA",VLOOKUP(A43,Leonard2010!D:I,6,FALSE))</f>
        <v>38.199999999999996</v>
      </c>
      <c r="F43" t="str">
        <f>IF(C43="NA","NA",VLOOKUP(C43,Leonard2010!F:K,6,FALSE))</f>
        <v>NA</v>
      </c>
      <c r="G43">
        <f>IF(B43="NA","NA",VLOOKUP(B43,Leonard2010!E:H,4,FALSE))</f>
        <v>15</v>
      </c>
      <c r="H43">
        <f>IF(A43="NA","NA",VLOOKUP(A43,Leonard2010!D:J,7,FALSE))</f>
        <v>1</v>
      </c>
      <c r="I43" t="str">
        <f>IF(C43="NA","NA",VLOOKUP(C43,Leonard2010!F:L,7,FALSE))</f>
        <v>NA</v>
      </c>
      <c r="J43">
        <f>IF(A43="NA","NA",VLOOKUP(A43,Leonard2010!D:N,11,FALSE))</f>
        <v>53</v>
      </c>
      <c r="K43" t="s">
        <v>308</v>
      </c>
      <c r="L43">
        <f>VLOOKUP(A43,Leonard2010!D:AJ,32,FALSE)</f>
        <v>39</v>
      </c>
      <c r="M43">
        <f>VLOOKUP($A43,Leonard2010!D:AK,33,FALSE)</f>
        <v>71</v>
      </c>
      <c r="N43">
        <f>VLOOKUP($A43,Leonard2010!D:AL,34,FALSE)</f>
        <v>103</v>
      </c>
      <c r="O43">
        <f t="shared" si="10"/>
        <v>0.82903757255504174</v>
      </c>
      <c r="P43">
        <f t="shared" si="12"/>
        <v>74.56020942408378</v>
      </c>
      <c r="Q43">
        <f>IF(B43="NA","0",VLOOKUP(B43,SectionGeometry!C:E,3,FALSE)*IF(C43="NA",X$277/(X$277+X$276),X$277))</f>
        <v>0.25</v>
      </c>
      <c r="R43">
        <f>Q43*IF(B43="NA",0,((VLOOKUP(B43,SectionGeometry!C:Z,24,FALSE))))</f>
        <v>7628747388971.7207</v>
      </c>
      <c r="S43">
        <f>IF(R43=0,0,Q43*3.3*10^10*P43*10^6*(1/O43)*VLOOKUP(B43,SectionGeometry!C:AA,25,FALSE)*10^-3)</f>
        <v>31454408607653.27</v>
      </c>
      <c r="T43">
        <f t="shared" si="1"/>
        <v>0.93969262078590843</v>
      </c>
      <c r="U43">
        <f>IF(K43="N",E43*35/SIN(RADIANS(J43)),IF(K43="Y",VLOOKUP(A43,Leonard2010!D:U,18,FALSE),IF(C43="NA",VLOOKUP(A43,MSSM_AdaptedSources!B:K,10,FALSE),"CHECK")))</f>
        <v>606</v>
      </c>
      <c r="V43">
        <f>(1*VLOOKUP(A43,FaultGeometry!B:C,2,FALSE))-Q43-AA43</f>
        <v>0.75</v>
      </c>
      <c r="W43">
        <f>V43*(VLOOKUP(A43,FaultGeometry!B:Y,24,FALSE))</f>
        <v>724078800348517.75</v>
      </c>
      <c r="X43">
        <f>V43*3.3*10^10*U43*10^6*(1/T43)*VLOOKUP(A43,FaultGeometry!B:O,14,FALSE)*10^-3</f>
        <v>764113614629183.25</v>
      </c>
      <c r="Y43" t="str">
        <f t="shared" si="9"/>
        <v>NA</v>
      </c>
      <c r="Z43" t="str">
        <f>IF(C43="NA","NA",VLOOKUP(C43,MSSM_AdaptedSources!B:K,10,FALSE))</f>
        <v>NA</v>
      </c>
      <c r="AA43" t="str">
        <f>IF(C43="NA","0",VLOOKUP(C43,MultiFaultGeometry!B:C,2,FALSE)*IF(B43="NA",X$278/(X$278+X$276),X$278))</f>
        <v>0</v>
      </c>
      <c r="AB43">
        <f>AA43*IF(C43="NA",0,VLOOKUP(C43,MultiFaultGeometry!B:O,14,FALSE))</f>
        <v>0</v>
      </c>
      <c r="AC43">
        <f>IF(AB43=0,0,AA43*3.3*10^10*Z43*10^6*(1/Y43)*VLOOKUP(C43,MultiFaultGeometry!B:G,5,FALSE)*10^-3)</f>
        <v>0</v>
      </c>
      <c r="AE43" s="68">
        <f t="shared" si="3"/>
        <v>0</v>
      </c>
      <c r="AF43" s="68">
        <f t="shared" si="4"/>
        <v>0</v>
      </c>
      <c r="AG43" s="68"/>
    </row>
    <row r="44" spans="1:33" x14ac:dyDescent="0.2">
      <c r="A44" s="68" t="str">
        <f>Leonard2010!D46</f>
        <v>Mlungusi</v>
      </c>
      <c r="B44" s="68" t="str">
        <f>Leonard2010!E46</f>
        <v>Mlungusi Link</v>
      </c>
      <c r="C44" s="68" t="str">
        <f>Leonard2010!F46</f>
        <v>NA</v>
      </c>
      <c r="D44">
        <f>IF(B44="NA","NA",VLOOKUP(B44,Leonard2010!E:H,3,FALSE))</f>
        <v>2.7</v>
      </c>
      <c r="E44">
        <f>IF(A44="NA","NA",VLOOKUP(A44,Leonard2010!D:I,6,FALSE))</f>
        <v>38.199999999999996</v>
      </c>
      <c r="F44" t="str">
        <f>IF(C44="NA","NA",VLOOKUP(C44,Leonard2010!F:K,6,FALSE))</f>
        <v>NA</v>
      </c>
      <c r="G44">
        <f>IF(B44="NA","NA",VLOOKUP(B44,Leonard2010!E:H,4,FALSE))</f>
        <v>305</v>
      </c>
      <c r="H44">
        <f>IF(A44="NA","NA",VLOOKUP(A44,Leonard2010!D:J,7,FALSE))</f>
        <v>1</v>
      </c>
      <c r="I44" t="str">
        <f>IF(C44="NA","NA",VLOOKUP(C44,Leonard2010!F:L,7,FALSE))</f>
        <v>NA</v>
      </c>
      <c r="J44">
        <f>IF(A44="NA","NA",VLOOKUP(A44,Leonard2010!D:N,11,FALSE))</f>
        <v>53</v>
      </c>
      <c r="K44" t="s">
        <v>308</v>
      </c>
      <c r="L44">
        <f>VLOOKUP(A44,Leonard2010!D:AJ,32,FALSE)</f>
        <v>39</v>
      </c>
      <c r="M44">
        <f>VLOOKUP($A44,Leonard2010!D:AK,33,FALSE)</f>
        <v>71</v>
      </c>
      <c r="N44">
        <f>VLOOKUP($A44,Leonard2010!D:AL,34,FALSE)</f>
        <v>103</v>
      </c>
      <c r="O44">
        <f t="shared" si="10"/>
        <v>0.80901699437494734</v>
      </c>
      <c r="P44">
        <f t="shared" si="12"/>
        <v>42.832460732984302</v>
      </c>
      <c r="Q44">
        <f>IF(B44="NA","0",VLOOKUP(B44,SectionGeometry!C:E,3,FALSE)*IF(C44="NA",X$277/(X$277+X$276),X$277))</f>
        <v>0.25</v>
      </c>
      <c r="R44">
        <f>Q44*IF(B44="NA",0,((VLOOKUP(B44,SectionGeometry!C:Z,24,FALSE))))</f>
        <v>0</v>
      </c>
      <c r="S44">
        <f>IF(R44=0,0,Q44*3.3*10^10*P44*10^6*(1/O44)*VLOOKUP(B44,SectionGeometry!C:AA,25,FALSE)*10^-3)</f>
        <v>0</v>
      </c>
      <c r="T44">
        <f t="shared" si="1"/>
        <v>0.93969262078590843</v>
      </c>
      <c r="U44">
        <f>IF(K44="N",E44*35/SIN(RADIANS(J44)),IF(K44="Y",VLOOKUP(A44,Leonard2010!D:U,18,FALSE),IF(C44="NA",VLOOKUP(A44,MSSM_AdaptedSources!B:K,10,FALSE),"CHECK")))</f>
        <v>606</v>
      </c>
      <c r="V44">
        <f>(1*VLOOKUP(A44,FaultGeometry!B:C,2,FALSE))-Q44-AA44</f>
        <v>0.75</v>
      </c>
      <c r="W44">
        <f>V44*(VLOOKUP(A44,FaultGeometry!B:Y,24,FALSE))</f>
        <v>724078800348517.75</v>
      </c>
      <c r="X44">
        <f>V44*3.3*10^10*U44*10^6*(1/T44)*VLOOKUP(A44,FaultGeometry!B:O,14,FALSE)*10^-3</f>
        <v>764113614629183.25</v>
      </c>
      <c r="Y44" t="str">
        <f t="shared" si="9"/>
        <v>NA</v>
      </c>
      <c r="Z44" t="str">
        <f>IF(C44="NA","NA",VLOOKUP(C44,MSSM_AdaptedSources!B:K,10,FALSE))</f>
        <v>NA</v>
      </c>
      <c r="AA44" t="str">
        <f>IF(C44="NA","0",VLOOKUP(C44,MultiFaultGeometry!B:C,2,FALSE)*IF(B44="NA",X$278/(X$278+X$276),X$278))</f>
        <v>0</v>
      </c>
      <c r="AB44">
        <f>AA44*IF(C44="NA",0,VLOOKUP(C44,MultiFaultGeometry!B:O,14,FALSE))</f>
        <v>0</v>
      </c>
      <c r="AC44">
        <f>IF(AB44=0,0,AA44*3.3*10^10*Z44*10^6*(1/Y44)*VLOOKUP(C44,MultiFaultGeometry!B:G,5,FALSE)*10^-3)</f>
        <v>0</v>
      </c>
      <c r="AE44" s="68">
        <f t="shared" si="3"/>
        <v>0</v>
      </c>
      <c r="AF44" s="68">
        <f t="shared" si="4"/>
        <v>0</v>
      </c>
      <c r="AG44" s="68"/>
    </row>
    <row r="45" spans="1:33" x14ac:dyDescent="0.2">
      <c r="A45" s="68" t="str">
        <f>Leonard2010!D47</f>
        <v>Mlungusi</v>
      </c>
      <c r="B45" s="68" t="str">
        <f>Leonard2010!E47</f>
        <v>Mlungusi North</v>
      </c>
      <c r="C45" s="68" t="str">
        <f>Leonard2010!F47</f>
        <v>NA</v>
      </c>
      <c r="D45">
        <f>IF(B45="NA","NA",VLOOKUP(B45,Leonard2010!E:H,3,FALSE))</f>
        <v>6.9</v>
      </c>
      <c r="E45">
        <f>IF(A45="NA","NA",VLOOKUP(A45,Leonard2010!D:I,6,FALSE))</f>
        <v>38.199999999999996</v>
      </c>
      <c r="F45" t="str">
        <f>IF(C45="NA","NA",VLOOKUP(C45,Leonard2010!F:K,6,FALSE))</f>
        <v>NA</v>
      </c>
      <c r="G45">
        <f>IF(B45="NA","NA",VLOOKUP(B45,Leonard2010!E:H,4,FALSE))</f>
        <v>354</v>
      </c>
      <c r="H45">
        <f>IF(A45="NA","NA",VLOOKUP(A45,Leonard2010!D:J,7,FALSE))</f>
        <v>1</v>
      </c>
      <c r="I45" t="str">
        <f>IF(C45="NA","NA",VLOOKUP(C45,Leonard2010!F:L,7,FALSE))</f>
        <v>NA</v>
      </c>
      <c r="J45">
        <f>IF(A45="NA","NA",VLOOKUP(A45,Leonard2010!D:N,11,FALSE))</f>
        <v>53</v>
      </c>
      <c r="K45" t="s">
        <v>308</v>
      </c>
      <c r="L45">
        <f>VLOOKUP(A45,Leonard2010!D:AJ,32,FALSE)</f>
        <v>39</v>
      </c>
      <c r="M45">
        <f>VLOOKUP($A45,Leonard2010!D:AK,33,FALSE)</f>
        <v>71</v>
      </c>
      <c r="N45">
        <f>VLOOKUP($A45,Leonard2010!D:AL,34,FALSE)</f>
        <v>103</v>
      </c>
      <c r="O45">
        <f t="shared" si="10"/>
        <v>0.94551857559931685</v>
      </c>
      <c r="P45">
        <f t="shared" si="12"/>
        <v>109.46073298429322</v>
      </c>
      <c r="Q45">
        <f>IF(B45="NA","0",VLOOKUP(B45,SectionGeometry!C:E,3,FALSE)*IF(C45="NA",X$277/(X$277+X$276),X$277))</f>
        <v>0.25</v>
      </c>
      <c r="R45">
        <f>Q45*IF(B45="NA",0,((VLOOKUP(B45,SectionGeometry!C:Z,24,FALSE))))</f>
        <v>16702548820466.652</v>
      </c>
      <c r="S45">
        <f>IF(R45=0,0,Q45*3.3*10^10*P45*10^6*(1/O45)*VLOOKUP(B45,SectionGeometry!C:AA,25,FALSE)*10^-3)</f>
        <v>47068365161277.734</v>
      </c>
      <c r="T45">
        <f t="shared" si="1"/>
        <v>0.93969262078590843</v>
      </c>
      <c r="U45">
        <f>IF(K45="N",E45*35/SIN(RADIANS(J45)),IF(K45="Y",VLOOKUP(A45,Leonard2010!D:U,18,FALSE),IF(C45="NA",VLOOKUP(A45,MSSM_AdaptedSources!B:K,10,FALSE),"CHECK")))</f>
        <v>606</v>
      </c>
      <c r="V45">
        <f>(1*VLOOKUP(A45,FaultGeometry!B:C,2,FALSE))-Q45-AA45</f>
        <v>0.75</v>
      </c>
      <c r="W45">
        <f>V45*(VLOOKUP(A45,FaultGeometry!B:Y,24,FALSE))</f>
        <v>724078800348517.75</v>
      </c>
      <c r="X45">
        <f>V45*3.3*10^10*U45*10^6*(1/T45)*VLOOKUP(A45,FaultGeometry!B:O,14,FALSE)*10^-3</f>
        <v>764113614629183.25</v>
      </c>
      <c r="Y45" t="str">
        <f t="shared" si="9"/>
        <v>NA</v>
      </c>
      <c r="Z45" t="str">
        <f>IF(C45="NA","NA",VLOOKUP(C45,MSSM_AdaptedSources!B:K,10,FALSE))</f>
        <v>NA</v>
      </c>
      <c r="AA45" t="str">
        <f>IF(C45="NA","0",VLOOKUP(C45,MultiFaultGeometry!B:C,2,FALSE)*IF(B45="NA",X$278/(X$278+X$276),X$278))</f>
        <v>0</v>
      </c>
      <c r="AB45">
        <f>AA45*IF(C45="NA",0,VLOOKUP(C45,MultiFaultGeometry!B:O,14,FALSE))</f>
        <v>0</v>
      </c>
      <c r="AC45">
        <f>IF(AB45=0,0,AA45*3.3*10^10*Z45*10^6*(1/Y45)*VLOOKUP(C45,MultiFaultGeometry!B:G,5,FALSE)*10^-3)</f>
        <v>0</v>
      </c>
      <c r="AE45" s="68">
        <f t="shared" si="3"/>
        <v>724078800348517.75</v>
      </c>
      <c r="AF45" s="68">
        <f t="shared" si="4"/>
        <v>764113614629183.25</v>
      </c>
      <c r="AG45" s="68"/>
    </row>
    <row r="46" spans="1:33" x14ac:dyDescent="0.2">
      <c r="A46" s="68" t="str">
        <f>Leonard2010!D48</f>
        <v>Mtsimukwe</v>
      </c>
      <c r="B46" s="68" t="str">
        <f>Leonard2010!E48</f>
        <v>NA</v>
      </c>
      <c r="C46" s="68" t="str">
        <f>Leonard2010!F48</f>
        <v>NA</v>
      </c>
      <c r="D46" t="str">
        <f>IF(B46="NA","NA",VLOOKUP(B46,Leonard2010!E:H,3,FALSE))</f>
        <v>NA</v>
      </c>
      <c r="E46">
        <f>IF(A46="NA","NA",VLOOKUP(A46,Leonard2010!D:I,6,FALSE))</f>
        <v>14.1</v>
      </c>
      <c r="F46" t="str">
        <f>IF(C46="NA","NA",VLOOKUP(C46,Leonard2010!F:K,6,FALSE))</f>
        <v>NA</v>
      </c>
      <c r="G46" t="str">
        <f>IF(B46="NA","NA",VLOOKUP(B46,Leonard2010!E:H,4,FALSE))</f>
        <v>NA</v>
      </c>
      <c r="H46">
        <f>IF(A46="NA","NA",VLOOKUP(A46,Leonard2010!D:J,7,FALSE))</f>
        <v>360</v>
      </c>
      <c r="I46" t="str">
        <f>IF(C46="NA","NA",VLOOKUP(C46,Leonard2010!F:L,7,FALSE))</f>
        <v>NA</v>
      </c>
      <c r="J46">
        <f>IF(A46="NA","NA",VLOOKUP(A46,Leonard2010!D:N,11,FALSE))</f>
        <v>53</v>
      </c>
      <c r="K46" t="s">
        <v>552</v>
      </c>
      <c r="L46">
        <f>VLOOKUP(A46,Leonard2010!D:AJ,32,FALSE)</f>
        <v>39</v>
      </c>
      <c r="M46">
        <f>VLOOKUP($A46,Leonard2010!D:AK,33,FALSE)</f>
        <v>71</v>
      </c>
      <c r="N46">
        <f>VLOOKUP($A46,Leonard2010!D:AL,34,FALSE)</f>
        <v>103</v>
      </c>
      <c r="O46" t="str">
        <f t="shared" si="10"/>
        <v>NA</v>
      </c>
      <c r="P46" t="str">
        <f t="shared" ref="P46" si="13">IF(B46="NA","NA",IF(K46="N",D46*(35/SIN(RADIANS(J46))),"CHECK"))</f>
        <v>NA</v>
      </c>
      <c r="Q46" t="str">
        <f>IF(B46="NA","0",VLOOKUP(B46,SectionGeometry!C:E,3,FALSE)*IF(C46="NA",X$277/(X$277+X$276),X$277))</f>
        <v>0</v>
      </c>
      <c r="R46">
        <f>Q46*IF(B46="NA",0,((VLOOKUP(B46,SectionGeometry!C:Z,24,FALSE))))</f>
        <v>0</v>
      </c>
      <c r="S46">
        <f>IF(R46=0,0,Q46*3.3*10^10*P46*10^6*(1/O46)*VLOOKUP(B46,SectionGeometry!C:AA,25,FALSE)*10^-3)</f>
        <v>0</v>
      </c>
      <c r="T46">
        <f t="shared" si="1"/>
        <v>0.94551857559931696</v>
      </c>
      <c r="U46">
        <f>IF(K46="N",E46*35/SIN(RADIANS(J46)),IF(K46="Y",VLOOKUP(A46,Leonard2010!D:U,18,FALSE),IF(C46="NA",VLOOKUP(A46,MSSM_AdaptedSources!B:K,10,FALSE),"CHECK")))</f>
        <v>240</v>
      </c>
      <c r="V46">
        <f>(1*VLOOKUP(A46,FaultGeometry!B:C,2,FALSE))-Q46-AA46</f>
        <v>1</v>
      </c>
      <c r="W46">
        <f>V46*(VLOOKUP(A46,FaultGeometry!B:Y,24,FALSE))</f>
        <v>232629753730571.59</v>
      </c>
      <c r="X46">
        <f>V46*3.3*10^10*U46*10^6*(1/T46)*VLOOKUP(A46,FaultGeometry!B:O,14,FALSE)*10^-3</f>
        <v>401587744224178.62</v>
      </c>
      <c r="Y46" t="str">
        <f t="shared" si="9"/>
        <v>NA</v>
      </c>
      <c r="Z46" t="str">
        <f>IF(C46="NA","NA",VLOOKUP(C46,MSSM_AdaptedSources!B:K,10,FALSE))</f>
        <v>NA</v>
      </c>
      <c r="AA46" t="str">
        <f>IF(C46="NA","0",VLOOKUP(C46,MultiFaultGeometry!B:C,2,FALSE)*IF(B46="NA",X$278/(X$278+X$276),X$278))</f>
        <v>0</v>
      </c>
      <c r="AB46">
        <f>AA46*IF(C46="NA",0,VLOOKUP(C46,MultiFaultGeometry!B:O,14,FALSE))</f>
        <v>0</v>
      </c>
      <c r="AC46">
        <f>IF(AB46=0,0,AA46*3.3*10^10*Z46*10^6*(1/Y46)*VLOOKUP(C46,MultiFaultGeometry!B:G,5,FALSE)*10^-3)</f>
        <v>0</v>
      </c>
      <c r="AE46" s="68">
        <f t="shared" si="3"/>
        <v>232629753730571.59</v>
      </c>
      <c r="AF46" s="68">
        <f t="shared" si="4"/>
        <v>401587744224178.62</v>
      </c>
      <c r="AG46" s="68"/>
    </row>
    <row r="47" spans="1:33" x14ac:dyDescent="0.2">
      <c r="A47" s="68" t="str">
        <f>Leonard2010!D49</f>
        <v>Lisungwe-1</v>
      </c>
      <c r="B47" s="68" t="str">
        <f>Leonard2010!E49</f>
        <v>Lisungwe South-1a</v>
      </c>
      <c r="C47" s="68" t="str">
        <f>Leonard2010!F49</f>
        <v>NA</v>
      </c>
      <c r="D47">
        <f>IF(B47="NA","NA",VLOOKUP(B47,Leonard2010!E:H,3,FALSE))</f>
        <v>8.3000000000000007</v>
      </c>
      <c r="E47">
        <f>IF(A47="NA","NA",VLOOKUP(A47,Leonard2010!D:I,6,FALSE))</f>
        <v>43.699999999999996</v>
      </c>
      <c r="F47" t="str">
        <f>IF(C47="NA","NA",VLOOKUP(C47,Leonard2010!F:K,6,FALSE))</f>
        <v>NA</v>
      </c>
      <c r="G47">
        <f>IF(B47="NA","NA",VLOOKUP(B47,Leonard2010!E:H,4,FALSE))</f>
        <v>27</v>
      </c>
      <c r="H47">
        <f>IF(A47="NA","NA",VLOOKUP(A47,Leonard2010!D:J,7,FALSE))</f>
        <v>16</v>
      </c>
      <c r="I47" t="str">
        <f>IF(C47="NA","NA",VLOOKUP(C47,Leonard2010!F:L,7,FALSE))</f>
        <v>NA</v>
      </c>
      <c r="J47">
        <f>IF(A47="NA","NA",VLOOKUP(A47,Leonard2010!D:N,11,FALSE))</f>
        <v>53</v>
      </c>
      <c r="K47" t="s">
        <v>552</v>
      </c>
      <c r="L47">
        <f>VLOOKUP(A47,Leonard2010!D:AJ,32,FALSE)</f>
        <v>39</v>
      </c>
      <c r="M47">
        <f>VLOOKUP($A47,Leonard2010!D:AK,33,FALSE)</f>
        <v>71</v>
      </c>
      <c r="N47">
        <f>VLOOKUP($A47,Leonard2010!D:AL,34,FALSE)</f>
        <v>103</v>
      </c>
      <c r="O47">
        <f t="shared" si="10"/>
        <v>0.69465837045899725</v>
      </c>
      <c r="P47">
        <f>D47*(1266/E47)</f>
        <v>240.4530892448513</v>
      </c>
      <c r="Q47">
        <f>IF(B47="NA","0",VLOOKUP(B47,SectionGeometry!C:E,3,FALSE)*IF(C47="NA",X$277/(X$277+X$276),X$277))</f>
        <v>0.125</v>
      </c>
      <c r="R47">
        <f>Q47*IF(B47="NA",0,((VLOOKUP(B47,SectionGeometry!C:Z,24,FALSE))))</f>
        <v>4260508028726.2783</v>
      </c>
      <c r="S47">
        <f>IF(R47=0,0,Q47*3.3*10^10*P47*10^6*(1/O47)*VLOOKUP(B47,SectionGeometry!C:AA,25,FALSE)*10^-3)</f>
        <v>52558537652837.188</v>
      </c>
      <c r="T47">
        <f t="shared" si="1"/>
        <v>0.8191520442889918</v>
      </c>
      <c r="U47">
        <f>IF(K47="N",E47*35/SIN(RADIANS(J47)),IF(K47="Y",VLOOKUP(A47,Leonard2010!D:U,18,FALSE),IF(C47="NA",VLOOKUP(A47,MSSM_AdaptedSources!B:K,10,FALSE),"CHECK")))</f>
        <v>1266</v>
      </c>
      <c r="V47">
        <f>(1*VLOOKUP(A47,FaultGeometry!B:C,2,FALSE))-Q47-AA47</f>
        <v>0.375</v>
      </c>
      <c r="W47">
        <f>V47*(VLOOKUP(A47,FaultGeometry!B:Y,24,FALSE))</f>
        <v>253836923828560.75</v>
      </c>
      <c r="X47">
        <f>V47*3.3*10^10*U47*10^6*(1/T47)*VLOOKUP(A47,FaultGeometry!B:O,14,FALSE)*10^-3</f>
        <v>797402809213502.25</v>
      </c>
      <c r="Y47" t="str">
        <f t="shared" si="9"/>
        <v>NA</v>
      </c>
      <c r="Z47" t="str">
        <f>IF(C47="NA","NA",VLOOKUP(C47,MSSM_AdaptedSources!B:K,10,FALSE))</f>
        <v>NA</v>
      </c>
      <c r="AA47" t="str">
        <f>IF(C47="NA","0",VLOOKUP(C47,MultiFaultGeometry!B:C,2,FALSE)*IF(B47="NA",X$278/(X$278+X$276),X$278))</f>
        <v>0</v>
      </c>
      <c r="AB47">
        <f>AA47*IF(C47="NA",0,VLOOKUP(C47,MultiFaultGeometry!B:O,14,FALSE))</f>
        <v>0</v>
      </c>
      <c r="AC47">
        <f>IF(AB47=0,0,AA47*3.3*10^10*Z47*10^6*(1/Y47)*VLOOKUP(C47,MultiFaultGeometry!B:G,5,FALSE)*10^-3)</f>
        <v>0</v>
      </c>
      <c r="AE47" s="68">
        <f t="shared" si="3"/>
        <v>0</v>
      </c>
      <c r="AF47" s="68">
        <f t="shared" si="4"/>
        <v>0</v>
      </c>
      <c r="AG47" s="68"/>
    </row>
    <row r="48" spans="1:33" x14ac:dyDescent="0.2">
      <c r="A48" s="68" t="str">
        <f>Leonard2010!D50</f>
        <v>Lisungwe-1</v>
      </c>
      <c r="B48" s="68" t="str">
        <f>Leonard2010!E50</f>
        <v>Lisungwe South-1b</v>
      </c>
      <c r="C48" s="68" t="str">
        <f>Leonard2010!F50</f>
        <v>NA</v>
      </c>
      <c r="D48">
        <f>IF(B48="NA","NA",VLOOKUP(B48,Leonard2010!E:H,3,FALSE))</f>
        <v>11.1</v>
      </c>
      <c r="E48">
        <f>IF(A48="NA","NA",VLOOKUP(A48,Leonard2010!D:I,6,FALSE))</f>
        <v>43.699999999999996</v>
      </c>
      <c r="F48" t="str">
        <f>IF(C48="NA","NA",VLOOKUP(C48,Leonard2010!F:K,6,FALSE))</f>
        <v>NA</v>
      </c>
      <c r="G48">
        <f>IF(B48="NA","NA",VLOOKUP(B48,Leonard2010!E:H,4,FALSE))</f>
        <v>351</v>
      </c>
      <c r="H48">
        <f>IF(A48="NA","NA",VLOOKUP(A48,Leonard2010!D:J,7,FALSE))</f>
        <v>16</v>
      </c>
      <c r="I48" t="str">
        <f>IF(C48="NA","NA",VLOOKUP(C48,Leonard2010!F:L,7,FALSE))</f>
        <v>NA</v>
      </c>
      <c r="J48">
        <f>IF(A48="NA","NA",VLOOKUP(A48,Leonard2010!D:N,11,FALSE))</f>
        <v>53</v>
      </c>
      <c r="K48" t="s">
        <v>552</v>
      </c>
      <c r="L48">
        <f>VLOOKUP(A48,Leonard2010!D:AJ,32,FALSE)</f>
        <v>39</v>
      </c>
      <c r="M48">
        <f>VLOOKUP($A48,Leonard2010!D:AK,33,FALSE)</f>
        <v>71</v>
      </c>
      <c r="N48">
        <f>VLOOKUP($A48,Leonard2010!D:AL,34,FALSE)</f>
        <v>103</v>
      </c>
      <c r="O48">
        <f t="shared" si="10"/>
        <v>0.92718385456678731</v>
      </c>
      <c r="P48">
        <f t="shared" ref="P48:P57" si="14">D48*(1266/E48)</f>
        <v>321.56979405034326</v>
      </c>
      <c r="Q48">
        <f>IF(B48="NA","0",VLOOKUP(B48,SectionGeometry!C:E,3,FALSE)*IF(C48="NA",X$277/(X$277+X$276),X$277))</f>
        <v>0.125</v>
      </c>
      <c r="R48">
        <f>Q48*IF(B48="NA",0,((VLOOKUP(B48,SectionGeometry!C:Z,24,FALSE))))</f>
        <v>9229187170279.8223</v>
      </c>
      <c r="S48">
        <f>IF(R48=0,0,Q48*3.3*10^10*P48*10^6*(1/O48)*VLOOKUP(B48,SectionGeometry!C:AA,25,FALSE)*10^-3)</f>
        <v>71020057169581</v>
      </c>
      <c r="T48">
        <f t="shared" si="1"/>
        <v>0.8191520442889918</v>
      </c>
      <c r="U48">
        <f>IF(K48="N",E48*35/SIN(RADIANS(J48)),IF(K48="Y",VLOOKUP(A48,Leonard2010!D:U,18,FALSE),IF(C48="NA",VLOOKUP(A48,MSSM_AdaptedSources!B:K,10,FALSE),"CHECK")))</f>
        <v>1266</v>
      </c>
      <c r="V48">
        <f>(1*VLOOKUP(A48,FaultGeometry!B:C,2,FALSE))-Q48-AA48</f>
        <v>0.375</v>
      </c>
      <c r="W48">
        <f>V48*(VLOOKUP(A48,FaultGeometry!B:Y,24,FALSE))</f>
        <v>253836923828560.75</v>
      </c>
      <c r="X48">
        <f>V48*3.3*10^10*U48*10^6*(1/T48)*VLOOKUP(A48,FaultGeometry!B:O,14,FALSE)*10^-3</f>
        <v>797402809213502.25</v>
      </c>
      <c r="Y48" t="str">
        <f t="shared" si="9"/>
        <v>NA</v>
      </c>
      <c r="Z48" t="str">
        <f>IF(C48="NA","NA",VLOOKUP(C48,MSSM_AdaptedSources!B:K,10,FALSE))</f>
        <v>NA</v>
      </c>
      <c r="AA48" t="str">
        <f>IF(C48="NA","0",VLOOKUP(C48,MultiFaultGeometry!B:C,2,FALSE)*IF(B48="NA",X$278/(X$278+X$276),X$278))</f>
        <v>0</v>
      </c>
      <c r="AB48">
        <f>AA48*IF(C48="NA",0,VLOOKUP(C48,MultiFaultGeometry!B:O,14,FALSE))</f>
        <v>0</v>
      </c>
      <c r="AC48">
        <f>IF(AB48=0,0,AA48*3.3*10^10*Z48*10^6*(1/Y48)*VLOOKUP(C48,MultiFaultGeometry!B:G,5,FALSE)*10^-3)</f>
        <v>0</v>
      </c>
      <c r="AE48" s="68">
        <f t="shared" si="3"/>
        <v>0</v>
      </c>
      <c r="AF48" s="68">
        <f t="shared" si="4"/>
        <v>0</v>
      </c>
      <c r="AG48" s="68"/>
    </row>
    <row r="49" spans="1:33" x14ac:dyDescent="0.2">
      <c r="A49" s="68" t="str">
        <f>Leonard2010!D51</f>
        <v>Lisungwe-1</v>
      </c>
      <c r="B49" s="68" t="str">
        <f>Leonard2010!E51</f>
        <v>Mlindi-1</v>
      </c>
      <c r="C49" s="68" t="str">
        <f>Leonard2010!F51</f>
        <v>NA</v>
      </c>
      <c r="D49">
        <f>IF(B49="NA","NA",VLOOKUP(B49,Leonard2010!E:H,3,FALSE))</f>
        <v>5.5</v>
      </c>
      <c r="E49">
        <f>IF(A49="NA","NA",VLOOKUP(A49,Leonard2010!D:I,6,FALSE))</f>
        <v>43.699999999999996</v>
      </c>
      <c r="F49" t="str">
        <f>IF(C49="NA","NA",VLOOKUP(C49,Leonard2010!F:K,6,FALSE))</f>
        <v>NA</v>
      </c>
      <c r="G49">
        <f>IF(B49="NA","NA",VLOOKUP(B49,Leonard2010!E:H,4,FALSE))</f>
        <v>56</v>
      </c>
      <c r="H49">
        <f>IF(A49="NA","NA",VLOOKUP(A49,Leonard2010!D:J,7,FALSE))</f>
        <v>16</v>
      </c>
      <c r="I49" t="str">
        <f>IF(C49="NA","NA",VLOOKUP(C49,Leonard2010!F:L,7,FALSE))</f>
        <v>NA</v>
      </c>
      <c r="J49">
        <f>IF(A49="NA","NA",VLOOKUP(A49,Leonard2010!D:N,11,FALSE))</f>
        <v>53</v>
      </c>
      <c r="K49" t="s">
        <v>552</v>
      </c>
      <c r="L49">
        <f>VLOOKUP(A49,Leonard2010!D:AJ,32,FALSE)</f>
        <v>39</v>
      </c>
      <c r="M49">
        <f>VLOOKUP($A49,Leonard2010!D:AK,33,FALSE)</f>
        <v>71</v>
      </c>
      <c r="N49">
        <f>VLOOKUP($A49,Leonard2010!D:AL,34,FALSE)</f>
        <v>103</v>
      </c>
      <c r="O49">
        <f t="shared" si="10"/>
        <v>0.29237170472273666</v>
      </c>
      <c r="P49">
        <f t="shared" si="14"/>
        <v>159.33638443935928</v>
      </c>
      <c r="Q49">
        <f>IF(B49="NA","0",VLOOKUP(B49,SectionGeometry!C:E,3,FALSE)*IF(C49="NA",X$277/(X$277+X$276),X$277))</f>
        <v>0.125</v>
      </c>
      <c r="R49">
        <f>Q49*IF(B49="NA",0,((VLOOKUP(B49,SectionGeometry!C:Z,24,FALSE))))</f>
        <v>1482729175257.3071</v>
      </c>
      <c r="S49">
        <f>IF(R49=0,0,Q49*3.3*10^10*P49*10^6*(1/O49)*VLOOKUP(B49,SectionGeometry!C:AA,25,FALSE)*10^-3)</f>
        <v>57462518997105.461</v>
      </c>
      <c r="T49">
        <f t="shared" si="1"/>
        <v>0.8191520442889918</v>
      </c>
      <c r="U49">
        <f>IF(K49="N",E49*35/SIN(RADIANS(J49)),IF(K49="Y",VLOOKUP(A49,Leonard2010!D:U,18,FALSE),IF(C49="NA",VLOOKUP(A49,MSSM_AdaptedSources!B:K,10,FALSE),"CHECK")))</f>
        <v>1266</v>
      </c>
      <c r="V49">
        <f>(1*VLOOKUP(A49,FaultGeometry!B:C,2,FALSE))-Q49-AA49</f>
        <v>0.375</v>
      </c>
      <c r="W49">
        <f>V49*(VLOOKUP(A49,FaultGeometry!B:Y,24,FALSE))</f>
        <v>253836923828560.75</v>
      </c>
      <c r="X49">
        <f>V49*3.3*10^10*U49*10^6*(1/T49)*VLOOKUP(A49,FaultGeometry!B:O,14,FALSE)*10^-3</f>
        <v>797402809213502.25</v>
      </c>
      <c r="Y49" t="str">
        <f t="shared" si="9"/>
        <v>NA</v>
      </c>
      <c r="Z49" t="str">
        <f>IF(C49="NA","NA",VLOOKUP(C49,MSSM_AdaptedSources!B:K,10,FALSE))</f>
        <v>NA</v>
      </c>
      <c r="AA49" t="str">
        <f>IF(C49="NA","0",VLOOKUP(C49,MultiFaultGeometry!B:C,2,FALSE)*IF(B49="NA",X$278/(X$278+X$276),X$278))</f>
        <v>0</v>
      </c>
      <c r="AB49">
        <f>AA49*IF(C49="NA",0,VLOOKUP(C49,MultiFaultGeometry!B:O,14,FALSE))</f>
        <v>0</v>
      </c>
      <c r="AC49">
        <f>IF(AB49=0,0,AA49*3.3*10^10*Z49*10^6*(1/Y49)*VLOOKUP(C49,MultiFaultGeometry!B:G,5,FALSE)*10^-3)</f>
        <v>0</v>
      </c>
      <c r="AE49" s="68">
        <f t="shared" si="3"/>
        <v>0</v>
      </c>
      <c r="AF49" s="68">
        <f t="shared" si="4"/>
        <v>0</v>
      </c>
      <c r="AG49" s="68"/>
    </row>
    <row r="50" spans="1:33" x14ac:dyDescent="0.2">
      <c r="A50" s="68" t="str">
        <f>Leonard2010!D52</f>
        <v>Lisungwe-1</v>
      </c>
      <c r="B50" s="68" t="str">
        <f>Leonard2010!E52</f>
        <v>Malauli-1</v>
      </c>
      <c r="C50" s="68" t="str">
        <f>Leonard2010!F52</f>
        <v>NA</v>
      </c>
      <c r="D50">
        <f>IF(B50="NA","NA",VLOOKUP(B50,Leonard2010!E:H,3,FALSE))</f>
        <v>8.9</v>
      </c>
      <c r="E50">
        <f>IF(A50="NA","NA",VLOOKUP(A50,Leonard2010!D:I,6,FALSE))</f>
        <v>43.699999999999996</v>
      </c>
      <c r="F50" t="str">
        <f>IF(C50="NA","NA",VLOOKUP(C50,Leonard2010!F:K,6,FALSE))</f>
        <v>NA</v>
      </c>
      <c r="G50">
        <f>IF(B50="NA","NA",VLOOKUP(B50,Leonard2010!E:H,4,FALSE))</f>
        <v>358</v>
      </c>
      <c r="H50">
        <f>IF(A50="NA","NA",VLOOKUP(A50,Leonard2010!D:J,7,FALSE))</f>
        <v>16</v>
      </c>
      <c r="I50" t="str">
        <f>IF(C50="NA","NA",VLOOKUP(C50,Leonard2010!F:L,7,FALSE))</f>
        <v>NA</v>
      </c>
      <c r="J50">
        <f>IF(A50="NA","NA",VLOOKUP(A50,Leonard2010!D:N,11,FALSE))</f>
        <v>53</v>
      </c>
      <c r="K50" t="s">
        <v>552</v>
      </c>
      <c r="L50">
        <f>VLOOKUP(A50,Leonard2010!D:AJ,32,FALSE)</f>
        <v>39</v>
      </c>
      <c r="M50">
        <f>VLOOKUP($A50,Leonard2010!D:AK,33,FALSE)</f>
        <v>71</v>
      </c>
      <c r="N50">
        <f>VLOOKUP($A50,Leonard2010!D:AL,34,FALSE)</f>
        <v>103</v>
      </c>
      <c r="O50">
        <f t="shared" si="10"/>
        <v>0.95630475596303555</v>
      </c>
      <c r="P50">
        <f t="shared" si="14"/>
        <v>257.83524027459958</v>
      </c>
      <c r="Q50">
        <f>IF(B50="NA","0",VLOOKUP(B50,SectionGeometry!C:E,3,FALSE)*IF(C50="NA",X$277/(X$277+X$276),X$277))</f>
        <v>0.125</v>
      </c>
      <c r="R50">
        <f>Q50*IF(B50="NA",0,((VLOOKUP(B50,SectionGeometry!C:Z,24,FALSE))))</f>
        <v>6551101268130.4395</v>
      </c>
      <c r="S50">
        <f>IF(R50=0,0,Q50*3.3*10^10*P50*10^6*(1/O50)*VLOOKUP(B50,SectionGeometry!C:AA,25,FALSE)*10^-3)</f>
        <v>54850639431329.953</v>
      </c>
      <c r="T50">
        <f t="shared" si="1"/>
        <v>0.8191520442889918</v>
      </c>
      <c r="U50">
        <f>IF(K50="N",E50*35/SIN(RADIANS(J50)),IF(K50="Y",VLOOKUP(A50,Leonard2010!D:U,18,FALSE),IF(C50="NA",VLOOKUP(A50,MSSM_AdaptedSources!B:K,10,FALSE),"CHECK")))</f>
        <v>1266</v>
      </c>
      <c r="V50">
        <f>(1*VLOOKUP(A50,FaultGeometry!B:C,2,FALSE))-Q50-AA50</f>
        <v>0.375</v>
      </c>
      <c r="W50">
        <f>V50*(VLOOKUP(A50,FaultGeometry!B:Y,24,FALSE))</f>
        <v>253836923828560.75</v>
      </c>
      <c r="X50">
        <f>V50*3.3*10^10*U50*10^6*(1/T50)*VLOOKUP(A50,FaultGeometry!B:O,14,FALSE)*10^-3</f>
        <v>797402809213502.25</v>
      </c>
      <c r="Y50" t="str">
        <f t="shared" si="9"/>
        <v>NA</v>
      </c>
      <c r="Z50" t="str">
        <f>IF(C50="NA","NA",VLOOKUP(C50,MSSM_AdaptedSources!B:K,10,FALSE))</f>
        <v>NA</v>
      </c>
      <c r="AA50" t="str">
        <f>IF(C50="NA","0",VLOOKUP(C50,MultiFaultGeometry!B:C,2,FALSE)*IF(B50="NA",X$278/(X$278+X$276),X$278))</f>
        <v>0</v>
      </c>
      <c r="AB50">
        <f>AA50*IF(C50="NA",0,VLOOKUP(C50,MultiFaultGeometry!B:O,14,FALSE))</f>
        <v>0</v>
      </c>
      <c r="AC50">
        <f>IF(AB50=0,0,AA50*3.3*10^10*Z50*10^6*(1/Y50)*VLOOKUP(C50,MultiFaultGeometry!B:G,5,FALSE)*10^-3)</f>
        <v>0</v>
      </c>
      <c r="AE50" s="68">
        <f t="shared" si="3"/>
        <v>0</v>
      </c>
      <c r="AF50" s="68">
        <f t="shared" si="4"/>
        <v>0</v>
      </c>
      <c r="AG50" s="68"/>
    </row>
    <row r="51" spans="1:33" x14ac:dyDescent="0.2">
      <c r="A51" s="68" t="str">
        <f>Leonard2010!D53</f>
        <v>Lisungwe-1</v>
      </c>
      <c r="B51" s="68" t="str">
        <f>Leonard2010!E53</f>
        <v>Lisungwe Link-1</v>
      </c>
      <c r="C51" s="68" t="str">
        <f>Leonard2010!F53</f>
        <v>NA</v>
      </c>
      <c r="D51">
        <f>IF(B51="NA","NA",VLOOKUP(B51,Leonard2010!E:H,3,FALSE))</f>
        <v>2.1</v>
      </c>
      <c r="E51">
        <f>IF(A51="NA","NA",VLOOKUP(A51,Leonard2010!D:I,6,FALSE))</f>
        <v>43.699999999999996</v>
      </c>
      <c r="F51" t="str">
        <f>IF(C51="NA","NA",VLOOKUP(C51,Leonard2010!F:K,6,FALSE))</f>
        <v>NA</v>
      </c>
      <c r="G51">
        <f>IF(B51="NA","NA",VLOOKUP(B51,Leonard2010!E:H,4,FALSE))</f>
        <v>85</v>
      </c>
      <c r="H51">
        <f>IF(A51="NA","NA",VLOOKUP(A51,Leonard2010!D:J,7,FALSE))</f>
        <v>16</v>
      </c>
      <c r="I51" t="str">
        <f>IF(C51="NA","NA",VLOOKUP(C51,Leonard2010!F:L,7,FALSE))</f>
        <v>NA</v>
      </c>
      <c r="J51">
        <f>IF(A51="NA","NA",VLOOKUP(A51,Leonard2010!D:N,11,FALSE))</f>
        <v>53</v>
      </c>
      <c r="K51" t="s">
        <v>552</v>
      </c>
      <c r="L51">
        <f>VLOOKUP(A51,Leonard2010!D:AJ,32,FALSE)</f>
        <v>39</v>
      </c>
      <c r="M51">
        <f>VLOOKUP($A51,Leonard2010!D:AK,33,FALSE)</f>
        <v>71</v>
      </c>
      <c r="N51">
        <f>VLOOKUP($A51,Leonard2010!D:AL,34,FALSE)</f>
        <v>103</v>
      </c>
      <c r="O51">
        <f t="shared" si="10"/>
        <v>0.30901699437494745</v>
      </c>
      <c r="P51">
        <f t="shared" si="14"/>
        <v>60.837528604119001</v>
      </c>
      <c r="Q51">
        <f>IF(B51="NA","0",VLOOKUP(B51,SectionGeometry!C:E,3,FALSE)*IF(C51="NA",X$277/(X$277+X$276),X$277))</f>
        <v>0.125</v>
      </c>
      <c r="R51">
        <f>Q51*IF(B51="NA",0,((VLOOKUP(B51,SectionGeometry!C:Z,24,FALSE))))</f>
        <v>0</v>
      </c>
      <c r="S51">
        <f>IF(R51=0,0,Q51*3.3*10^10*P51*10^6*(1/O51)*VLOOKUP(B51,SectionGeometry!C:AA,25,FALSE)*10^-3)</f>
        <v>0</v>
      </c>
      <c r="T51">
        <f t="shared" si="1"/>
        <v>0.8191520442889918</v>
      </c>
      <c r="U51">
        <f>IF(K51="N",E51*35/SIN(RADIANS(J51)),IF(K51="Y",VLOOKUP(A51,Leonard2010!D:U,18,FALSE),IF(C51="NA",VLOOKUP(A51,MSSM_AdaptedSources!B:K,10,FALSE),"CHECK")))</f>
        <v>1266</v>
      </c>
      <c r="V51">
        <f>(1*VLOOKUP(A51,FaultGeometry!B:C,2,FALSE))-Q51-AA51</f>
        <v>0.375</v>
      </c>
      <c r="W51">
        <f>V51*(VLOOKUP(A51,FaultGeometry!B:Y,24,FALSE))</f>
        <v>253836923828560.75</v>
      </c>
      <c r="X51">
        <f>V51*3.3*10^10*U51*10^6*(1/T51)*VLOOKUP(A51,FaultGeometry!B:O,14,FALSE)*10^-3</f>
        <v>797402809213502.25</v>
      </c>
      <c r="Y51" t="str">
        <f t="shared" si="9"/>
        <v>NA</v>
      </c>
      <c r="Z51" t="str">
        <f>IF(C51="NA","NA",VLOOKUP(C51,MSSM_AdaptedSources!B:K,10,FALSE))</f>
        <v>NA</v>
      </c>
      <c r="AA51" t="str">
        <f>IF(C51="NA","0",VLOOKUP(C51,MultiFaultGeometry!B:C,2,FALSE)*IF(B51="NA",X$278/(X$278+X$276),X$278))</f>
        <v>0</v>
      </c>
      <c r="AB51">
        <f>AA51*IF(C51="NA",0,VLOOKUP(C51,MultiFaultGeometry!B:O,14,FALSE))</f>
        <v>0</v>
      </c>
      <c r="AC51">
        <f>IF(AB51=0,0,AA51*3.3*10^10*Z51*10^6*(1/Y51)*VLOOKUP(C51,MultiFaultGeometry!B:G,5,FALSE)*10^-3)</f>
        <v>0</v>
      </c>
      <c r="AE51" s="68">
        <f t="shared" si="3"/>
        <v>0</v>
      </c>
      <c r="AF51" s="68">
        <f t="shared" si="4"/>
        <v>0</v>
      </c>
      <c r="AG51" s="68"/>
    </row>
    <row r="52" spans="1:33" x14ac:dyDescent="0.2">
      <c r="A52" s="68" t="str">
        <f>Leonard2010!D54</f>
        <v>Lisungwe-1</v>
      </c>
      <c r="B52" s="68" t="str">
        <f>Leonard2010!E54</f>
        <v>Lisungwe North-1</v>
      </c>
      <c r="C52" s="68" t="str">
        <f>Leonard2010!F54</f>
        <v>NA</v>
      </c>
      <c r="D52">
        <f>IF(B52="NA","NA",VLOOKUP(B52,Leonard2010!E:H,3,FALSE))</f>
        <v>7.8</v>
      </c>
      <c r="E52">
        <f>IF(A52="NA","NA",VLOOKUP(A52,Leonard2010!D:I,6,FALSE))</f>
        <v>43.699999999999996</v>
      </c>
      <c r="F52" t="str">
        <f>IF(C52="NA","NA",VLOOKUP(C52,Leonard2010!F:K,6,FALSE))</f>
        <v>NA</v>
      </c>
      <c r="G52">
        <f>IF(B52="NA","NA",VLOOKUP(B52,Leonard2010!E:H,4,FALSE))</f>
        <v>17</v>
      </c>
      <c r="H52">
        <f>IF(A52="NA","NA",VLOOKUP(A52,Leonard2010!D:J,7,FALSE))</f>
        <v>16</v>
      </c>
      <c r="I52" t="str">
        <f>IF(C52="NA","NA",VLOOKUP(C52,Leonard2010!F:L,7,FALSE))</f>
        <v>NA</v>
      </c>
      <c r="J52">
        <f>IF(A52="NA","NA",VLOOKUP(A52,Leonard2010!D:N,11,FALSE))</f>
        <v>53</v>
      </c>
      <c r="K52" t="s">
        <v>552</v>
      </c>
      <c r="L52">
        <f>VLOOKUP(A52,Leonard2010!D:AJ,32,FALSE)</f>
        <v>39</v>
      </c>
      <c r="M52">
        <f>VLOOKUP($A52,Leonard2010!D:AK,33,FALSE)</f>
        <v>71</v>
      </c>
      <c r="N52">
        <f>VLOOKUP($A52,Leonard2010!D:AL,34,FALSE)</f>
        <v>103</v>
      </c>
      <c r="O52">
        <f t="shared" si="10"/>
        <v>0.80901699437494745</v>
      </c>
      <c r="P52">
        <f t="shared" si="14"/>
        <v>225.96796338672769</v>
      </c>
      <c r="Q52">
        <f>IF(B52="NA","0",VLOOKUP(B52,SectionGeometry!C:E,3,FALSE)*IF(C52="NA",X$277/(X$277+X$276),X$277))</f>
        <v>0.125</v>
      </c>
      <c r="R52">
        <f>Q52*IF(B52="NA",0,((VLOOKUP(B52,SectionGeometry!C:Z,24,FALSE))))</f>
        <v>4375653728060.3613</v>
      </c>
      <c r="S52">
        <f>IF(R52=0,0,Q52*3.3*10^10*P52*10^6*(1/O52)*VLOOKUP(B52,SectionGeometry!C:AA,25,FALSE)*10^-3)</f>
        <v>48325046157870.898</v>
      </c>
      <c r="T52">
        <f t="shared" si="1"/>
        <v>0.8191520442889918</v>
      </c>
      <c r="U52">
        <f>IF(K52="N",E52*35/SIN(RADIANS(J52)),IF(K52="Y",VLOOKUP(A52,Leonard2010!D:U,18,FALSE),IF(C52="NA",VLOOKUP(A52,MSSM_AdaptedSources!B:K,10,FALSE),"CHECK")))</f>
        <v>1266</v>
      </c>
      <c r="V52">
        <f>(1*VLOOKUP(A52,FaultGeometry!B:C,2,FALSE))-Q52-AA52</f>
        <v>0.375</v>
      </c>
      <c r="W52">
        <f>V52*(VLOOKUP(A52,FaultGeometry!B:Y,24,FALSE))</f>
        <v>253836923828560.75</v>
      </c>
      <c r="X52">
        <f>V52*3.3*10^10*U52*10^6*(1/T52)*VLOOKUP(A52,FaultGeometry!B:O,14,FALSE)*10^-3</f>
        <v>797402809213502.25</v>
      </c>
      <c r="Y52" t="str">
        <f t="shared" si="9"/>
        <v>NA</v>
      </c>
      <c r="Z52" t="str">
        <f>IF(C52="NA","NA",VLOOKUP(C52,MSSM_AdaptedSources!B:K,10,FALSE))</f>
        <v>NA</v>
      </c>
      <c r="AA52" t="str">
        <f>IF(C52="NA","0",VLOOKUP(C52,MultiFaultGeometry!B:C,2,FALSE)*IF(B52="NA",X$278/(X$278+X$276),X$278))</f>
        <v>0</v>
      </c>
      <c r="AB52">
        <f>AA52*IF(C52="NA",0,VLOOKUP(C52,MultiFaultGeometry!B:O,14,FALSE))</f>
        <v>0</v>
      </c>
      <c r="AC52">
        <f>IF(AB52=0,0,AA52*3.3*10^10*Z52*10^6*(1/Y52)*VLOOKUP(C52,MultiFaultGeometry!B:G,5,FALSE)*10^-3)</f>
        <v>0</v>
      </c>
      <c r="AE52" s="68">
        <f t="shared" si="3"/>
        <v>253836923828560.75</v>
      </c>
      <c r="AF52" s="68">
        <f t="shared" si="4"/>
        <v>797402809213502.25</v>
      </c>
      <c r="AG52" s="68"/>
    </row>
    <row r="53" spans="1:33" x14ac:dyDescent="0.2">
      <c r="A53" s="68" t="str">
        <f>Leonard2010!D55</f>
        <v>Lisungwe-2</v>
      </c>
      <c r="B53" s="68" t="str">
        <f>Leonard2010!E55</f>
        <v>Lisungwe South-2</v>
      </c>
      <c r="C53" s="68" t="str">
        <f>Leonard2010!F55</f>
        <v>NA</v>
      </c>
      <c r="D53">
        <f>IF(B53="NA","NA",VLOOKUP(B53,Leonard2010!E:H,3,FALSE))</f>
        <v>23.7</v>
      </c>
      <c r="E53">
        <f>IF(A53="NA","NA",VLOOKUP(A53,Leonard2010!D:I,6,FALSE))</f>
        <v>48</v>
      </c>
      <c r="F53" t="str">
        <f>IF(C53="NA","NA",VLOOKUP(C53,Leonard2010!F:K,6,FALSE))</f>
        <v>NA</v>
      </c>
      <c r="G53">
        <f>IF(B53="NA","NA",VLOOKUP(B53,Leonard2010!E:H,4,FALSE))</f>
        <v>343</v>
      </c>
      <c r="H53">
        <f>IF(A53="NA","NA",VLOOKUP(A53,Leonard2010!D:J,7,FALSE))</f>
        <v>2</v>
      </c>
      <c r="I53" t="str">
        <f>IF(C53="NA","NA",VLOOKUP(C53,Leonard2010!F:L,7,FALSE))</f>
        <v>NA</v>
      </c>
      <c r="J53">
        <f>IF(A53="NA","NA",VLOOKUP(A53,Leonard2010!D:N,11,FALSE))</f>
        <v>53</v>
      </c>
      <c r="K53" t="s">
        <v>552</v>
      </c>
      <c r="L53">
        <f>VLOOKUP(A53,Leonard2010!D:AJ,32,FALSE)</f>
        <v>39</v>
      </c>
      <c r="M53">
        <f>VLOOKUP($A53,Leonard2010!D:AK,33,FALSE)</f>
        <v>71</v>
      </c>
      <c r="N53">
        <f>VLOOKUP($A53,Leonard2010!D:AL,34,FALSE)</f>
        <v>103</v>
      </c>
      <c r="O53">
        <f t="shared" si="10"/>
        <v>0.86602540378443837</v>
      </c>
      <c r="P53">
        <f t="shared" si="14"/>
        <v>625.08749999999998</v>
      </c>
      <c r="Q53">
        <f>IF(B53="NA","0",VLOOKUP(B53,SectionGeometry!C:E,3,FALSE)*IF(C53="NA",X$277/(X$277+X$276),X$277))</f>
        <v>0.125</v>
      </c>
      <c r="R53">
        <f>Q53*IF(B53="NA",0,((VLOOKUP(B53,SectionGeometry!C:Z,24,FALSE))))</f>
        <v>33315476208172.723</v>
      </c>
      <c r="S53">
        <f>IF(R53=0,0,Q53*3.3*10^10*P53*10^6*(1/O53)*VLOOKUP(B53,SectionGeometry!C:AA,25,FALSE)*10^-3)</f>
        <v>149354881736894.06</v>
      </c>
      <c r="T53">
        <f t="shared" si="1"/>
        <v>0.93358042649720174</v>
      </c>
      <c r="U53">
        <f>IF(K53="N",E53*35/SIN(RADIANS(J53)),IF(K53="Y",VLOOKUP(A53,Leonard2010!D:U,18,FALSE),IF(C53="NA",VLOOKUP(A53,MSSM_AdaptedSources!B:K,10,FALSE),"CHECK")))</f>
        <v>1267</v>
      </c>
      <c r="V53">
        <f>(1*VLOOKUP(A53,FaultGeometry!B:C,2,FALSE))-Q53-AA53</f>
        <v>0.375</v>
      </c>
      <c r="W53">
        <f>V53*(VLOOKUP(A53,FaultGeometry!B:Y,24,FALSE))</f>
        <v>319953554412703.38</v>
      </c>
      <c r="X53">
        <f>V53*3.3*10^10*U53*10^6*(1/T53)*VLOOKUP(A53,FaultGeometry!B:O,14,FALSE)*10^-3</f>
        <v>784506003361369.75</v>
      </c>
      <c r="Y53" t="str">
        <f t="shared" si="9"/>
        <v>NA</v>
      </c>
      <c r="Z53" t="str">
        <f>IF(C53="NA","NA",VLOOKUP(C53,MSSM_AdaptedSources!B:K,10,FALSE))</f>
        <v>NA</v>
      </c>
      <c r="AA53" t="str">
        <f>IF(C53="NA","0",VLOOKUP(C53,MultiFaultGeometry!B:C,2,FALSE)*IF(B53="NA",X$278/(X$278+X$276),X$278))</f>
        <v>0</v>
      </c>
      <c r="AB53">
        <f>AA53*IF(C53="NA",0,VLOOKUP(C53,MultiFaultGeometry!B:O,14,FALSE))</f>
        <v>0</v>
      </c>
      <c r="AC53">
        <f>IF(AB53=0,0,AA53*3.3*10^10*Z53*10^6*(1/Y53)*VLOOKUP(C53,MultiFaultGeometry!B:G,5,FALSE)*10^-3)</f>
        <v>0</v>
      </c>
      <c r="AE53" s="68">
        <f t="shared" si="3"/>
        <v>0</v>
      </c>
      <c r="AF53" s="68">
        <f t="shared" si="4"/>
        <v>0</v>
      </c>
      <c r="AG53" s="68"/>
    </row>
    <row r="54" spans="1:33" x14ac:dyDescent="0.2">
      <c r="A54" s="68" t="str">
        <f>Leonard2010!D56</f>
        <v>Lisungwe-2</v>
      </c>
      <c r="B54" s="68" t="str">
        <f>Leonard2010!E56</f>
        <v>Mlindi-2</v>
      </c>
      <c r="C54" s="68" t="str">
        <f>Leonard2010!F56</f>
        <v>NA</v>
      </c>
      <c r="D54">
        <f>IF(B54="NA","NA",VLOOKUP(B54,Leonard2010!E:H,3,FALSE))</f>
        <v>5.5</v>
      </c>
      <c r="E54">
        <f>IF(A54="NA","NA",VLOOKUP(A54,Leonard2010!D:I,6,FALSE))</f>
        <v>48</v>
      </c>
      <c r="F54" t="str">
        <f>IF(C54="NA","NA",VLOOKUP(C54,Leonard2010!F:K,6,FALSE))</f>
        <v>NA</v>
      </c>
      <c r="G54">
        <f>IF(B54="NA","NA",VLOOKUP(B54,Leonard2010!E:H,4,FALSE))</f>
        <v>56</v>
      </c>
      <c r="H54">
        <f>IF(A54="NA","NA",VLOOKUP(A54,Leonard2010!D:J,7,FALSE))</f>
        <v>2</v>
      </c>
      <c r="I54" t="str">
        <f>IF(C54="NA","NA",VLOOKUP(C54,Leonard2010!F:L,7,FALSE))</f>
        <v>NA</v>
      </c>
      <c r="J54">
        <f>IF(A54="NA","NA",VLOOKUP(A54,Leonard2010!D:N,11,FALSE))</f>
        <v>53</v>
      </c>
      <c r="K54" t="s">
        <v>552</v>
      </c>
      <c r="L54">
        <f>VLOOKUP(A54,Leonard2010!D:AJ,32,FALSE)</f>
        <v>39</v>
      </c>
      <c r="M54">
        <f>VLOOKUP($A54,Leonard2010!D:AK,33,FALSE)</f>
        <v>71</v>
      </c>
      <c r="N54">
        <f>VLOOKUP($A54,Leonard2010!D:AL,34,FALSE)</f>
        <v>103</v>
      </c>
      <c r="O54">
        <f t="shared" si="10"/>
        <v>0.29237170472273666</v>
      </c>
      <c r="P54">
        <f t="shared" si="14"/>
        <v>145.0625</v>
      </c>
      <c r="Q54">
        <f>IF(B54="NA","0",VLOOKUP(B54,SectionGeometry!C:E,3,FALSE)*IF(C54="NA",X$277/(X$277+X$276),X$277))</f>
        <v>0.125</v>
      </c>
      <c r="R54">
        <f>Q54*IF(B54="NA",0,((VLOOKUP(B54,SectionGeometry!C:Z,24,FALSE))))</f>
        <v>1525997748296.4646</v>
      </c>
      <c r="S54">
        <f>IF(R54=0,0,Q54*3.3*10^10*P54*10^6*(1/O54)*VLOOKUP(B54,SectionGeometry!C:AA,25,FALSE)*10^-3)</f>
        <v>53001315369587.812</v>
      </c>
      <c r="T54">
        <f t="shared" si="1"/>
        <v>0.93358042649720174</v>
      </c>
      <c r="U54">
        <f>IF(K54="N",E54*35/SIN(RADIANS(J54)),IF(K54="Y",VLOOKUP(A54,Leonard2010!D:U,18,FALSE),IF(C54="NA",VLOOKUP(A54,MSSM_AdaptedSources!B:K,10,FALSE),"CHECK")))</f>
        <v>1267</v>
      </c>
      <c r="V54">
        <f>(1*VLOOKUP(A54,FaultGeometry!B:C,2,FALSE))-Q54-AA54</f>
        <v>0.375</v>
      </c>
      <c r="W54">
        <f>V54*(VLOOKUP(A54,FaultGeometry!B:Y,24,FALSE))</f>
        <v>319953554412703.38</v>
      </c>
      <c r="X54">
        <f>V54*3.3*10^10*U54*10^6*(1/T54)*VLOOKUP(A54,FaultGeometry!B:O,14,FALSE)*10^-3</f>
        <v>784506003361369.75</v>
      </c>
      <c r="Y54" t="str">
        <f t="shared" si="9"/>
        <v>NA</v>
      </c>
      <c r="Z54" t="str">
        <f>IF(C54="NA","NA",VLOOKUP(C54,MSSM_AdaptedSources!B:K,10,FALSE))</f>
        <v>NA</v>
      </c>
      <c r="AA54" t="str">
        <f>IF(C54="NA","0",VLOOKUP(C54,MultiFaultGeometry!B:C,2,FALSE)*IF(B54="NA",X$278/(X$278+X$276),X$278))</f>
        <v>0</v>
      </c>
      <c r="AB54">
        <f>AA54*IF(C54="NA",0,VLOOKUP(C54,MultiFaultGeometry!B:O,14,FALSE))</f>
        <v>0</v>
      </c>
      <c r="AC54">
        <f>IF(AB54=0,0,AA54*3.3*10^10*Z54*10^6*(1/Y54)*VLOOKUP(C54,MultiFaultGeometry!B:G,5,FALSE)*10^-3)</f>
        <v>0</v>
      </c>
      <c r="AE54" s="68">
        <f t="shared" si="3"/>
        <v>0</v>
      </c>
      <c r="AF54" s="68">
        <f t="shared" si="4"/>
        <v>0</v>
      </c>
      <c r="AG54" s="68"/>
    </row>
    <row r="55" spans="1:33" x14ac:dyDescent="0.2">
      <c r="A55" s="68" t="str">
        <f>Leonard2010!D57</f>
        <v>Lisungwe-2</v>
      </c>
      <c r="B55" s="68" t="str">
        <f>Leonard2010!E57</f>
        <v>Malauli-2</v>
      </c>
      <c r="C55" s="68" t="str">
        <f>Leonard2010!F57</f>
        <v>NA</v>
      </c>
      <c r="D55">
        <f>IF(B55="NA","NA",VLOOKUP(B55,Leonard2010!E:H,3,FALSE))</f>
        <v>8.9</v>
      </c>
      <c r="E55">
        <f>IF(A55="NA","NA",VLOOKUP(A55,Leonard2010!D:I,6,FALSE))</f>
        <v>48</v>
      </c>
      <c r="F55" t="str">
        <f>IF(C55="NA","NA",VLOOKUP(C55,Leonard2010!F:K,6,FALSE))</f>
        <v>NA</v>
      </c>
      <c r="G55">
        <f>IF(B55="NA","NA",VLOOKUP(B55,Leonard2010!E:H,4,FALSE))</f>
        <v>358</v>
      </c>
      <c r="H55">
        <f>IF(A55="NA","NA",VLOOKUP(A55,Leonard2010!D:J,7,FALSE))</f>
        <v>2</v>
      </c>
      <c r="I55" t="str">
        <f>IF(C55="NA","NA",VLOOKUP(C55,Leonard2010!F:L,7,FALSE))</f>
        <v>NA</v>
      </c>
      <c r="J55">
        <f>IF(A55="NA","NA",VLOOKUP(A55,Leonard2010!D:N,11,FALSE))</f>
        <v>53</v>
      </c>
      <c r="K55" t="s">
        <v>552</v>
      </c>
      <c r="L55">
        <f>VLOOKUP(A55,Leonard2010!D:AJ,32,FALSE)</f>
        <v>39</v>
      </c>
      <c r="M55">
        <f>VLOOKUP($A55,Leonard2010!D:AK,33,FALSE)</f>
        <v>71</v>
      </c>
      <c r="N55">
        <f>VLOOKUP($A55,Leonard2010!D:AL,34,FALSE)</f>
        <v>103</v>
      </c>
      <c r="O55">
        <f t="shared" si="10"/>
        <v>0.95630475596303555</v>
      </c>
      <c r="P55">
        <f t="shared" si="14"/>
        <v>234.73750000000001</v>
      </c>
      <c r="Q55">
        <f>IF(B55="NA","0",VLOOKUP(B55,SectionGeometry!C:E,3,FALSE)*IF(C55="NA",X$277/(X$277+X$276),X$277))</f>
        <v>0.125</v>
      </c>
      <c r="R55">
        <f>Q55*IF(B55="NA",0,((VLOOKUP(B55,SectionGeometry!C:Z,24,FALSE))))</f>
        <v>6419288987466.4434</v>
      </c>
      <c r="S55">
        <f>IF(R55=0,0,Q55*3.3*10^10*P55*10^6*(1/O55)*VLOOKUP(B55,SectionGeometry!C:AA,25,FALSE)*10^-3)</f>
        <v>49097952307816.148</v>
      </c>
      <c r="T55">
        <f t="shared" si="1"/>
        <v>0.93358042649720174</v>
      </c>
      <c r="U55">
        <f>IF(K55="N",E55*35/SIN(RADIANS(J55)),IF(K55="Y",VLOOKUP(A55,Leonard2010!D:U,18,FALSE),IF(C55="NA",VLOOKUP(A55,MSSM_AdaptedSources!B:K,10,FALSE),"CHECK")))</f>
        <v>1267</v>
      </c>
      <c r="V55">
        <f>(1*VLOOKUP(A55,FaultGeometry!B:C,2,FALSE))-Q55-AA55</f>
        <v>0.375</v>
      </c>
      <c r="W55">
        <f>V55*(VLOOKUP(A55,FaultGeometry!B:Y,24,FALSE))</f>
        <v>319953554412703.38</v>
      </c>
      <c r="X55">
        <f>V55*3.3*10^10*U55*10^6*(1/T55)*VLOOKUP(A55,FaultGeometry!B:O,14,FALSE)*10^-3</f>
        <v>784506003361369.75</v>
      </c>
      <c r="Y55" t="str">
        <f t="shared" si="9"/>
        <v>NA</v>
      </c>
      <c r="Z55" t="str">
        <f>IF(C55="NA","NA",VLOOKUP(C55,MSSM_AdaptedSources!B:K,10,FALSE))</f>
        <v>NA</v>
      </c>
      <c r="AA55" t="str">
        <f>IF(C55="NA","0",VLOOKUP(C55,MultiFaultGeometry!B:C,2,FALSE)*IF(B55="NA",X$278/(X$278+X$276),X$278))</f>
        <v>0</v>
      </c>
      <c r="AB55">
        <f>AA55*IF(C55="NA",0,VLOOKUP(C55,MultiFaultGeometry!B:O,14,FALSE))</f>
        <v>0</v>
      </c>
      <c r="AC55">
        <f>IF(AB55=0,0,AA55*3.3*10^10*Z55*10^6*(1/Y55)*VLOOKUP(C55,MultiFaultGeometry!B:G,5,FALSE)*10^-3)</f>
        <v>0</v>
      </c>
      <c r="AE55" s="68">
        <f t="shared" si="3"/>
        <v>0</v>
      </c>
      <c r="AF55" s="68">
        <f t="shared" si="4"/>
        <v>0</v>
      </c>
      <c r="AG55" s="68"/>
    </row>
    <row r="56" spans="1:33" x14ac:dyDescent="0.2">
      <c r="A56" s="68" t="str">
        <f>Leonard2010!D58</f>
        <v>Lisungwe-2</v>
      </c>
      <c r="B56" s="68" t="str">
        <f>Leonard2010!E58</f>
        <v>Lisungwe Link-2</v>
      </c>
      <c r="C56" s="68" t="str">
        <f>Leonard2010!F58</f>
        <v>NA</v>
      </c>
      <c r="D56">
        <f>IF(B56="NA","NA",VLOOKUP(B56,Leonard2010!E:H,3,FALSE))</f>
        <v>2.1</v>
      </c>
      <c r="E56">
        <f>IF(A56="NA","NA",VLOOKUP(A56,Leonard2010!D:I,6,FALSE))</f>
        <v>48</v>
      </c>
      <c r="F56" t="str">
        <f>IF(C56="NA","NA",VLOOKUP(C56,Leonard2010!F:K,6,FALSE))</f>
        <v>NA</v>
      </c>
      <c r="G56">
        <f>IF(B56="NA","NA",VLOOKUP(B56,Leonard2010!E:H,4,FALSE))</f>
        <v>85</v>
      </c>
      <c r="H56">
        <f>IF(A56="NA","NA",VLOOKUP(A56,Leonard2010!D:J,7,FALSE))</f>
        <v>2</v>
      </c>
      <c r="I56" t="str">
        <f>IF(C56="NA","NA",VLOOKUP(C56,Leonard2010!F:L,7,FALSE))</f>
        <v>NA</v>
      </c>
      <c r="J56">
        <f>IF(A56="NA","NA",VLOOKUP(A56,Leonard2010!D:N,11,FALSE))</f>
        <v>53</v>
      </c>
      <c r="K56" t="s">
        <v>552</v>
      </c>
      <c r="L56">
        <f>VLOOKUP(A56,Leonard2010!D:AJ,32,FALSE)</f>
        <v>39</v>
      </c>
      <c r="M56">
        <f>VLOOKUP($A56,Leonard2010!D:AK,33,FALSE)</f>
        <v>71</v>
      </c>
      <c r="N56">
        <f>VLOOKUP($A56,Leonard2010!D:AL,34,FALSE)</f>
        <v>103</v>
      </c>
      <c r="O56">
        <f t="shared" si="10"/>
        <v>0.30901699437494745</v>
      </c>
      <c r="P56">
        <f t="shared" si="14"/>
        <v>55.387500000000003</v>
      </c>
      <c r="Q56">
        <f>IF(B56="NA","0",VLOOKUP(B56,SectionGeometry!C:E,3,FALSE)*IF(C56="NA",X$277/(X$277+X$276),X$277))</f>
        <v>0.125</v>
      </c>
      <c r="R56">
        <f>Q56*IF(B56="NA",0,((VLOOKUP(B56,SectionGeometry!C:Z,24,FALSE))))</f>
        <v>0</v>
      </c>
      <c r="S56">
        <f>IF(R56=0,0,Q56*3.3*10^10*P56*10^6*(1/O56)*VLOOKUP(B56,SectionGeometry!C:AA,25,FALSE)*10^-3)</f>
        <v>0</v>
      </c>
      <c r="T56">
        <f t="shared" si="1"/>
        <v>0.93358042649720174</v>
      </c>
      <c r="U56">
        <f>IF(K56="N",E56*35/SIN(RADIANS(J56)),IF(K56="Y",VLOOKUP(A56,Leonard2010!D:U,18,FALSE),IF(C56="NA",VLOOKUP(A56,MSSM_AdaptedSources!B:K,10,FALSE),"CHECK")))</f>
        <v>1267</v>
      </c>
      <c r="V56">
        <f>(1*VLOOKUP(A56,FaultGeometry!B:C,2,FALSE))-Q56-AA56</f>
        <v>0.375</v>
      </c>
      <c r="W56">
        <f>V56*(VLOOKUP(A56,FaultGeometry!B:Y,24,FALSE))</f>
        <v>319953554412703.38</v>
      </c>
      <c r="X56">
        <f>V56*3.3*10^10*U56*10^6*(1/T56)*VLOOKUP(A56,FaultGeometry!B:O,14,FALSE)*10^-3</f>
        <v>784506003361369.75</v>
      </c>
      <c r="Y56" t="str">
        <f t="shared" si="9"/>
        <v>NA</v>
      </c>
      <c r="Z56" t="str">
        <f>IF(C56="NA","NA",VLOOKUP(C56,MSSM_AdaptedSources!B:K,10,FALSE))</f>
        <v>NA</v>
      </c>
      <c r="AA56" t="str">
        <f>IF(C56="NA","0",VLOOKUP(C56,MultiFaultGeometry!B:C,2,FALSE)*IF(B56="NA",X$278/(X$278+X$276),X$278))</f>
        <v>0</v>
      </c>
      <c r="AB56">
        <f>AA56*IF(C56="NA",0,VLOOKUP(C56,MultiFaultGeometry!B:O,14,FALSE))</f>
        <v>0</v>
      </c>
      <c r="AC56">
        <f>IF(AB56=0,0,AA56*3.3*10^10*Z56*10^6*(1/Y56)*VLOOKUP(C56,MultiFaultGeometry!B:G,5,FALSE)*10^-3)</f>
        <v>0</v>
      </c>
      <c r="AE56" s="68">
        <f t="shared" si="3"/>
        <v>0</v>
      </c>
      <c r="AF56" s="68">
        <f t="shared" si="4"/>
        <v>0</v>
      </c>
      <c r="AG56" s="68"/>
    </row>
    <row r="57" spans="1:33" x14ac:dyDescent="0.2">
      <c r="A57" s="68" t="str">
        <f>Leonard2010!D59</f>
        <v>Lisungwe-2</v>
      </c>
      <c r="B57" s="68" t="str">
        <f>Leonard2010!E59</f>
        <v>Lisungwe North-2</v>
      </c>
      <c r="C57" s="68" t="str">
        <f>Leonard2010!F59</f>
        <v>NA</v>
      </c>
      <c r="D57">
        <f>IF(B57="NA","NA",VLOOKUP(B57,Leonard2010!E:H,3,FALSE))</f>
        <v>7.8</v>
      </c>
      <c r="E57">
        <f>IF(A57="NA","NA",VLOOKUP(A57,Leonard2010!D:I,6,FALSE))</f>
        <v>48</v>
      </c>
      <c r="F57" t="str">
        <f>IF(C57="NA","NA",VLOOKUP(C57,Leonard2010!F:K,6,FALSE))</f>
        <v>NA</v>
      </c>
      <c r="G57">
        <f>IF(B57="NA","NA",VLOOKUP(B57,Leonard2010!E:H,4,FALSE))</f>
        <v>17</v>
      </c>
      <c r="H57">
        <f>IF(A57="NA","NA",VLOOKUP(A57,Leonard2010!D:J,7,FALSE))</f>
        <v>2</v>
      </c>
      <c r="I57" t="str">
        <f>IF(C57="NA","NA",VLOOKUP(C57,Leonard2010!F:L,7,FALSE))</f>
        <v>NA</v>
      </c>
      <c r="J57">
        <f>IF(A57="NA","NA",VLOOKUP(A57,Leonard2010!D:N,11,FALSE))</f>
        <v>53</v>
      </c>
      <c r="K57" t="s">
        <v>552</v>
      </c>
      <c r="L57">
        <f>VLOOKUP(A57,Leonard2010!D:AJ,32,FALSE)</f>
        <v>39</v>
      </c>
      <c r="M57">
        <f>VLOOKUP($A57,Leonard2010!D:AK,33,FALSE)</f>
        <v>71</v>
      </c>
      <c r="N57">
        <f>VLOOKUP($A57,Leonard2010!D:AL,34,FALSE)</f>
        <v>103</v>
      </c>
      <c r="O57">
        <f t="shared" si="10"/>
        <v>0.80901699437494745</v>
      </c>
      <c r="P57">
        <f t="shared" si="14"/>
        <v>205.72499999999999</v>
      </c>
      <c r="Q57">
        <f>IF(B57="NA","0",VLOOKUP(B57,SectionGeometry!C:E,3,FALSE)*IF(C57="NA",X$277/(X$277+X$276),X$277))</f>
        <v>0.125</v>
      </c>
      <c r="R57">
        <f>Q57*IF(B57="NA",0,((VLOOKUP(B57,SectionGeometry!C:Z,24,FALSE))))</f>
        <v>4401935708479.0107</v>
      </c>
      <c r="S57">
        <f>IF(R57=0,0,Q57*3.3*10^10*P57*10^6*(1/O57)*VLOOKUP(B57,SectionGeometry!C:AA,25,FALSE)*10^-3)</f>
        <v>43747802576328.969</v>
      </c>
      <c r="T57">
        <f t="shared" si="1"/>
        <v>0.93358042649720174</v>
      </c>
      <c r="U57">
        <f>IF(K57="N",E57*35/SIN(RADIANS(J57)),IF(K57="Y",VLOOKUP(A57,Leonard2010!D:U,18,FALSE),IF(C57="NA",VLOOKUP(A57,MSSM_AdaptedSources!B:K,10,FALSE),"CHECK")))</f>
        <v>1267</v>
      </c>
      <c r="V57">
        <f>(1*VLOOKUP(A57,FaultGeometry!B:C,2,FALSE))-Q57-AA57</f>
        <v>0.375</v>
      </c>
      <c r="W57">
        <f>V57*(VLOOKUP(A57,FaultGeometry!B:Y,24,FALSE))</f>
        <v>319953554412703.38</v>
      </c>
      <c r="X57">
        <f>V57*3.3*10^10*U57*10^6*(1/T57)*VLOOKUP(A57,FaultGeometry!B:O,14,FALSE)*10^-3</f>
        <v>784506003361369.75</v>
      </c>
      <c r="Y57" t="str">
        <f t="shared" si="9"/>
        <v>NA</v>
      </c>
      <c r="Z57" t="str">
        <f>IF(C57="NA","NA",VLOOKUP(C57,MSSM_AdaptedSources!B:K,10,FALSE))</f>
        <v>NA</v>
      </c>
      <c r="AA57" t="str">
        <f>IF(C57="NA","0",VLOOKUP(C57,MultiFaultGeometry!B:C,2,FALSE)*IF(B57="NA",X$278/(X$278+X$276),X$278))</f>
        <v>0</v>
      </c>
      <c r="AB57">
        <f>AA57*IF(C57="NA",0,VLOOKUP(C57,MultiFaultGeometry!B:O,14,FALSE))</f>
        <v>0</v>
      </c>
      <c r="AC57">
        <f>IF(AB57=0,0,AA57*3.3*10^10*Z57*10^6*(1/Y57)*VLOOKUP(C57,MultiFaultGeometry!B:G,5,FALSE)*10^-3)</f>
        <v>0</v>
      </c>
      <c r="AE57" s="68">
        <f t="shared" si="3"/>
        <v>319953554412703.38</v>
      </c>
      <c r="AF57" s="68">
        <f t="shared" si="4"/>
        <v>784506003361369.75</v>
      </c>
      <c r="AG57" s="68"/>
    </row>
    <row r="58" spans="1:33" x14ac:dyDescent="0.2">
      <c r="A58" s="68" t="str">
        <f>Leonard2010!D60</f>
        <v>Wamkurumadzi-1</v>
      </c>
      <c r="B58" s="68" t="str">
        <f>Leonard2010!E60</f>
        <v>Wamkurumadzi South-1</v>
      </c>
      <c r="C58" s="68" t="str">
        <f>Leonard2010!F60</f>
        <v>NA</v>
      </c>
      <c r="D58">
        <f>IF(B58="NA","NA",VLOOKUP(B58,Leonard2010!E:H,3,FALSE))</f>
        <v>14.9</v>
      </c>
      <c r="E58">
        <f>IF(A58="NA","NA",VLOOKUP(A58,Leonard2010!D:I,6,FALSE))</f>
        <v>56.1</v>
      </c>
      <c r="F58" t="str">
        <f>IF(C58="NA","NA",VLOOKUP(C58,Leonard2010!F:K,6,FALSE))</f>
        <v>NA</v>
      </c>
      <c r="G58">
        <f>IF(B58="NA","NA",VLOOKUP(B58,Leonard2010!E:H,4,FALSE))</f>
        <v>327</v>
      </c>
      <c r="H58">
        <f>IF(A58="NA","NA",VLOOKUP(A58,Leonard2010!D:J,7,FALSE))</f>
        <v>358</v>
      </c>
      <c r="I58" t="str">
        <f>IF(C58="NA","NA",VLOOKUP(C58,Leonard2010!F:L,7,FALSE))</f>
        <v>NA</v>
      </c>
      <c r="J58">
        <f>IF(A58="NA","NA",VLOOKUP(A58,Leonard2010!D:N,11,FALSE))</f>
        <v>53</v>
      </c>
      <c r="K58" t="s">
        <v>552</v>
      </c>
      <c r="L58">
        <f>VLOOKUP(A58,Leonard2010!D:AJ,32,FALSE)</f>
        <v>39</v>
      </c>
      <c r="M58">
        <f>VLOOKUP($A58,Leonard2010!D:AK,33,FALSE)</f>
        <v>71</v>
      </c>
      <c r="N58">
        <f>VLOOKUP($A58,Leonard2010!D:AL,34,FALSE)</f>
        <v>103</v>
      </c>
      <c r="O58">
        <f t="shared" si="10"/>
        <v>0.95105651629515364</v>
      </c>
      <c r="P58">
        <f>D58*(2175/E58)</f>
        <v>577.67379679144381</v>
      </c>
      <c r="Q58">
        <f>IF(B58="NA","0",VLOOKUP(B58,SectionGeometry!C:E,3,FALSE)*IF(C58="NA",X$277/(X$277+X$276),X$277))</f>
        <v>0.125</v>
      </c>
      <c r="R58">
        <f>Q58*IF(B58="NA",0,((VLOOKUP(B58,SectionGeometry!C:Z,24,FALSE))))</f>
        <v>14932272449457.102</v>
      </c>
      <c r="S58">
        <f>IF(R58=0,0,Q58*3.3*10^10*P58*10^6*(1/O58)*VLOOKUP(B58,SectionGeometry!C:AA,25,FALSE)*10^-3)</f>
        <v>122571299178799.41</v>
      </c>
      <c r="T58">
        <f t="shared" si="1"/>
        <v>0.95630475596303555</v>
      </c>
      <c r="U58">
        <f>IF(K58="N",E58*35/SIN(RADIANS(J58)),IF(K58="Y",VLOOKUP(A58,Leonard2010!D:U,18,FALSE),IF(C58="NA",VLOOKUP(A58,MSSM_AdaptedSources!B:K,10,FALSE),"CHECK")))</f>
        <v>2175</v>
      </c>
      <c r="V58">
        <f>(1*VLOOKUP(A58,FaultGeometry!B:C,2,FALSE))-Q58-AA58</f>
        <v>0.375</v>
      </c>
      <c r="W58">
        <f>V58*(VLOOKUP(A58,FaultGeometry!B:Y,24,FALSE))</f>
        <v>423325124761986.62</v>
      </c>
      <c r="X58">
        <f>V58*3.3*10^10*U58*10^6*(1/T58)*VLOOKUP(A58,FaultGeometry!B:O,14,FALSE)*10^-3</f>
        <v>1347389731021336</v>
      </c>
      <c r="Y58" t="str">
        <f t="shared" si="9"/>
        <v>NA</v>
      </c>
      <c r="Z58" t="str">
        <f>IF(C58="NA","NA",VLOOKUP(C58,MSSM_AdaptedSources!B:K,10,FALSE))</f>
        <v>NA</v>
      </c>
      <c r="AA58" t="str">
        <f>IF(C58="NA","0",VLOOKUP(C58,MultiFaultGeometry!B:C,2,FALSE)*IF(B58="NA",X$278/(X$278+X$276),X$278))</f>
        <v>0</v>
      </c>
      <c r="AB58">
        <f>AA58*IF(C58="NA",0,VLOOKUP(C58,MultiFaultGeometry!B:O,14,FALSE))</f>
        <v>0</v>
      </c>
      <c r="AC58">
        <f>IF(AB58=0,0,AA58*3.3*10^10*Z58*10^6*(1/Y58)*VLOOKUP(C58,MultiFaultGeometry!B:G,5,FALSE)*10^-3)</f>
        <v>0</v>
      </c>
      <c r="AE58" s="68">
        <f t="shared" si="3"/>
        <v>0</v>
      </c>
      <c r="AF58" s="68">
        <f t="shared" si="4"/>
        <v>0</v>
      </c>
      <c r="AG58" s="68"/>
    </row>
    <row r="59" spans="1:33" x14ac:dyDescent="0.2">
      <c r="A59" s="68" t="str">
        <f>Leonard2010!D61</f>
        <v>Wamkurumadzi-1</v>
      </c>
      <c r="B59" s="68" t="str">
        <f>Leonard2010!E61</f>
        <v>Wamkurumadzi Central-1</v>
      </c>
      <c r="C59" s="68" t="str">
        <f>Leonard2010!F61</f>
        <v>NA</v>
      </c>
      <c r="D59">
        <f>IF(B59="NA","NA",VLOOKUP(B59,Leonard2010!E:H,3,FALSE))</f>
        <v>28.7</v>
      </c>
      <c r="E59">
        <f>IF(A59="NA","NA",VLOOKUP(A59,Leonard2010!D:I,6,FALSE))</f>
        <v>56.1</v>
      </c>
      <c r="F59" t="str">
        <f>IF(C59="NA","NA",VLOOKUP(C59,Leonard2010!F:K,6,FALSE))</f>
        <v>NA</v>
      </c>
      <c r="G59">
        <f>IF(B59="NA","NA",VLOOKUP(B59,Leonard2010!E:H,4,FALSE))</f>
        <v>5</v>
      </c>
      <c r="H59">
        <f>IF(A59="NA","NA",VLOOKUP(A59,Leonard2010!D:J,7,FALSE))</f>
        <v>358</v>
      </c>
      <c r="I59" t="str">
        <f>IF(C59="NA","NA",VLOOKUP(C59,Leonard2010!F:L,7,FALSE))</f>
        <v>NA</v>
      </c>
      <c r="J59">
        <f>IF(A59="NA","NA",VLOOKUP(A59,Leonard2010!D:N,11,FALSE))</f>
        <v>53</v>
      </c>
      <c r="K59" t="s">
        <v>552</v>
      </c>
      <c r="L59">
        <f>VLOOKUP(A59,Leonard2010!D:AJ,32,FALSE)</f>
        <v>39</v>
      </c>
      <c r="M59">
        <f>VLOOKUP($A59,Leonard2010!D:AK,33,FALSE)</f>
        <v>71</v>
      </c>
      <c r="N59">
        <f>VLOOKUP($A59,Leonard2010!D:AL,34,FALSE)</f>
        <v>103</v>
      </c>
      <c r="O59">
        <f t="shared" ref="O59:O127" si="15">IF($B59="NA","NA",MEDIAN(ABS(COS(RADIANS($L59-$G59-90))),ABS(COS(RADIANS($M59-$G59-90))),ABS(COS(RADIANS($N59-$G59-90)))))</f>
        <v>0.91354545764260087</v>
      </c>
      <c r="P59">
        <f t="shared" ref="P59:P60" si="16">D59*(2175/E59)</f>
        <v>1112.7005347593581</v>
      </c>
      <c r="Q59">
        <f>IF(B59="NA","0",VLOOKUP(B59,SectionGeometry!C:E,3,FALSE)*IF(C59="NA",X$277/(X$277+X$276),X$277))</f>
        <v>0.125</v>
      </c>
      <c r="R59">
        <f>Q59*IF(B59="NA",0,((VLOOKUP(B59,SectionGeometry!C:Z,24,FALSE))))</f>
        <v>42892022262092.203</v>
      </c>
      <c r="S59">
        <f>IF(R59=0,0,Q59*3.3*10^10*P59*10^6*(1/O59)*VLOOKUP(B59,SectionGeometry!C:AA,25,FALSE)*10^-3)</f>
        <v>232371942130920.31</v>
      </c>
      <c r="T59">
        <f t="shared" si="1"/>
        <v>0.95630475596303555</v>
      </c>
      <c r="U59">
        <f>IF(K59="N",E59*35/SIN(RADIANS(J59)),IF(K59="Y",VLOOKUP(A59,Leonard2010!D:U,18,FALSE),IF(C59="NA",VLOOKUP(A59,MSSM_AdaptedSources!B:K,10,FALSE),"CHECK")))</f>
        <v>2175</v>
      </c>
      <c r="V59">
        <f>(1*VLOOKUP(A59,FaultGeometry!B:C,2,FALSE))-Q59-AA59</f>
        <v>0.375</v>
      </c>
      <c r="W59">
        <f>V59*(VLOOKUP(A59,FaultGeometry!B:Y,24,FALSE))</f>
        <v>423325124761986.62</v>
      </c>
      <c r="X59">
        <f>V59*3.3*10^10*U59*10^6*(1/T59)*VLOOKUP(A59,FaultGeometry!B:O,14,FALSE)*10^-3</f>
        <v>1347389731021336</v>
      </c>
      <c r="Y59" t="str">
        <f t="shared" si="9"/>
        <v>NA</v>
      </c>
      <c r="Z59" t="str">
        <f>IF(C59="NA","NA",VLOOKUP(C59,MSSM_AdaptedSources!B:K,10,FALSE))</f>
        <v>NA</v>
      </c>
      <c r="AA59" t="str">
        <f>IF(C59="NA","0",VLOOKUP(C59,MultiFaultGeometry!B:C,2,FALSE)*IF(B59="NA",X$278/(X$278+X$276),X$278))</f>
        <v>0</v>
      </c>
      <c r="AB59">
        <f>AA59*IF(C59="NA",0,VLOOKUP(C59,MultiFaultGeometry!B:O,14,FALSE))</f>
        <v>0</v>
      </c>
      <c r="AC59">
        <f>IF(AB59=0,0,AA59*3.3*10^10*Z59*10^6*(1/Y59)*VLOOKUP(C59,MultiFaultGeometry!B:G,5,FALSE)*10^-3)</f>
        <v>0</v>
      </c>
      <c r="AE59" s="68">
        <f t="shared" si="3"/>
        <v>0</v>
      </c>
      <c r="AF59" s="68">
        <f t="shared" si="4"/>
        <v>0</v>
      </c>
      <c r="AG59" s="68"/>
    </row>
    <row r="60" spans="1:33" x14ac:dyDescent="0.2">
      <c r="A60" s="68" t="str">
        <f>Leonard2010!D62</f>
        <v>Wamkurumadzi-1</v>
      </c>
      <c r="B60" s="68" t="str">
        <f>Leonard2010!E62</f>
        <v>Wamkurumadzi North-1</v>
      </c>
      <c r="C60" s="68" t="str">
        <f>Leonard2010!F62</f>
        <v>NA</v>
      </c>
      <c r="D60">
        <f>IF(B60="NA","NA",VLOOKUP(B60,Leonard2010!E:H,3,FALSE))</f>
        <v>12.5</v>
      </c>
      <c r="E60">
        <f>IF(A60="NA","NA",VLOOKUP(A60,Leonard2010!D:I,6,FALSE))</f>
        <v>56.1</v>
      </c>
      <c r="F60" t="str">
        <f>IF(C60="NA","NA",VLOOKUP(C60,Leonard2010!F:K,6,FALSE))</f>
        <v>NA</v>
      </c>
      <c r="G60">
        <f>IF(B60="NA","NA",VLOOKUP(B60,Leonard2010!E:H,4,FALSE))</f>
        <v>19</v>
      </c>
      <c r="H60">
        <f>IF(A60="NA","NA",VLOOKUP(A60,Leonard2010!D:J,7,FALSE))</f>
        <v>358</v>
      </c>
      <c r="I60" t="str">
        <f>IF(C60="NA","NA",VLOOKUP(C60,Leonard2010!F:L,7,FALSE))</f>
        <v>NA</v>
      </c>
      <c r="J60">
        <f>IF(A60="NA","NA",VLOOKUP(A60,Leonard2010!D:N,11,FALSE))</f>
        <v>53</v>
      </c>
      <c r="K60" t="s">
        <v>552</v>
      </c>
      <c r="L60">
        <f>VLOOKUP(A60,Leonard2010!D:AJ,32,FALSE)</f>
        <v>39</v>
      </c>
      <c r="M60">
        <f>VLOOKUP($A60,Leonard2010!D:AK,33,FALSE)</f>
        <v>71</v>
      </c>
      <c r="N60">
        <f>VLOOKUP($A60,Leonard2010!D:AL,34,FALSE)</f>
        <v>103</v>
      </c>
      <c r="O60">
        <f t="shared" si="15"/>
        <v>0.7880107536067219</v>
      </c>
      <c r="P60">
        <f t="shared" si="16"/>
        <v>484.6256684491978</v>
      </c>
      <c r="Q60">
        <f>IF(B60="NA","0",VLOOKUP(B60,SectionGeometry!C:E,3,FALSE)*IF(C60="NA",X$277/(X$277+X$276),X$277))</f>
        <v>0.125</v>
      </c>
      <c r="R60">
        <f>Q60*IF(B60="NA",0,((VLOOKUP(B60,SectionGeometry!C:Z,24,FALSE))))</f>
        <v>9520765283131.4355</v>
      </c>
      <c r="S60">
        <f>IF(R60=0,0,Q60*3.3*10^10*P60*10^6*(1/O60)*VLOOKUP(B60,SectionGeometry!C:AA,25,FALSE)*10^-3)</f>
        <v>105666232139429.92</v>
      </c>
      <c r="T60">
        <f t="shared" si="1"/>
        <v>0.95630475596303555</v>
      </c>
      <c r="U60">
        <f>IF(K60="N",E60*35/SIN(RADIANS(J60)),IF(K60="Y",VLOOKUP(A60,Leonard2010!D:U,18,FALSE),IF(C60="NA",VLOOKUP(A60,MSSM_AdaptedSources!B:K,10,FALSE),"CHECK")))</f>
        <v>2175</v>
      </c>
      <c r="V60">
        <f>(1*VLOOKUP(A60,FaultGeometry!B:C,2,FALSE))-Q60-AA60</f>
        <v>0.375</v>
      </c>
      <c r="W60">
        <f>V60*(VLOOKUP(A60,FaultGeometry!B:Y,24,FALSE))</f>
        <v>423325124761986.62</v>
      </c>
      <c r="X60">
        <f>V60*3.3*10^10*U60*10^6*(1/T60)*VLOOKUP(A60,FaultGeometry!B:O,14,FALSE)*10^-3</f>
        <v>1347389731021336</v>
      </c>
      <c r="Y60" t="str">
        <f t="shared" si="9"/>
        <v>NA</v>
      </c>
      <c r="Z60" t="str">
        <f>IF(C60="NA","NA",VLOOKUP(C60,MSSM_AdaptedSources!B:K,10,FALSE))</f>
        <v>NA</v>
      </c>
      <c r="AA60" t="str">
        <f>IF(C60="NA","0",VLOOKUP(C60,MultiFaultGeometry!B:C,2,FALSE)*IF(B60="NA",X$278/(X$278+X$276),X$278))</f>
        <v>0</v>
      </c>
      <c r="AB60">
        <f>AA60*IF(C60="NA",0,VLOOKUP(C60,MultiFaultGeometry!B:O,14,FALSE))</f>
        <v>0</v>
      </c>
      <c r="AC60">
        <f>IF(AB60=0,0,AA60*3.3*10^10*Z60*10^6*(1/Y60)*VLOOKUP(C60,MultiFaultGeometry!B:G,5,FALSE)*10^-3)</f>
        <v>0</v>
      </c>
      <c r="AE60" s="68">
        <f t="shared" si="3"/>
        <v>423325124761986.62</v>
      </c>
      <c r="AF60" s="68">
        <f t="shared" si="4"/>
        <v>1347389731021336</v>
      </c>
      <c r="AG60" s="68"/>
    </row>
    <row r="61" spans="1:33" x14ac:dyDescent="0.2">
      <c r="A61" s="68" t="str">
        <f>Leonard2010!D63</f>
        <v>Wamkurumadzi-2</v>
      </c>
      <c r="B61" s="68" t="str">
        <f>Leonard2010!E63</f>
        <v>Wamkurumadzi South-2</v>
      </c>
      <c r="C61" s="68" t="str">
        <f>Leonard2010!F63</f>
        <v>NA</v>
      </c>
      <c r="D61">
        <f>IF(B61="NA","NA",VLOOKUP(B61,Leonard2010!E:H,3,FALSE))</f>
        <v>10</v>
      </c>
      <c r="E61">
        <f>IF(A61="NA","NA",VLOOKUP(A61,Leonard2010!D:I,6,FALSE))</f>
        <v>51.2</v>
      </c>
      <c r="F61" t="str">
        <f>IF(C61="NA","NA",VLOOKUP(C61,Leonard2010!F:K,6,FALSE))</f>
        <v>NA</v>
      </c>
      <c r="G61">
        <f>IF(B61="NA","NA",VLOOKUP(B61,Leonard2010!E:H,4,FALSE))</f>
        <v>352</v>
      </c>
      <c r="H61">
        <f>IF(A61="NA","NA",VLOOKUP(A61,Leonard2010!D:J,7,FALSE))</f>
        <v>6</v>
      </c>
      <c r="I61" t="str">
        <f>IF(C61="NA","NA",VLOOKUP(C61,Leonard2010!F:L,7,FALSE))</f>
        <v>NA</v>
      </c>
      <c r="J61">
        <f>IF(A61="NA","NA",VLOOKUP(A61,Leonard2010!D:N,11,FALSE))</f>
        <v>53</v>
      </c>
      <c r="K61" t="s">
        <v>552</v>
      </c>
      <c r="L61">
        <f>VLOOKUP(A61,Leonard2010!D:AJ,32,FALSE)</f>
        <v>39</v>
      </c>
      <c r="M61">
        <f>VLOOKUP($A61,Leonard2010!D:AK,33,FALSE)</f>
        <v>71</v>
      </c>
      <c r="N61">
        <f>VLOOKUP($A61,Leonard2010!D:AL,34,FALSE)</f>
        <v>103</v>
      </c>
      <c r="O61">
        <f t="shared" si="15"/>
        <v>0.93358042649720152</v>
      </c>
      <c r="P61">
        <f>D61*(1979/E61)</f>
        <v>386.5234375</v>
      </c>
      <c r="Q61">
        <f>IF(B61="NA","0",VLOOKUP(B61,SectionGeometry!C:E,3,FALSE)*IF(C61="NA",X$277/(X$277+X$276),X$277))</f>
        <v>0.125</v>
      </c>
      <c r="R61">
        <f>Q61*IF(B61="NA",0,((VLOOKUP(B61,SectionGeometry!C:Z,24,FALSE))))</f>
        <v>7705825639452.0869</v>
      </c>
      <c r="S61">
        <f>IF(R61=0,0,Q61*3.3*10^10*P61*10^6*(1/O61)*VLOOKUP(B61,SectionGeometry!C:AA,25,FALSE)*10^-3)</f>
        <v>82941736284349.438</v>
      </c>
      <c r="T61">
        <f t="shared" si="1"/>
        <v>0.90630778703664994</v>
      </c>
      <c r="U61">
        <f>IF(K61="N",E61*35/SIN(RADIANS(J61)),IF(K61="Y",VLOOKUP(A61,Leonard2010!D:U,18,FALSE),IF(C61="NA",VLOOKUP(A61,MSSM_AdaptedSources!B:K,10,FALSE),"CHECK")))</f>
        <v>1979</v>
      </c>
      <c r="V61">
        <f>(1*VLOOKUP(A61,FaultGeometry!B:C,2,FALSE))-Q61-AA61</f>
        <v>0.375</v>
      </c>
      <c r="W61">
        <f>V61*(VLOOKUP(A61,FaultGeometry!B:Y,24,FALSE))</f>
        <v>357328072001012</v>
      </c>
      <c r="X61">
        <f>V61*3.3*10^10*U61*10^6*(1/T61)*VLOOKUP(A61,FaultGeometry!B:O,14,FALSE)*10^-3</f>
        <v>1243988018163580.5</v>
      </c>
      <c r="Y61" t="str">
        <f t="shared" si="9"/>
        <v>NA</v>
      </c>
      <c r="Z61" t="str">
        <f>IF(C61="NA","NA",VLOOKUP(C61,MSSM_AdaptedSources!B:K,10,FALSE))</f>
        <v>NA</v>
      </c>
      <c r="AA61" t="str">
        <f>IF(C61="NA","0",VLOOKUP(C61,MultiFaultGeometry!B:C,2,FALSE)*IF(B61="NA",X$278/(X$278+X$276),X$278))</f>
        <v>0</v>
      </c>
      <c r="AB61">
        <f>AA61*IF(C61="NA",0,VLOOKUP(C61,MultiFaultGeometry!B:O,14,FALSE))</f>
        <v>0</v>
      </c>
      <c r="AC61">
        <f>IF(AB61=0,0,AA61*3.3*10^10*Z61*10^6*(1/Y61)*VLOOKUP(C61,MultiFaultGeometry!B:G,5,FALSE)*10^-3)</f>
        <v>0</v>
      </c>
      <c r="AE61" s="68">
        <f t="shared" si="3"/>
        <v>0</v>
      </c>
      <c r="AF61" s="68">
        <f t="shared" si="4"/>
        <v>0</v>
      </c>
      <c r="AG61" s="68"/>
    </row>
    <row r="62" spans="1:33" x14ac:dyDescent="0.2">
      <c r="A62" s="68" t="str">
        <f>Leonard2010!D64</f>
        <v>Wamkurumadzi-2</v>
      </c>
      <c r="B62" s="68" t="str">
        <f>Leonard2010!E64</f>
        <v>Wamkurumadzi Central-2</v>
      </c>
      <c r="C62" s="68" t="str">
        <f>Leonard2010!F64</f>
        <v>NA</v>
      </c>
      <c r="D62">
        <f>IF(B62="NA","NA",VLOOKUP(B62,Leonard2010!E:H,3,FALSE))</f>
        <v>28.7</v>
      </c>
      <c r="E62">
        <f>IF(A62="NA","NA",VLOOKUP(A62,Leonard2010!D:I,6,FALSE))</f>
        <v>51.2</v>
      </c>
      <c r="F62" t="str">
        <f>IF(C62="NA","NA",VLOOKUP(C62,Leonard2010!F:K,6,FALSE))</f>
        <v>NA</v>
      </c>
      <c r="G62">
        <f>IF(B62="NA","NA",VLOOKUP(B62,Leonard2010!E:H,4,FALSE))</f>
        <v>5</v>
      </c>
      <c r="H62">
        <f>IF(A62="NA","NA",VLOOKUP(A62,Leonard2010!D:J,7,FALSE))</f>
        <v>6</v>
      </c>
      <c r="I62" t="str">
        <f>IF(C62="NA","NA",VLOOKUP(C62,Leonard2010!F:L,7,FALSE))</f>
        <v>NA</v>
      </c>
      <c r="J62">
        <f>IF(A62="NA","NA",VLOOKUP(A62,Leonard2010!D:N,11,FALSE))</f>
        <v>53</v>
      </c>
      <c r="K62" t="s">
        <v>552</v>
      </c>
      <c r="L62">
        <f>VLOOKUP(A62,Leonard2010!D:AJ,32,FALSE)</f>
        <v>39</v>
      </c>
      <c r="M62">
        <f>VLOOKUP($A62,Leonard2010!D:AK,33,FALSE)</f>
        <v>71</v>
      </c>
      <c r="N62">
        <f>VLOOKUP($A62,Leonard2010!D:AL,34,FALSE)</f>
        <v>103</v>
      </c>
      <c r="O62">
        <f t="shared" si="15"/>
        <v>0.91354545764260087</v>
      </c>
      <c r="P62">
        <f t="shared" ref="P62:P63" si="17">D62*(1979/E62)</f>
        <v>1109.322265625</v>
      </c>
      <c r="Q62">
        <f>IF(B62="NA","0",VLOOKUP(B62,SectionGeometry!C:E,3,FALSE)*IF(C62="NA",X$277/(X$277+X$276),X$277))</f>
        <v>0.125</v>
      </c>
      <c r="R62">
        <f>Q62*IF(B62="NA",0,((VLOOKUP(B62,SectionGeometry!C:Z,24,FALSE))))</f>
        <v>43366990079930.188</v>
      </c>
      <c r="S62">
        <f>IF(R62=0,0,Q62*3.3*10^10*P62*10^6*(1/O62)*VLOOKUP(B62,SectionGeometry!C:AA,25,FALSE)*10^-3)</f>
        <v>232870388628946.84</v>
      </c>
      <c r="T62">
        <f t="shared" si="1"/>
        <v>0.90630778703664994</v>
      </c>
      <c r="U62">
        <f>IF(K62="N",E62*35/SIN(RADIANS(J62)),IF(K62="Y",VLOOKUP(A62,Leonard2010!D:U,18,FALSE),IF(C62="NA",VLOOKUP(A62,MSSM_AdaptedSources!B:K,10,FALSE),"CHECK")))</f>
        <v>1979</v>
      </c>
      <c r="V62">
        <f>(1*VLOOKUP(A62,FaultGeometry!B:C,2,FALSE))-Q62-AA62</f>
        <v>0.375</v>
      </c>
      <c r="W62">
        <f>V62*(VLOOKUP(A62,FaultGeometry!B:Y,24,FALSE))</f>
        <v>357328072001012</v>
      </c>
      <c r="X62">
        <f>V62*3.3*10^10*U62*10^6*(1/T62)*VLOOKUP(A62,FaultGeometry!B:O,14,FALSE)*10^-3</f>
        <v>1243988018163580.5</v>
      </c>
      <c r="Y62" t="str">
        <f t="shared" si="9"/>
        <v>NA</v>
      </c>
      <c r="Z62" t="str">
        <f>IF(C62="NA","NA",VLOOKUP(C62,MSSM_AdaptedSources!B:K,10,FALSE))</f>
        <v>NA</v>
      </c>
      <c r="AA62" t="str">
        <f>IF(C62="NA","0",VLOOKUP(C62,MultiFaultGeometry!B:C,2,FALSE)*IF(B62="NA",X$278/(X$278+X$276),X$278))</f>
        <v>0</v>
      </c>
      <c r="AB62">
        <f>AA62*IF(C62="NA",0,VLOOKUP(C62,MultiFaultGeometry!B:O,14,FALSE))</f>
        <v>0</v>
      </c>
      <c r="AC62">
        <f>IF(AB62=0,0,AA62*3.3*10^10*Z62*10^6*(1/Y62)*VLOOKUP(C62,MultiFaultGeometry!B:G,5,FALSE)*10^-3)</f>
        <v>0</v>
      </c>
      <c r="AE62" s="68">
        <f t="shared" si="3"/>
        <v>0</v>
      </c>
      <c r="AF62" s="68">
        <f t="shared" si="4"/>
        <v>0</v>
      </c>
      <c r="AG62" s="68"/>
    </row>
    <row r="63" spans="1:33" x14ac:dyDescent="0.2">
      <c r="A63" s="68" t="str">
        <f>Leonard2010!D65</f>
        <v>Wamkurumadzi-2</v>
      </c>
      <c r="B63" s="68" t="str">
        <f>Leonard2010!E65</f>
        <v>Wamkurumadzi North-2</v>
      </c>
      <c r="C63" s="68" t="str">
        <f>Leonard2010!F65</f>
        <v>NA</v>
      </c>
      <c r="D63">
        <f>IF(B63="NA","NA",VLOOKUP(B63,Leonard2010!E:H,3,FALSE))</f>
        <v>12.5</v>
      </c>
      <c r="E63">
        <f>IF(A63="NA","NA",VLOOKUP(A63,Leonard2010!D:I,6,FALSE))</f>
        <v>51.2</v>
      </c>
      <c r="F63" t="str">
        <f>IF(C63="NA","NA",VLOOKUP(C63,Leonard2010!F:K,6,FALSE))</f>
        <v>NA</v>
      </c>
      <c r="G63">
        <f>IF(B63="NA","NA",VLOOKUP(B63,Leonard2010!E:H,4,FALSE))</f>
        <v>19</v>
      </c>
      <c r="H63">
        <f>IF(A63="NA","NA",VLOOKUP(A63,Leonard2010!D:J,7,FALSE))</f>
        <v>6</v>
      </c>
      <c r="I63" t="str">
        <f>IF(C63="NA","NA",VLOOKUP(C63,Leonard2010!F:L,7,FALSE))</f>
        <v>NA</v>
      </c>
      <c r="J63">
        <f>IF(A63="NA","NA",VLOOKUP(A63,Leonard2010!D:N,11,FALSE))</f>
        <v>53</v>
      </c>
      <c r="K63" t="s">
        <v>552</v>
      </c>
      <c r="L63">
        <f>VLOOKUP(A63,Leonard2010!D:AJ,32,FALSE)</f>
        <v>39</v>
      </c>
      <c r="M63">
        <f>VLOOKUP($A63,Leonard2010!D:AK,33,FALSE)</f>
        <v>71</v>
      </c>
      <c r="N63">
        <f>VLOOKUP($A63,Leonard2010!D:AL,34,FALSE)</f>
        <v>103</v>
      </c>
      <c r="O63">
        <f t="shared" si="15"/>
        <v>0.7880107536067219</v>
      </c>
      <c r="P63">
        <f t="shared" si="17"/>
        <v>483.154296875</v>
      </c>
      <c r="Q63">
        <f>IF(B63="NA","0",VLOOKUP(B63,SectionGeometry!C:E,3,FALSE)*IF(C63="NA",X$277/(X$277+X$276),X$277))</f>
        <v>0.125</v>
      </c>
      <c r="R63">
        <f>Q63*IF(B63="NA",0,((VLOOKUP(B63,SectionGeometry!C:Z,24,FALSE))))</f>
        <v>9355028151852.0117</v>
      </c>
      <c r="S63">
        <f>IF(R63=0,0,Q63*3.3*10^10*P63*10^6*(1/O63)*VLOOKUP(B63,SectionGeometry!C:AA,25,FALSE)*10^-3)</f>
        <v>102338463257377.03</v>
      </c>
      <c r="T63">
        <f t="shared" si="1"/>
        <v>0.90630778703664994</v>
      </c>
      <c r="U63">
        <f>IF(K63="N",E63*35/SIN(RADIANS(J63)),IF(K63="Y",VLOOKUP(A63,Leonard2010!D:U,18,FALSE),IF(C63="NA",VLOOKUP(A63,MSSM_AdaptedSources!B:K,10,FALSE),"CHECK")))</f>
        <v>1979</v>
      </c>
      <c r="V63">
        <f>(1*VLOOKUP(A63,FaultGeometry!B:C,2,FALSE))-Q63-AA63</f>
        <v>0.375</v>
      </c>
      <c r="W63">
        <f>V63*(VLOOKUP(A63,FaultGeometry!B:Y,24,FALSE))</f>
        <v>357328072001012</v>
      </c>
      <c r="X63">
        <f>V63*3.3*10^10*U63*10^6*(1/T63)*VLOOKUP(A63,FaultGeometry!B:O,14,FALSE)*10^-3</f>
        <v>1243988018163580.5</v>
      </c>
      <c r="Y63" t="str">
        <f t="shared" si="9"/>
        <v>NA</v>
      </c>
      <c r="Z63" t="str">
        <f>IF(C63="NA","NA",VLOOKUP(C63,MSSM_AdaptedSources!B:K,10,FALSE))</f>
        <v>NA</v>
      </c>
      <c r="AA63" t="str">
        <f>IF(C63="NA","0",VLOOKUP(C63,MultiFaultGeometry!B:C,2,FALSE)*IF(B63="NA",X$278/(X$278+X$276),X$278))</f>
        <v>0</v>
      </c>
      <c r="AB63">
        <f>AA63*IF(C63="NA",0,VLOOKUP(C63,MultiFaultGeometry!B:O,14,FALSE))</f>
        <v>0</v>
      </c>
      <c r="AC63">
        <f>IF(AB63=0,0,AA63*3.3*10^10*Z63*10^6*(1/Y63)*VLOOKUP(C63,MultiFaultGeometry!B:G,5,FALSE)*10^-3)</f>
        <v>0</v>
      </c>
      <c r="AE63" s="68">
        <f t="shared" si="3"/>
        <v>357328072001012</v>
      </c>
      <c r="AF63" s="68">
        <f t="shared" si="4"/>
        <v>1243988018163580.5</v>
      </c>
      <c r="AG63" s="68"/>
    </row>
    <row r="64" spans="1:33" x14ac:dyDescent="0.2">
      <c r="A64" s="68" t="str">
        <f>Leonard2010!D66</f>
        <v>Tsikulamowa</v>
      </c>
      <c r="B64" s="68" t="str">
        <f>Leonard2010!E66</f>
        <v>NA</v>
      </c>
      <c r="C64" s="68" t="str">
        <f>Leonard2010!F66</f>
        <v>NA</v>
      </c>
      <c r="D64" t="str">
        <f>IF(B64="NA","NA",VLOOKUP(B64,Leonard2010!E:H,3,FALSE))</f>
        <v>NA</v>
      </c>
      <c r="E64">
        <f>IF(A64="NA","NA",VLOOKUP(A64,Leonard2010!D:I,6,FALSE))</f>
        <v>14</v>
      </c>
      <c r="F64" t="str">
        <f>IF(C64="NA","NA",VLOOKUP(C64,Leonard2010!F:K,6,FALSE))</f>
        <v>NA</v>
      </c>
      <c r="G64" t="str">
        <f>IF(B64="NA","NA",VLOOKUP(B64,Leonard2010!E:H,4,FALSE))</f>
        <v>NA</v>
      </c>
      <c r="H64">
        <f>IF(A64="NA","NA",VLOOKUP(A64,Leonard2010!D:J,7,FALSE))</f>
        <v>9</v>
      </c>
      <c r="I64" t="str">
        <f>IF(C64="NA","NA",VLOOKUP(C64,Leonard2010!F:L,7,FALSE))</f>
        <v>NA</v>
      </c>
      <c r="J64">
        <f>IF(A64="NA","NA",VLOOKUP(A64,Leonard2010!D:N,11,FALSE))</f>
        <v>53</v>
      </c>
      <c r="K64" t="s">
        <v>211</v>
      </c>
      <c r="L64">
        <f>VLOOKUP(A64,Leonard2010!D:AJ,32,FALSE)</f>
        <v>46</v>
      </c>
      <c r="M64">
        <f>VLOOKUP($A64,Leonard2010!D:AK,33,FALSE)</f>
        <v>73</v>
      </c>
      <c r="N64">
        <f>VLOOKUP($A64,Leonard2010!D:AL,34,FALSE)</f>
        <v>100</v>
      </c>
      <c r="O64" t="str">
        <f t="shared" si="15"/>
        <v>NA</v>
      </c>
      <c r="P64" t="str">
        <f t="shared" ref="P64:P67" si="18">IF(B64="NA","NA",IF(K64="N",D64*(35/SIN(RADIANS(J64))),"CHECK"))</f>
        <v>NA</v>
      </c>
      <c r="Q64" t="str">
        <f>IF(B64="NA","0",VLOOKUP(B64,SectionGeometry!C:E,3,FALSE)*IF(C64="NA",X$277/(X$277+X$276),X$277))</f>
        <v>0</v>
      </c>
      <c r="R64">
        <f>Q64*IF(B64="NA",0,((VLOOKUP(B64,SectionGeometry!C:Z,24,FALSE))))</f>
        <v>0</v>
      </c>
      <c r="S64">
        <f>IF(R64=0,0,Q64*3.3*10^10*P64*10^6*(1/O64)*VLOOKUP(B64,SectionGeometry!C:AA,25,FALSE)*10^-3)</f>
        <v>0</v>
      </c>
      <c r="T64">
        <f t="shared" si="1"/>
        <v>0.89879404629916704</v>
      </c>
      <c r="U64">
        <f>IF(K64="N",E64*35/SIN(RADIANS(J64)),IF(K64="Y",VLOOKUP(A64,Leonard2010!D:U,18,FALSE),IF(C64="NA",VLOOKUP(A64,MSSM_AdaptedSources!B:K,10,FALSE),"CHECK")))</f>
        <v>613.54647249655056</v>
      </c>
      <c r="V64">
        <f>(1*VLOOKUP(A64,FaultGeometry!B:C,2,FALSE))-Q64-AA64</f>
        <v>1</v>
      </c>
      <c r="W64">
        <f>V64*(VLOOKUP(A64,FaultGeometry!B:Y,24,FALSE))</f>
        <v>188825638509606.5</v>
      </c>
      <c r="X64">
        <f>V64*3.3*10^10*U64*10^6*(1/T64)*VLOOKUP(A64,FaultGeometry!B:O,14,FALSE)*10^-3</f>
        <v>912273680495781.12</v>
      </c>
      <c r="Y64" t="str">
        <f t="shared" si="9"/>
        <v>NA</v>
      </c>
      <c r="Z64" t="str">
        <f>IF(C64="NA","NA",VLOOKUP(C64,MSSM_AdaptedSources!B:K,10,FALSE))</f>
        <v>NA</v>
      </c>
      <c r="AA64" t="str">
        <f>IF(C64="NA","0",VLOOKUP(C64,MultiFaultGeometry!B:C,2,FALSE)*IF(B64="NA",X$278/(X$278+X$276),X$278))</f>
        <v>0</v>
      </c>
      <c r="AB64">
        <f>AA64*IF(C64="NA",0,VLOOKUP(C64,MultiFaultGeometry!B:O,14,FALSE))</f>
        <v>0</v>
      </c>
      <c r="AC64">
        <f>IF(AB64=0,0,AA64*3.3*10^10*Z64*10^6*(1/Y64)*VLOOKUP(C64,MultiFaultGeometry!B:G,5,FALSE)*10^-3)</f>
        <v>0</v>
      </c>
      <c r="AE64" s="68">
        <f t="shared" si="3"/>
        <v>188825638509606.5</v>
      </c>
      <c r="AF64" s="68">
        <f t="shared" si="4"/>
        <v>912273680495781.12</v>
      </c>
      <c r="AG64" s="68"/>
    </row>
    <row r="65" spans="1:33" x14ac:dyDescent="0.2">
      <c r="A65" s="68" t="str">
        <f>Leonard2010!D67</f>
        <v>Liwonde National Park</v>
      </c>
      <c r="B65" s="68" t="str">
        <f>Leonard2010!E67</f>
        <v>NA</v>
      </c>
      <c r="C65" s="68" t="str">
        <f>Leonard2010!F67</f>
        <v>Chiloli-Liwonde National Park</v>
      </c>
      <c r="D65" t="str">
        <f>IF(B65="NA","NA",VLOOKUP(B65,Leonard2010!E:H,3,FALSE))</f>
        <v>NA</v>
      </c>
      <c r="E65">
        <f>IF(A65="NA","NA",VLOOKUP(A65,Leonard2010!D:I,6,FALSE))</f>
        <v>15.8</v>
      </c>
      <c r="F65">
        <f>IF(C65="NA","NA",VLOOKUP(C65,Leonard2010!F:K,6,FALSE))</f>
        <v>26.200000000000003</v>
      </c>
      <c r="G65" t="str">
        <f>IF(B65="NA","NA",VLOOKUP(B65,Leonard2010!E:H,4,FALSE))</f>
        <v>NA</v>
      </c>
      <c r="H65">
        <f>IF(A65="NA","NA",VLOOKUP(A65,Leonard2010!D:J,7,FALSE))</f>
        <v>173</v>
      </c>
      <c r="I65">
        <f>IF(C65="NA","NA",VLOOKUP(C65,Leonard2010!F:L,7,FALSE))</f>
        <v>179</v>
      </c>
      <c r="J65">
        <f>IF(A65="NA","NA",VLOOKUP(A65,Leonard2010!D:N,11,FALSE))</f>
        <v>53</v>
      </c>
      <c r="K65" t="s">
        <v>552</v>
      </c>
      <c r="L65">
        <f>VLOOKUP(A65,Leonard2010!D:AJ,32,FALSE)</f>
        <v>46</v>
      </c>
      <c r="M65">
        <f>VLOOKUP($A65,Leonard2010!D:AK,33,FALSE)</f>
        <v>73</v>
      </c>
      <c r="N65">
        <f>VLOOKUP($A65,Leonard2010!D:AL,34,FALSE)</f>
        <v>100</v>
      </c>
      <c r="O65" t="str">
        <f t="shared" si="15"/>
        <v>NA</v>
      </c>
      <c r="P65" t="str">
        <f t="shared" si="18"/>
        <v>NA</v>
      </c>
      <c r="Q65" t="str">
        <f>IF(B65="NA","0",VLOOKUP(B65,SectionGeometry!C:E,3,FALSE)*IF(C65="NA",X$277/(X$277+X$276),X$277))</f>
        <v>0</v>
      </c>
      <c r="R65">
        <f>Q65*IF(B65="NA",0,((VLOOKUP(B65,SectionGeometry!C:Z,24,FALSE))))</f>
        <v>0</v>
      </c>
      <c r="S65">
        <f>IF(R65=0,0,Q65*3.3*10^10*P65*10^6*(1/O65)*VLOOKUP(B65,SectionGeometry!C:AA,25,FALSE)*10^-3)</f>
        <v>0</v>
      </c>
      <c r="T65">
        <f t="shared" si="1"/>
        <v>0.95630475596303555</v>
      </c>
      <c r="U65">
        <f>E65*(466/F65)</f>
        <v>281.02290076335873</v>
      </c>
      <c r="V65">
        <f>(1*VLOOKUP(A65,FaultGeometry!B:C,2,FALSE))-Q65-AA65</f>
        <v>0.33333333333333326</v>
      </c>
      <c r="W65">
        <f>V65*(VLOOKUP(A65,FaultGeometry!B:Y,24,FALSE))</f>
        <v>86570122789437.578</v>
      </c>
      <c r="X65">
        <f>V65*3.3*10^10*U65*10^6*(1/T65)*VLOOKUP(A65,FaultGeometry!B:O,14,FALSE)*10^-3</f>
        <v>145424664455997.25</v>
      </c>
      <c r="Y65">
        <f t="shared" si="9"/>
        <v>0.96126169593831889</v>
      </c>
      <c r="Z65">
        <f>IF(C65="NA","NA",VLOOKUP(C65,MSSM_AdaptedSources!B:K,10,FALSE))</f>
        <v>466</v>
      </c>
      <c r="AA65">
        <f>IF(C65="NA","0",VLOOKUP(C65,MultiFaultGeometry!B:C,2,FALSE)*IF(B65="NA",X$278/(X$278+X$276),X$278))</f>
        <v>0.66666666666666674</v>
      </c>
      <c r="AB65">
        <f>AA65*IF(C65="NA",0,VLOOKUP(C65,MultiFaultGeometry!B:O,14,FALSE))</f>
        <v>403137532249736.06</v>
      </c>
      <c r="AC65">
        <f>IF(AB65=0,0,AA65*3.3*10^10*Z65*10^6*(1/Y65)*VLOOKUP(C65,MultiFaultGeometry!B:G,5,FALSE)*10^-3)</f>
        <v>461198019992931.44</v>
      </c>
      <c r="AE65" s="68">
        <f t="shared" si="3"/>
        <v>86570122789437.578</v>
      </c>
      <c r="AF65" s="68">
        <f t="shared" si="4"/>
        <v>145424664455997.25</v>
      </c>
      <c r="AG65" s="68"/>
    </row>
    <row r="66" spans="1:33" x14ac:dyDescent="0.2">
      <c r="A66" s="68" t="str">
        <f>Leonard2010!D68</f>
        <v>Chiloli</v>
      </c>
      <c r="B66" s="68" t="str">
        <f>Leonard2010!E68</f>
        <v>NA</v>
      </c>
      <c r="C66" s="68" t="str">
        <f>Leonard2010!F68</f>
        <v>Chiloli-Liwonde National Park</v>
      </c>
      <c r="D66" t="str">
        <f>IF(B66="NA","NA",VLOOKUP(B66,Leonard2010!E:H,3,FALSE))</f>
        <v>NA</v>
      </c>
      <c r="E66">
        <f>IF(A66="NA","NA",VLOOKUP(A66,Leonard2010!D:I,6,FALSE))</f>
        <v>10.4</v>
      </c>
      <c r="F66">
        <f>IF(C66="NA","NA",VLOOKUP(C66,Leonard2010!F:K,6,FALSE))</f>
        <v>26.200000000000003</v>
      </c>
      <c r="G66" t="str">
        <f>IF(B66="NA","NA",VLOOKUP(B66,Leonard2010!E:H,4,FALSE))</f>
        <v>NA</v>
      </c>
      <c r="H66">
        <f>IF(A66="NA","NA",VLOOKUP(A66,Leonard2010!D:J,7,FALSE))</f>
        <v>168</v>
      </c>
      <c r="I66">
        <f>IF(C66="NA","NA",VLOOKUP(C66,Leonard2010!F:L,7,FALSE))</f>
        <v>179</v>
      </c>
      <c r="J66">
        <f>IF(A66="NA","NA",VLOOKUP(A66,Leonard2010!D:N,11,FALSE))</f>
        <v>53</v>
      </c>
      <c r="K66" t="s">
        <v>552</v>
      </c>
      <c r="L66">
        <f>VLOOKUP(A66,Leonard2010!D:AJ,32,FALSE)</f>
        <v>46</v>
      </c>
      <c r="M66">
        <f>VLOOKUP($A66,Leonard2010!D:AK,33,FALSE)</f>
        <v>73</v>
      </c>
      <c r="N66">
        <f>VLOOKUP($A66,Leonard2010!D:AL,34,FALSE)</f>
        <v>100</v>
      </c>
      <c r="O66" t="str">
        <f t="shared" si="15"/>
        <v>NA</v>
      </c>
      <c r="P66" t="str">
        <f t="shared" si="18"/>
        <v>NA</v>
      </c>
      <c r="Q66" t="str">
        <f>IF(B66="NA","0",VLOOKUP(B66,SectionGeometry!C:E,3,FALSE)*IF(C66="NA",X$277/(X$277+X$276),X$277))</f>
        <v>0</v>
      </c>
      <c r="R66">
        <f>Q66*IF(B66="NA",0,((VLOOKUP(B66,SectionGeometry!C:Z,24,FALSE))))</f>
        <v>0</v>
      </c>
      <c r="S66">
        <f>IF(R66=0,0,Q66*3.3*10^10*P66*10^6*(1/O66)*VLOOKUP(B66,SectionGeometry!C:AA,25,FALSE)*10^-3)</f>
        <v>0</v>
      </c>
      <c r="T66">
        <f t="shared" ref="T66:T130" si="19">IF($A66="NA","NA",MEDIAN(ABS(COS(RADIANS($L66-$H66-90))),ABS(COS(RADIANS($M66-$H66-90))),ABS(COS(RADIANS($N66-$H66-90)))))</f>
        <v>0.92718385456678731</v>
      </c>
      <c r="U66">
        <f>E66*(466/F66)</f>
        <v>184.97709923664121</v>
      </c>
      <c r="V66">
        <f>(1*VLOOKUP(A66,FaultGeometry!B:C,2,FALSE))-Q66-AA66</f>
        <v>0.33333333333333326</v>
      </c>
      <c r="W66">
        <f>V66*(VLOOKUP(A66,FaultGeometry!B:Y,24,FALSE))</f>
        <v>44600904026346.266</v>
      </c>
      <c r="X66">
        <f>V66*3.3*10^10*U66*10^6*(1/T66)*VLOOKUP(A66,FaultGeometry!B:O,14,FALSE)*10^-3</f>
        <v>97081180435972.266</v>
      </c>
      <c r="Y66">
        <f t="shared" si="9"/>
        <v>0.96126169593831889</v>
      </c>
      <c r="Z66">
        <f>IF(C66="NA","NA",VLOOKUP(C66,MSSM_AdaptedSources!B:K,10,FALSE))</f>
        <v>466</v>
      </c>
      <c r="AA66">
        <f>IF(C66="NA","0",VLOOKUP(C66,MultiFaultGeometry!B:C,2,FALSE)*IF(B66="NA",X$278/(X$278+X$276),X$278))</f>
        <v>0.66666666666666674</v>
      </c>
      <c r="AB66">
        <f>AA66*IF(C66="NA",0,VLOOKUP(C66,MultiFaultGeometry!B:O,14,FALSE))</f>
        <v>403137532249736.06</v>
      </c>
      <c r="AC66">
        <f>IF(AB66=0,0,AA66*3.3*10^10*Z66*10^6*(1/Y66)*VLOOKUP(C66,MultiFaultGeometry!B:G,5,FALSE)*10^-3)</f>
        <v>461198019992931.44</v>
      </c>
      <c r="AE66" s="68">
        <f t="shared" ref="AE66:AE129" si="20">IF(MATCH(A67,_xlfn.UNIQUE(A$2:A$272),0)-(MATCH(A66,_xlfn.UNIQUE(A$2:A$272),0))=1,W66,0)</f>
        <v>44600904026346.266</v>
      </c>
      <c r="AF66" s="68">
        <f t="shared" si="4"/>
        <v>97081180435972.266</v>
      </c>
      <c r="AG66" s="68"/>
    </row>
    <row r="67" spans="1:33" x14ac:dyDescent="0.2">
      <c r="A67" s="68" t="str">
        <f>Leonard2010!D69</f>
        <v>Bwanwie</v>
      </c>
      <c r="B67" s="68" t="str">
        <f>Leonard2010!E69</f>
        <v>NA</v>
      </c>
      <c r="C67" s="68" t="str">
        <f>Leonard2010!F69</f>
        <v>NA</v>
      </c>
      <c r="D67" t="str">
        <f>IF(B67="NA","NA",VLOOKUP(B67,Leonard2010!E:H,3,FALSE))</f>
        <v>NA</v>
      </c>
      <c r="E67">
        <f>IF(A67="NA","NA",VLOOKUP(A67,Leonard2010!D:I,6,FALSE))</f>
        <v>13.9</v>
      </c>
      <c r="F67" t="str">
        <f>IF(C67="NA","NA",VLOOKUP(C67,Leonard2010!F:K,6,FALSE))</f>
        <v>NA</v>
      </c>
      <c r="G67" t="str">
        <f>IF(B67="NA","NA",VLOOKUP(B67,Leonard2010!E:H,4,FALSE))</f>
        <v>NA</v>
      </c>
      <c r="H67">
        <f>IF(A67="NA","NA",VLOOKUP(A67,Leonard2010!D:J,7,FALSE))</f>
        <v>197</v>
      </c>
      <c r="I67" t="str">
        <f>IF(C67="NA","NA",VLOOKUP(C67,Leonard2010!F:L,7,FALSE))</f>
        <v>NA</v>
      </c>
      <c r="J67">
        <f>IF(A67="NA","NA",VLOOKUP(A67,Leonard2010!D:N,11,FALSE))</f>
        <v>53</v>
      </c>
      <c r="K67" t="s">
        <v>552</v>
      </c>
      <c r="L67">
        <f>VLOOKUP(A67,Leonard2010!D:AJ,32,FALSE)</f>
        <v>46</v>
      </c>
      <c r="M67">
        <f>VLOOKUP($A67,Leonard2010!D:AK,33,FALSE)</f>
        <v>73</v>
      </c>
      <c r="N67">
        <f>VLOOKUP($A67,Leonard2010!D:AL,34,FALSE)</f>
        <v>100</v>
      </c>
      <c r="O67" t="str">
        <f t="shared" si="15"/>
        <v>NA</v>
      </c>
      <c r="P67" t="str">
        <f t="shared" si="18"/>
        <v>NA</v>
      </c>
      <c r="Q67" t="str">
        <f>IF(B67="NA","0",VLOOKUP(B67,SectionGeometry!C:E,3,FALSE)*IF(C67="NA",X$277/(X$277+X$276),X$277))</f>
        <v>0</v>
      </c>
      <c r="R67">
        <f>Q67*IF(B67="NA",0,((VLOOKUP(B67,SectionGeometry!C:Z,24,FALSE))))</f>
        <v>0</v>
      </c>
      <c r="S67">
        <f>IF(R67=0,0,Q67*3.3*10^10*P67*10^6*(1/O67)*VLOOKUP(B67,SectionGeometry!C:AA,25,FALSE)*10^-3)</f>
        <v>0</v>
      </c>
      <c r="T67">
        <f t="shared" si="19"/>
        <v>0.82903757255504185</v>
      </c>
      <c r="U67">
        <f>IF(K67="N",E67*35/SIN(RADIANS(J67)),IF(K67="Y",VLOOKUP(A67,Leonard2010!D:U,18,FALSE),IF(C67="NA",VLOOKUP(A67,MSSM_AdaptedSources!B:K,10,FALSE),"CHECK")))</f>
        <v>313</v>
      </c>
      <c r="V67">
        <f>(1*VLOOKUP(A67,FaultGeometry!B:C,2,FALSE))-Q67-AA67</f>
        <v>1</v>
      </c>
      <c r="W67">
        <f>V67*(VLOOKUP(A67,FaultGeometry!B:Y,24,FALSE))</f>
        <v>178869269712004.28</v>
      </c>
      <c r="X67">
        <f>V67*3.3*10^10*U67*10^6*(1/T67)*VLOOKUP(A67,FaultGeometry!B:O,14,FALSE)*10^-3</f>
        <v>465083923199401.06</v>
      </c>
      <c r="Y67" t="str">
        <f t="shared" si="9"/>
        <v>NA</v>
      </c>
      <c r="Z67" t="str">
        <f>IF(C67="NA","NA",VLOOKUP(C67,MSSM_AdaptedSources!B:K,10,FALSE))</f>
        <v>NA</v>
      </c>
      <c r="AA67" t="str">
        <f>IF(C67="NA","0",VLOOKUP(C67,MultiFaultGeometry!B:C,2,FALSE)*IF(B67="NA",X$278/(X$278+X$276),X$278))</f>
        <v>0</v>
      </c>
      <c r="AB67">
        <f>AA67*IF(C67="NA",0,VLOOKUP(C67,MultiFaultGeometry!B:O,14,FALSE))</f>
        <v>0</v>
      </c>
      <c r="AC67">
        <f>IF(AB67=0,0,AA67*3.3*10^10*Z67*10^6*(1/Y67)*VLOOKUP(C67,MultiFaultGeometry!B:G,5,FALSE)*10^-3)</f>
        <v>0</v>
      </c>
      <c r="AE67" s="68">
        <f t="shared" si="20"/>
        <v>178869269712004.28</v>
      </c>
      <c r="AF67" s="68">
        <f t="shared" ref="AF67:AF130" si="21">IF(AE67=0,0,X67)</f>
        <v>465083923199401.06</v>
      </c>
      <c r="AG67" s="68"/>
    </row>
    <row r="68" spans="1:33" x14ac:dyDescent="0.2">
      <c r="A68" s="68" t="str">
        <f>Leonard2010!D70</f>
        <v>Bwanje</v>
      </c>
      <c r="B68" s="68" t="str">
        <f>Leonard2010!E70</f>
        <v>Bwanje South</v>
      </c>
      <c r="C68" s="68" t="str">
        <f>Leonard2010!F70</f>
        <v>NA</v>
      </c>
      <c r="D68">
        <f>IF(B68="NA","NA",VLOOKUP(B68,Leonard2010!E:H,3,FALSE))</f>
        <v>13.5</v>
      </c>
      <c r="E68">
        <f>IF(A68="NA","NA",VLOOKUP(A68,Leonard2010!D:I,6,FALSE))</f>
        <v>86.8</v>
      </c>
      <c r="F68" t="str">
        <f>IF(C68="NA","NA",VLOOKUP(C68,Leonard2010!F:K,6,FALSE))</f>
        <v>NA</v>
      </c>
      <c r="G68">
        <f>IF(B68="NA","NA",VLOOKUP(B68,Leonard2010!E:H,4,FALSE))</f>
        <v>186</v>
      </c>
      <c r="H68">
        <f>IF(A68="NA","NA",VLOOKUP(A68,Leonard2010!D:J,7,FALSE))</f>
        <v>172</v>
      </c>
      <c r="I68" t="str">
        <f>IF(C68="NA","NA",VLOOKUP(C68,Leonard2010!F:L,7,FALSE))</f>
        <v>NA</v>
      </c>
      <c r="J68">
        <f>IF(A68="NA","NA",VLOOKUP(A68,Leonard2010!D:N,11,FALSE))</f>
        <v>53</v>
      </c>
      <c r="K68" t="s">
        <v>308</v>
      </c>
      <c r="L68">
        <f>VLOOKUP(A68,Leonard2010!D:AJ,32,FALSE)</f>
        <v>46</v>
      </c>
      <c r="M68">
        <f>VLOOKUP($A68,Leonard2010!D:AK,33,FALSE)</f>
        <v>73</v>
      </c>
      <c r="N68">
        <f>VLOOKUP($A68,Leonard2010!D:AL,34,FALSE)</f>
        <v>100</v>
      </c>
      <c r="O68">
        <f t="shared" si="15"/>
        <v>0.92050485345244037</v>
      </c>
      <c r="P68">
        <f>D68*(935/E68)</f>
        <v>145.42050691244242</v>
      </c>
      <c r="Q68">
        <f>IF(B68="NA","0",VLOOKUP(B68,SectionGeometry!C:E,3,FALSE)*IF(C68="NA",X$277/(X$277+X$276),X$277))</f>
        <v>0.25</v>
      </c>
      <c r="R68">
        <f>Q68*IF(B68="NA",0,((VLOOKUP(B68,SectionGeometry!C:Z,24,FALSE))))</f>
        <v>42511884984001.969</v>
      </c>
      <c r="S68">
        <f>IF(R68=0,0,Q68*3.3*10^10*P68*10^6*(1/O68)*VLOOKUP(B68,SectionGeometry!C:AA,25,FALSE)*10^-3)</f>
        <v>53670910449361.539</v>
      </c>
      <c r="T68">
        <f t="shared" si="19"/>
        <v>0.95105651629515353</v>
      </c>
      <c r="U68">
        <f>IF(K68="N",E68*35/SIN(RADIANS(J68)),IF(K68="Y",VLOOKUP(A68,Leonard2010!D:U,18,FALSE),IF(C68="NA",VLOOKUP(A68,MSSM_AdaptedSources!B:K,10,FALSE),"CHECK")))</f>
        <v>935</v>
      </c>
      <c r="V68">
        <f>(1*VLOOKUP(A68,FaultGeometry!B:C,2,FALSE))-Q68-AA68</f>
        <v>0.75</v>
      </c>
      <c r="W68">
        <f>V68*(VLOOKUP(A68,FaultGeometry!B:Y,24,FALSE))</f>
        <v>1014718238942167.2</v>
      </c>
      <c r="X68">
        <f>V68*3.3*10^10*U68*10^6*(1/T68)*VLOOKUP(A68,FaultGeometry!B:O,14,FALSE)*10^-3</f>
        <v>1068149590368905.1</v>
      </c>
      <c r="Y68" t="str">
        <f t="shared" si="9"/>
        <v>NA</v>
      </c>
      <c r="Z68" t="str">
        <f>IF(C68="NA","NA",VLOOKUP(C68,MSSM_AdaptedSources!B:K,10,FALSE))</f>
        <v>NA</v>
      </c>
      <c r="AA68" t="str">
        <f>IF(C68="NA","0",VLOOKUP(C68,MultiFaultGeometry!B:C,2,FALSE)*IF(B68="NA",X$278/(X$278+X$276),X$278))</f>
        <v>0</v>
      </c>
      <c r="AB68">
        <f>AA68*IF(C68="NA",0,VLOOKUP(C68,MultiFaultGeometry!B:O,14,FALSE))</f>
        <v>0</v>
      </c>
      <c r="AC68">
        <f>IF(AB68=0,0,AA68*3.3*10^10*Z68*10^6*(1/Y68)*VLOOKUP(C68,MultiFaultGeometry!B:G,5,FALSE)*10^-3)</f>
        <v>0</v>
      </c>
      <c r="AE68" s="68">
        <f t="shared" si="20"/>
        <v>0</v>
      </c>
      <c r="AF68" s="68">
        <f t="shared" si="21"/>
        <v>0</v>
      </c>
      <c r="AG68" s="68"/>
    </row>
    <row r="69" spans="1:33" x14ac:dyDescent="0.2">
      <c r="A69" s="68" t="str">
        <f>Leonard2010!D71</f>
        <v>Bwanje</v>
      </c>
      <c r="B69" s="68" t="str">
        <f>Leonard2010!E71</f>
        <v>Bwanje Link</v>
      </c>
      <c r="C69" s="68" t="str">
        <f>Leonard2010!F71</f>
        <v>NA</v>
      </c>
      <c r="D69">
        <f>IF(B69="NA","NA",VLOOKUP(B69,Leonard2010!E:H,3,FALSE))</f>
        <v>8.8000000000000007</v>
      </c>
      <c r="E69">
        <f>IF(A69="NA","NA",VLOOKUP(A69,Leonard2010!D:I,6,FALSE))</f>
        <v>86.8</v>
      </c>
      <c r="F69" t="str">
        <f>IF(C69="NA","NA",VLOOKUP(C69,Leonard2010!F:K,6,FALSE))</f>
        <v>NA</v>
      </c>
      <c r="G69">
        <f>IF(B69="NA","NA",VLOOKUP(B69,Leonard2010!E:H,4,FALSE))</f>
        <v>123</v>
      </c>
      <c r="H69">
        <f>IF(A69="NA","NA",VLOOKUP(A69,Leonard2010!D:J,7,FALSE))</f>
        <v>172</v>
      </c>
      <c r="I69" t="str">
        <f>IF(C69="NA","NA",VLOOKUP(C69,Leonard2010!F:L,7,FALSE))</f>
        <v>NA</v>
      </c>
      <c r="J69">
        <f>IF(A69="NA","NA",VLOOKUP(A69,Leonard2010!D:N,11,FALSE))</f>
        <v>53</v>
      </c>
      <c r="K69" t="s">
        <v>308</v>
      </c>
      <c r="L69">
        <f>VLOOKUP(A69,Leonard2010!D:AJ,32,FALSE)</f>
        <v>46</v>
      </c>
      <c r="M69">
        <f>VLOOKUP($A69,Leonard2010!D:AK,33,FALSE)</f>
        <v>73</v>
      </c>
      <c r="N69">
        <f>VLOOKUP($A69,Leonard2010!D:AL,34,FALSE)</f>
        <v>100</v>
      </c>
      <c r="O69">
        <f t="shared" si="15"/>
        <v>0.7660444431189779</v>
      </c>
      <c r="P69">
        <f t="shared" ref="P69:P71" si="22">D69*(935/E69)</f>
        <v>94.792626728110619</v>
      </c>
      <c r="Q69">
        <f>IF(B69="NA","0",VLOOKUP(B69,SectionGeometry!C:E,3,FALSE)*IF(C69="NA",X$277/(X$277+X$276),X$277))</f>
        <v>0.25</v>
      </c>
      <c r="R69">
        <f>Q69*IF(B69="NA",0,((VLOOKUP(B69,SectionGeometry!C:Z,24,FALSE))))</f>
        <v>0</v>
      </c>
      <c r="S69">
        <f>IF(R69=0,0,Q69*3.3*10^10*P69*10^6*(1/O69)*VLOOKUP(B69,SectionGeometry!C:AA,25,FALSE)*10^-3)</f>
        <v>0</v>
      </c>
      <c r="T69">
        <f t="shared" si="19"/>
        <v>0.95105651629515353</v>
      </c>
      <c r="U69">
        <f>IF(K69="N",E69*35/SIN(RADIANS(J69)),IF(K69="Y",VLOOKUP(A69,Leonard2010!D:U,18,FALSE),IF(C69="NA",VLOOKUP(A69,MSSM_AdaptedSources!B:K,10,FALSE),"CHECK")))</f>
        <v>935</v>
      </c>
      <c r="V69">
        <f>(1*VLOOKUP(A69,FaultGeometry!B:C,2,FALSE))-Q69-AA69</f>
        <v>0.75</v>
      </c>
      <c r="W69">
        <f>V69*(VLOOKUP(A69,FaultGeometry!B:Y,24,FALSE))</f>
        <v>1014718238942167.2</v>
      </c>
      <c r="X69">
        <f>V69*3.3*10^10*U69*10^6*(1/T69)*VLOOKUP(A69,FaultGeometry!B:O,14,FALSE)*10^-3</f>
        <v>1068149590368905.1</v>
      </c>
      <c r="Y69" t="str">
        <f t="shared" si="9"/>
        <v>NA</v>
      </c>
      <c r="Z69" t="str">
        <f>IF(C69="NA","NA",VLOOKUP(C69,MSSM_AdaptedSources!B:K,10,FALSE))</f>
        <v>NA</v>
      </c>
      <c r="AA69" t="str">
        <f>IF(C69="NA","0",VLOOKUP(C69,MultiFaultGeometry!B:C,2,FALSE)*IF(B69="NA",X$278/(X$278+X$276),X$278))</f>
        <v>0</v>
      </c>
      <c r="AB69">
        <f>AA69*IF(C69="NA",0,VLOOKUP(C69,MultiFaultGeometry!B:O,14,FALSE))</f>
        <v>0</v>
      </c>
      <c r="AC69">
        <f>IF(AB69=0,0,AA69*3.3*10^10*Z69*10^6*(1/Y69)*VLOOKUP(C69,MultiFaultGeometry!B:G,5,FALSE)*10^-3)</f>
        <v>0</v>
      </c>
      <c r="AE69" s="68">
        <f t="shared" si="20"/>
        <v>0</v>
      </c>
      <c r="AF69" s="68">
        <f t="shared" si="21"/>
        <v>0</v>
      </c>
      <c r="AG69" s="68"/>
    </row>
    <row r="70" spans="1:33" x14ac:dyDescent="0.2">
      <c r="A70" s="68" t="str">
        <f>Leonard2010!D72</f>
        <v>Bwanje</v>
      </c>
      <c r="B70" s="68" t="str">
        <f>Leonard2010!E72</f>
        <v>Bwanje Central</v>
      </c>
      <c r="C70" s="68" t="str">
        <f>Leonard2010!F72</f>
        <v>NA</v>
      </c>
      <c r="D70">
        <f>IF(B70="NA","NA",VLOOKUP(B70,Leonard2010!E:H,3,FALSE))</f>
        <v>49.7</v>
      </c>
      <c r="E70">
        <f>IF(A70="NA","NA",VLOOKUP(A70,Leonard2010!D:I,6,FALSE))</f>
        <v>86.8</v>
      </c>
      <c r="F70" t="str">
        <f>IF(C70="NA","NA",VLOOKUP(C70,Leonard2010!F:K,6,FALSE))</f>
        <v>NA</v>
      </c>
      <c r="G70">
        <f>IF(B70="NA","NA",VLOOKUP(B70,Leonard2010!E:H,4,FALSE))</f>
        <v>183</v>
      </c>
      <c r="H70">
        <f>IF(A70="NA","NA",VLOOKUP(A70,Leonard2010!D:J,7,FALSE))</f>
        <v>172</v>
      </c>
      <c r="I70" t="str">
        <f>IF(C70="NA","NA",VLOOKUP(C70,Leonard2010!F:L,7,FALSE))</f>
        <v>NA</v>
      </c>
      <c r="J70">
        <f>IF(A70="NA","NA",VLOOKUP(A70,Leonard2010!D:N,11,FALSE))</f>
        <v>53</v>
      </c>
      <c r="K70" t="s">
        <v>308</v>
      </c>
      <c r="L70">
        <f>VLOOKUP(A70,Leonard2010!D:AJ,32,FALSE)</f>
        <v>46</v>
      </c>
      <c r="M70">
        <f>VLOOKUP($A70,Leonard2010!D:AK,33,FALSE)</f>
        <v>73</v>
      </c>
      <c r="N70">
        <f>VLOOKUP($A70,Leonard2010!D:AL,34,FALSE)</f>
        <v>100</v>
      </c>
      <c r="O70">
        <f t="shared" si="15"/>
        <v>0.93969262078590843</v>
      </c>
      <c r="P70">
        <f t="shared" si="22"/>
        <v>535.36290322580658</v>
      </c>
      <c r="Q70">
        <f>IF(B70="NA","0",VLOOKUP(B70,SectionGeometry!C:E,3,FALSE)*IF(C70="NA",X$277/(X$277+X$276),X$277))</f>
        <v>0.25</v>
      </c>
      <c r="R70">
        <f>Q70*IF(B70="NA",0,((VLOOKUP(B70,SectionGeometry!C:Z,24,FALSE))))</f>
        <v>0</v>
      </c>
      <c r="S70">
        <f>IF(R70=0,0,Q70*3.3*10^10*P70*10^6*(1/O70)*VLOOKUP(B70,SectionGeometry!C:AA,25,FALSE)*10^-3)</f>
        <v>0</v>
      </c>
      <c r="T70">
        <f t="shared" si="19"/>
        <v>0.95105651629515353</v>
      </c>
      <c r="U70">
        <f>IF(K70="N",E70*35/SIN(RADIANS(J70)),IF(K70="Y",VLOOKUP(A70,Leonard2010!D:U,18,FALSE),IF(C70="NA",VLOOKUP(A70,MSSM_AdaptedSources!B:K,10,FALSE),"CHECK")))</f>
        <v>935</v>
      </c>
      <c r="V70">
        <f>(1*VLOOKUP(A70,FaultGeometry!B:C,2,FALSE))-Q70-AA70</f>
        <v>0.75</v>
      </c>
      <c r="W70">
        <f>V70*(VLOOKUP(A70,FaultGeometry!B:Y,24,FALSE))</f>
        <v>1014718238942167.2</v>
      </c>
      <c r="X70">
        <f>V70*3.3*10^10*U70*10^6*(1/T70)*VLOOKUP(A70,FaultGeometry!B:O,14,FALSE)*10^-3</f>
        <v>1068149590368905.1</v>
      </c>
      <c r="Y70" t="str">
        <f t="shared" si="9"/>
        <v>NA</v>
      </c>
      <c r="Z70" t="str">
        <f>IF(C70="NA","NA",VLOOKUP(C70,MSSM_AdaptedSources!B:K,10,FALSE))</f>
        <v>NA</v>
      </c>
      <c r="AA70" t="str">
        <f>IF(C70="NA","0",VLOOKUP(C70,MultiFaultGeometry!B:C,2,FALSE)*IF(B70="NA",X$278/(X$278+X$276),X$278))</f>
        <v>0</v>
      </c>
      <c r="AB70">
        <f>AA70*IF(C70="NA",0,VLOOKUP(C70,MultiFaultGeometry!B:O,14,FALSE))</f>
        <v>0</v>
      </c>
      <c r="AC70">
        <f>IF(AB70=0,0,AA70*3.3*10^10*Z70*10^6*(1/Y70)*VLOOKUP(C70,MultiFaultGeometry!B:G,5,FALSE)*10^-3)</f>
        <v>0</v>
      </c>
      <c r="AE70" s="68">
        <f t="shared" si="20"/>
        <v>0</v>
      </c>
      <c r="AF70" s="68">
        <f t="shared" si="21"/>
        <v>0</v>
      </c>
      <c r="AG70" s="68"/>
    </row>
    <row r="71" spans="1:33" x14ac:dyDescent="0.2">
      <c r="A71" s="68" t="str">
        <f>Leonard2010!D73</f>
        <v>Bwanje</v>
      </c>
      <c r="B71" s="68" t="str">
        <f>Leonard2010!E73</f>
        <v>Bwanje North</v>
      </c>
      <c r="C71" s="68" t="str">
        <f>Leonard2010!F73</f>
        <v>NA</v>
      </c>
      <c r="D71">
        <f>IF(B71="NA","NA",VLOOKUP(B71,Leonard2010!E:H,3,FALSE))</f>
        <v>14.8</v>
      </c>
      <c r="E71">
        <f>IF(A71="NA","NA",VLOOKUP(A71,Leonard2010!D:I,6,FALSE))</f>
        <v>86.8</v>
      </c>
      <c r="F71" t="str">
        <f>IF(C71="NA","NA",VLOOKUP(C71,Leonard2010!F:K,6,FALSE))</f>
        <v>NA</v>
      </c>
      <c r="G71">
        <f>IF(B71="NA","NA",VLOOKUP(B71,Leonard2010!E:H,4,FALSE))</f>
        <v>147</v>
      </c>
      <c r="H71">
        <f>IF(A71="NA","NA",VLOOKUP(A71,Leonard2010!D:J,7,FALSE))</f>
        <v>172</v>
      </c>
      <c r="I71" t="str">
        <f>IF(C71="NA","NA",VLOOKUP(C71,Leonard2010!F:L,7,FALSE))</f>
        <v>NA</v>
      </c>
      <c r="J71">
        <f>IF(A71="NA","NA",VLOOKUP(A71,Leonard2010!D:N,11,FALSE))</f>
        <v>53</v>
      </c>
      <c r="K71" t="s">
        <v>308</v>
      </c>
      <c r="L71">
        <f>VLOOKUP(A71,Leonard2010!D:AJ,32,FALSE)</f>
        <v>46</v>
      </c>
      <c r="M71">
        <f>VLOOKUP($A71,Leonard2010!D:AK,33,FALSE)</f>
        <v>73</v>
      </c>
      <c r="N71">
        <f>VLOOKUP($A71,Leonard2010!D:AL,34,FALSE)</f>
        <v>100</v>
      </c>
      <c r="O71">
        <f t="shared" si="15"/>
        <v>0.96126169593831889</v>
      </c>
      <c r="P71">
        <f t="shared" si="22"/>
        <v>159.42396313364057</v>
      </c>
      <c r="Q71">
        <f>IF(B71="NA","0",VLOOKUP(B71,SectionGeometry!C:E,3,FALSE)*IF(C71="NA",X$277/(X$277+X$276),X$277))</f>
        <v>0.25</v>
      </c>
      <c r="R71">
        <f>Q71*IF(B71="NA",0,((VLOOKUP(B71,SectionGeometry!C:Z,24,FALSE))))</f>
        <v>52870396448863.562</v>
      </c>
      <c r="S71">
        <f>IF(R71=0,0,Q71*3.3*10^10*P71*10^6*(1/O71)*VLOOKUP(B71,SectionGeometry!C:AA,25,FALSE)*10^-3)</f>
        <v>58948143615418.742</v>
      </c>
      <c r="T71">
        <f t="shared" si="19"/>
        <v>0.95105651629515353</v>
      </c>
      <c r="U71">
        <f>IF(K71="N",E71*35/SIN(RADIANS(J71)),IF(K71="Y",VLOOKUP(A71,Leonard2010!D:U,18,FALSE),IF(C71="NA",VLOOKUP(A71,MSSM_AdaptedSources!B:K,10,FALSE),"CHECK")))</f>
        <v>935</v>
      </c>
      <c r="V71">
        <f>(1*VLOOKUP(A71,FaultGeometry!B:C,2,FALSE))-Q71-AA71</f>
        <v>0.75</v>
      </c>
      <c r="W71">
        <f>V71*(VLOOKUP(A71,FaultGeometry!B:Y,24,FALSE))</f>
        <v>1014718238942167.2</v>
      </c>
      <c r="X71">
        <f>V71*3.3*10^10*U71*10^6*(1/T71)*VLOOKUP(A71,FaultGeometry!B:O,14,FALSE)*10^-3</f>
        <v>1068149590368905.1</v>
      </c>
      <c r="Y71" t="str">
        <f t="shared" si="9"/>
        <v>NA</v>
      </c>
      <c r="Z71" t="str">
        <f>IF(C71="NA","NA",VLOOKUP(C71,MSSM_AdaptedSources!B:K,10,FALSE))</f>
        <v>NA</v>
      </c>
      <c r="AA71" t="str">
        <f>IF(C71="NA","0",VLOOKUP(C71,MultiFaultGeometry!B:C,2,FALSE)*IF(B71="NA",X$278/(X$278+X$276),X$278))</f>
        <v>0</v>
      </c>
      <c r="AB71">
        <f>AA71*IF(C71="NA",0,VLOOKUP(C71,MultiFaultGeometry!B:O,14,FALSE))</f>
        <v>0</v>
      </c>
      <c r="AC71">
        <f>IF(AB71=0,0,AA71*3.3*10^10*Z71*10^6*(1/Y71)*VLOOKUP(C71,MultiFaultGeometry!B:G,5,FALSE)*10^-3)</f>
        <v>0</v>
      </c>
      <c r="AE71" s="68">
        <f t="shared" si="20"/>
        <v>1014718238942167.2</v>
      </c>
      <c r="AF71" s="68">
        <f t="shared" si="21"/>
        <v>1068149590368905.1</v>
      </c>
      <c r="AG71" s="68"/>
    </row>
    <row r="72" spans="1:33" x14ac:dyDescent="0.2">
      <c r="A72" s="68" t="str">
        <f>Leonard2010!D74</f>
        <v>Chirobwe-Ncheu-1</v>
      </c>
      <c r="B72" s="68" t="str">
        <f>Leonard2010!E74</f>
        <v>Chirobwe-Ncheu North-1</v>
      </c>
      <c r="C72" s="68" t="str">
        <f>Leonard2010!F74</f>
        <v>NA</v>
      </c>
      <c r="D72">
        <f>IF(B72="NA","NA",VLOOKUP(B72,Leonard2010!E:H,3,FALSE))</f>
        <v>41.7</v>
      </c>
      <c r="E72">
        <f>IF(A72="NA","NA",VLOOKUP(A72,Leonard2010!D:I,6,FALSE))</f>
        <v>106.8</v>
      </c>
      <c r="F72" t="str">
        <f>IF(C72="NA","NA",VLOOKUP(C72,Leonard2010!F:K,6,FALSE))</f>
        <v>NA</v>
      </c>
      <c r="G72">
        <f>IF(B72="NA","NA",VLOOKUP(B72,Leonard2010!E:H,4,FALSE))</f>
        <v>346</v>
      </c>
      <c r="H72">
        <f>IF(A72="NA","NA",VLOOKUP(A72,Leonard2010!D:J,7,FALSE))</f>
        <v>342</v>
      </c>
      <c r="I72" t="str">
        <f>IF(C72="NA","NA",VLOOKUP(C72,Leonard2010!F:L,7,FALSE))</f>
        <v>NA</v>
      </c>
      <c r="J72">
        <f>IF(A72="NA","NA",VLOOKUP(A72,Leonard2010!D:N,11,FALSE))</f>
        <v>53</v>
      </c>
      <c r="K72" t="s">
        <v>211</v>
      </c>
      <c r="L72">
        <f>VLOOKUP(A72,Leonard2010!D:AJ,32,FALSE)</f>
        <v>46</v>
      </c>
      <c r="M72">
        <f>VLOOKUP($A72,Leonard2010!D:AK,33,FALSE)</f>
        <v>73</v>
      </c>
      <c r="N72">
        <f>VLOOKUP($A72,Leonard2010!D:AL,34,FALSE)</f>
        <v>100</v>
      </c>
      <c r="O72">
        <f t="shared" si="15"/>
        <v>0.91354545764260087</v>
      </c>
      <c r="P72">
        <f t="shared" ref="P72:P86" si="23">IF(B72="NA","NA",IF(K72="N",D72*(35/SIN(RADIANS(J72))),"CHECK"))</f>
        <v>1827.4919930790115</v>
      </c>
      <c r="Q72">
        <f>IF(B72="NA","0",VLOOKUP(B72,SectionGeometry!C:E,3,FALSE)*IF(C72="NA",X$277/(X$277+X$276),X$277))</f>
        <v>0.125</v>
      </c>
      <c r="R72">
        <f>Q72*IF(B72="NA",0,((VLOOKUP(B72,SectionGeometry!C:Z,24,FALSE))))</f>
        <v>701701980569930.12</v>
      </c>
      <c r="S72">
        <f>IF(R72=0,0,Q72*3.3*10^10*P72*10^6*(1/O72)*VLOOKUP(B72,SectionGeometry!C:AA,25,FALSE)*10^-3)</f>
        <v>3406370582227375.5</v>
      </c>
      <c r="T72">
        <f t="shared" si="19"/>
        <v>0.89879404629916704</v>
      </c>
      <c r="U72">
        <f>IF(K72="N",E72*35/SIN(RADIANS(J72)),IF(K72="Y",VLOOKUP(A72,Leonard2010!D:U,18,FALSE),IF(C72="NA",VLOOKUP(A72,MSSM_AdaptedSources!B:K,10,FALSE),"CHECK")))</f>
        <v>4680.4830901879714</v>
      </c>
      <c r="V72">
        <f>(1*VLOOKUP(A72,FaultGeometry!B:C,2,FALSE))-Q72-AA72</f>
        <v>0.375</v>
      </c>
      <c r="W72">
        <f>V72*(VLOOKUP(A72,FaultGeometry!B:Y,24,FALSE))</f>
        <v>1.1430134949367198E+16</v>
      </c>
      <c r="X72">
        <f>V72*3.3*10^10*U72*10^6*(1/T72)*VLOOKUP(A72,FaultGeometry!B:O,14,FALSE)*10^-3</f>
        <v>2.6911317824896136E+16</v>
      </c>
      <c r="Y72" t="str">
        <f t="shared" si="9"/>
        <v>NA</v>
      </c>
      <c r="Z72" t="str">
        <f>IF(C72="NA","NA",VLOOKUP(C72,MSSM_AdaptedSources!B:K,10,FALSE))</f>
        <v>NA</v>
      </c>
      <c r="AA72" t="str">
        <f>IF(C72="NA","0",VLOOKUP(C72,MultiFaultGeometry!B:C,2,FALSE)*IF(B72="NA",X$278/(X$278+X$276),X$278))</f>
        <v>0</v>
      </c>
      <c r="AB72">
        <f>AA72*IF(C72="NA",0,VLOOKUP(C72,MultiFaultGeometry!B:O,14,FALSE))</f>
        <v>0</v>
      </c>
      <c r="AC72">
        <f>IF(AB72=0,0,AA72*3.3*10^10*Z72*10^6*(1/Y72)*VLOOKUP(C72,MultiFaultGeometry!B:G,5,FALSE)*10^-3)</f>
        <v>0</v>
      </c>
      <c r="AE72" s="68">
        <f t="shared" si="20"/>
        <v>0</v>
      </c>
      <c r="AF72" s="68">
        <f t="shared" si="21"/>
        <v>0</v>
      </c>
      <c r="AG72" s="68"/>
    </row>
    <row r="73" spans="1:33" x14ac:dyDescent="0.2">
      <c r="A73" s="68" t="str">
        <f>Leonard2010!D75</f>
        <v>Chirobwe-Ncheu-1</v>
      </c>
      <c r="B73" s="68" t="str">
        <f>Leonard2010!E75</f>
        <v>Chirobwe-Ncheu Link-1c</v>
      </c>
      <c r="C73" s="68" t="str">
        <f>Leonard2010!F75</f>
        <v>NA</v>
      </c>
      <c r="D73">
        <f>IF(B73="NA","NA",VLOOKUP(B73,Leonard2010!E:H,3,FALSE))</f>
        <v>4.5999999999999996</v>
      </c>
      <c r="E73">
        <f>IF(A73="NA","NA",VLOOKUP(A73,Leonard2010!D:I,6,FALSE))</f>
        <v>106.8</v>
      </c>
      <c r="F73" t="str">
        <f>IF(C73="NA","NA",VLOOKUP(C73,Leonard2010!F:K,6,FALSE))</f>
        <v>NA</v>
      </c>
      <c r="G73">
        <f>IF(B73="NA","NA",VLOOKUP(B73,Leonard2010!E:H,4,FALSE))</f>
        <v>358</v>
      </c>
      <c r="H73">
        <f>IF(A73="NA","NA",VLOOKUP(A73,Leonard2010!D:J,7,FALSE))</f>
        <v>342</v>
      </c>
      <c r="I73" t="str">
        <f>IF(C73="NA","NA",VLOOKUP(C73,Leonard2010!F:L,7,FALSE))</f>
        <v>NA</v>
      </c>
      <c r="J73">
        <f>IF(A73="NA","NA",VLOOKUP(A73,Leonard2010!D:N,11,FALSE))</f>
        <v>53</v>
      </c>
      <c r="K73" t="s">
        <v>211</v>
      </c>
      <c r="L73">
        <f>VLOOKUP(A73,Leonard2010!D:AJ,32,FALSE)</f>
        <v>46</v>
      </c>
      <c r="M73">
        <f>VLOOKUP($A73,Leonard2010!D:AK,33,FALSE)</f>
        <v>73</v>
      </c>
      <c r="N73">
        <f>VLOOKUP($A73,Leonard2010!D:AL,34,FALSE)</f>
        <v>100</v>
      </c>
      <c r="O73">
        <f t="shared" si="15"/>
        <v>0.96592582628906842</v>
      </c>
      <c r="P73">
        <f t="shared" si="23"/>
        <v>201.59384096315233</v>
      </c>
      <c r="Q73">
        <f>IF(B73="NA","0",VLOOKUP(B73,SectionGeometry!C:E,3,FALSE)*IF(C73="NA",X$277/(X$277+X$276),X$277))</f>
        <v>0.125</v>
      </c>
      <c r="R73">
        <f>Q73*IF(B73="NA",0,((VLOOKUP(B73,SectionGeometry!C:Z,24,FALSE))))</f>
        <v>0</v>
      </c>
      <c r="S73">
        <f>IF(R73=0,0,Q73*3.3*10^10*P73*10^6*(1/O73)*VLOOKUP(B73,SectionGeometry!C:AA,25,FALSE)*10^-3)</f>
        <v>0</v>
      </c>
      <c r="T73">
        <f t="shared" si="19"/>
        <v>0.89879404629916704</v>
      </c>
      <c r="U73">
        <f>IF(K73="N",E73*35/SIN(RADIANS(J73)),IF(K73="Y",VLOOKUP(A73,Leonard2010!D:U,18,FALSE),IF(C73="NA",VLOOKUP(A73,MSSM_AdaptedSources!B:K,10,FALSE),"CHECK")))</f>
        <v>4680.4830901879714</v>
      </c>
      <c r="V73">
        <f>(1*VLOOKUP(A73,FaultGeometry!B:C,2,FALSE))-Q73-AA73</f>
        <v>0.375</v>
      </c>
      <c r="W73">
        <f>V73*(VLOOKUP(A73,FaultGeometry!B:Y,24,FALSE))</f>
        <v>1.1430134949367198E+16</v>
      </c>
      <c r="X73">
        <f>V73*3.3*10^10*U73*10^6*(1/T73)*VLOOKUP(A73,FaultGeometry!B:O,14,FALSE)*10^-3</f>
        <v>2.6911317824896136E+16</v>
      </c>
      <c r="Y73" t="str">
        <f t="shared" si="9"/>
        <v>NA</v>
      </c>
      <c r="Z73" t="str">
        <f>IF(C73="NA","NA",VLOOKUP(C73,MSSM_AdaptedSources!B:K,10,FALSE))</f>
        <v>NA</v>
      </c>
      <c r="AA73" t="str">
        <f>IF(C73="NA","0",VLOOKUP(C73,MultiFaultGeometry!B:C,2,FALSE)*IF(B73="NA",X$278/(X$278+X$276),X$278))</f>
        <v>0</v>
      </c>
      <c r="AB73">
        <f>AA73*IF(C73="NA",0,VLOOKUP(C73,MultiFaultGeometry!B:O,14,FALSE))</f>
        <v>0</v>
      </c>
      <c r="AC73">
        <f>IF(AB73=0,0,AA73*3.3*10^10*Z73*10^6*(1/Y73)*VLOOKUP(C73,MultiFaultGeometry!B:G,5,FALSE)*10^-3)</f>
        <v>0</v>
      </c>
      <c r="AE73" s="68">
        <f t="shared" si="20"/>
        <v>0</v>
      </c>
      <c r="AF73" s="68">
        <f t="shared" si="21"/>
        <v>0</v>
      </c>
      <c r="AG73" s="68"/>
    </row>
    <row r="74" spans="1:33" x14ac:dyDescent="0.2">
      <c r="A74" s="68" t="str">
        <f>Leonard2010!D76</f>
        <v>Chirobwe-Ncheu-1</v>
      </c>
      <c r="B74" s="68" t="str">
        <f>Leonard2010!E76</f>
        <v>Livulezi-1</v>
      </c>
      <c r="C74" s="68" t="str">
        <f>Leonard2010!F76</f>
        <v>NA</v>
      </c>
      <c r="D74">
        <f>IF(B74="NA","NA",VLOOKUP(B74,Leonard2010!E:H,3,FALSE))</f>
        <v>23.2</v>
      </c>
      <c r="E74">
        <f>IF(A74="NA","NA",VLOOKUP(A74,Leonard2010!D:I,6,FALSE))</f>
        <v>106.8</v>
      </c>
      <c r="F74" t="str">
        <f>IF(C74="NA","NA",VLOOKUP(C74,Leonard2010!F:K,6,FALSE))</f>
        <v>NA</v>
      </c>
      <c r="G74">
        <f>IF(B74="NA","NA",VLOOKUP(B74,Leonard2010!E:H,4,FALSE))</f>
        <v>343</v>
      </c>
      <c r="H74">
        <f>IF(A74="NA","NA",VLOOKUP(A74,Leonard2010!D:J,7,FALSE))</f>
        <v>342</v>
      </c>
      <c r="I74" t="str">
        <f>IF(C74="NA","NA",VLOOKUP(C74,Leonard2010!F:L,7,FALSE))</f>
        <v>NA</v>
      </c>
      <c r="J74">
        <f>IF(A74="NA","NA",VLOOKUP(A74,Leonard2010!D:N,11,FALSE))</f>
        <v>53</v>
      </c>
      <c r="K74" t="s">
        <v>211</v>
      </c>
      <c r="L74">
        <f>VLOOKUP(A74,Leonard2010!D:AJ,32,FALSE)</f>
        <v>46</v>
      </c>
      <c r="M74">
        <f>VLOOKUP($A74,Leonard2010!D:AK,33,FALSE)</f>
        <v>73</v>
      </c>
      <c r="N74">
        <f>VLOOKUP($A74,Leonard2010!D:AL,34,FALSE)</f>
        <v>100</v>
      </c>
      <c r="O74">
        <f t="shared" si="15"/>
        <v>0.89100652418836801</v>
      </c>
      <c r="P74">
        <f t="shared" si="23"/>
        <v>1016.7341544228552</v>
      </c>
      <c r="Q74">
        <f>IF(B74="NA","0",VLOOKUP(B74,SectionGeometry!C:E,3,FALSE)*IF(C74="NA",X$277/(X$277+X$276),X$277))</f>
        <v>0.125</v>
      </c>
      <c r="R74">
        <f>Q74*IF(B74="NA",0,((VLOOKUP(B74,SectionGeometry!C:Z,24,FALSE))))</f>
        <v>266190683926854.78</v>
      </c>
      <c r="S74">
        <f>IF(R74=0,0,Q74*3.3*10^10*P74*10^6*(1/O74)*VLOOKUP(B74,SectionGeometry!C:AA,25,FALSE)*10^-3)</f>
        <v>1969320391809677</v>
      </c>
      <c r="T74">
        <f t="shared" si="19"/>
        <v>0.89879404629916704</v>
      </c>
      <c r="U74">
        <f>IF(K74="N",E74*35/SIN(RADIANS(J74)),IF(K74="Y",VLOOKUP(A74,Leonard2010!D:U,18,FALSE),IF(C74="NA",VLOOKUP(A74,MSSM_AdaptedSources!B:K,10,FALSE),"CHECK")))</f>
        <v>4680.4830901879714</v>
      </c>
      <c r="V74">
        <f>(1*VLOOKUP(A74,FaultGeometry!B:C,2,FALSE))-Q74-AA74</f>
        <v>0.375</v>
      </c>
      <c r="W74">
        <f>V74*(VLOOKUP(A74,FaultGeometry!B:Y,24,FALSE))</f>
        <v>1.1430134949367198E+16</v>
      </c>
      <c r="X74">
        <f>V74*3.3*10^10*U74*10^6*(1/T74)*VLOOKUP(A74,FaultGeometry!B:O,14,FALSE)*10^-3</f>
        <v>2.6911317824896136E+16</v>
      </c>
      <c r="Y74" t="str">
        <f t="shared" si="9"/>
        <v>NA</v>
      </c>
      <c r="Z74" t="str">
        <f>IF(C74="NA","NA",VLOOKUP(C74,MSSM_AdaptedSources!B:K,10,FALSE))</f>
        <v>NA</v>
      </c>
      <c r="AA74" t="str">
        <f>IF(C74="NA","0",VLOOKUP(C74,MultiFaultGeometry!B:C,2,FALSE)*IF(B74="NA",X$278/(X$278+X$276),X$278))</f>
        <v>0</v>
      </c>
      <c r="AB74">
        <f>AA74*IF(C74="NA",0,VLOOKUP(C74,MultiFaultGeometry!B:O,14,FALSE))</f>
        <v>0</v>
      </c>
      <c r="AC74">
        <f>IF(AB74=0,0,AA74*3.3*10^10*Z74*10^6*(1/Y74)*VLOOKUP(C74,MultiFaultGeometry!B:G,5,FALSE)*10^-3)</f>
        <v>0</v>
      </c>
      <c r="AE74" s="68">
        <f t="shared" si="20"/>
        <v>0</v>
      </c>
      <c r="AF74" s="68">
        <f t="shared" si="21"/>
        <v>0</v>
      </c>
      <c r="AG74" s="68"/>
    </row>
    <row r="75" spans="1:33" x14ac:dyDescent="0.2">
      <c r="A75" s="68" t="str">
        <f>Leonard2010!D77</f>
        <v>Chirobwe-Ncheu-1</v>
      </c>
      <c r="B75" s="68" t="str">
        <f>Leonard2010!E77</f>
        <v>Chirobwe-Ncheu Link-1b</v>
      </c>
      <c r="C75" s="68" t="str">
        <f>Leonard2010!F77</f>
        <v>NA</v>
      </c>
      <c r="D75">
        <f>IF(B75="NA","NA",VLOOKUP(B75,Leonard2010!E:H,3,FALSE))</f>
        <v>1.6</v>
      </c>
      <c r="E75">
        <f>IF(A75="NA","NA",VLOOKUP(A75,Leonard2010!D:I,6,FALSE))</f>
        <v>106.8</v>
      </c>
      <c r="F75" t="str">
        <f>IF(C75="NA","NA",VLOOKUP(C75,Leonard2010!F:K,6,FALSE))</f>
        <v>NA</v>
      </c>
      <c r="G75">
        <f>IF(B75="NA","NA",VLOOKUP(B75,Leonard2010!E:H,4,FALSE))</f>
        <v>74</v>
      </c>
      <c r="H75">
        <f>IF(A75="NA","NA",VLOOKUP(A75,Leonard2010!D:J,7,FALSE))</f>
        <v>342</v>
      </c>
      <c r="I75" t="str">
        <f>IF(C75="NA","NA",VLOOKUP(C75,Leonard2010!F:L,7,FALSE))</f>
        <v>NA</v>
      </c>
      <c r="J75">
        <f>IF(A75="NA","NA",VLOOKUP(A75,Leonard2010!D:N,11,FALSE))</f>
        <v>53</v>
      </c>
      <c r="K75" t="s">
        <v>211</v>
      </c>
      <c r="L75">
        <f>VLOOKUP(A75,Leonard2010!D:AJ,32,FALSE)</f>
        <v>46</v>
      </c>
      <c r="M75">
        <f>VLOOKUP($A75,Leonard2010!D:AK,33,FALSE)</f>
        <v>73</v>
      </c>
      <c r="N75">
        <f>VLOOKUP($A75,Leonard2010!D:AL,34,FALSE)</f>
        <v>100</v>
      </c>
      <c r="O75">
        <f t="shared" si="15"/>
        <v>0.43837114678907746</v>
      </c>
      <c r="P75">
        <f t="shared" si="23"/>
        <v>70.119596856748643</v>
      </c>
      <c r="Q75">
        <f>IF(B75="NA","0",VLOOKUP(B75,SectionGeometry!C:E,3,FALSE)*IF(C75="NA",X$277/(X$277+X$276),X$277))</f>
        <v>0.125</v>
      </c>
      <c r="R75">
        <f>Q75*IF(B75="NA",0,((VLOOKUP(B75,SectionGeometry!C:Z,24,FALSE))))</f>
        <v>0</v>
      </c>
      <c r="S75">
        <f>IF(R75=0,0,Q75*3.3*10^10*P75*10^6*(1/O75)*VLOOKUP(B75,SectionGeometry!C:AA,25,FALSE)*10^-3)</f>
        <v>0</v>
      </c>
      <c r="T75">
        <f t="shared" si="19"/>
        <v>0.89879404629916704</v>
      </c>
      <c r="U75">
        <f>IF(K75="N",E75*35/SIN(RADIANS(J75)),IF(K75="Y",VLOOKUP(A75,Leonard2010!D:U,18,FALSE),IF(C75="NA",VLOOKUP(A75,MSSM_AdaptedSources!B:K,10,FALSE),"CHECK")))</f>
        <v>4680.4830901879714</v>
      </c>
      <c r="V75">
        <f>(1*VLOOKUP(A75,FaultGeometry!B:C,2,FALSE))-Q75-AA75</f>
        <v>0.375</v>
      </c>
      <c r="W75">
        <f>V75*(VLOOKUP(A75,FaultGeometry!B:Y,24,FALSE))</f>
        <v>1.1430134949367198E+16</v>
      </c>
      <c r="X75">
        <f>V75*3.3*10^10*U75*10^6*(1/T75)*VLOOKUP(A75,FaultGeometry!B:O,14,FALSE)*10^-3</f>
        <v>2.6911317824896136E+16</v>
      </c>
      <c r="Y75" t="str">
        <f t="shared" si="9"/>
        <v>NA</v>
      </c>
      <c r="Z75" t="str">
        <f>IF(C75="NA","NA",VLOOKUP(C75,MSSM_AdaptedSources!B:K,10,FALSE))</f>
        <v>NA</v>
      </c>
      <c r="AA75" t="str">
        <f>IF(C75="NA","0",VLOOKUP(C75,MultiFaultGeometry!B:C,2,FALSE)*IF(B75="NA",X$278/(X$278+X$276),X$278))</f>
        <v>0</v>
      </c>
      <c r="AB75">
        <f>AA75*IF(C75="NA",0,VLOOKUP(C75,MultiFaultGeometry!B:O,14,FALSE))</f>
        <v>0</v>
      </c>
      <c r="AC75">
        <f>IF(AB75=0,0,AA75*3.3*10^10*Z75*10^6*(1/Y75)*VLOOKUP(C75,MultiFaultGeometry!B:G,5,FALSE)*10^-3)</f>
        <v>0</v>
      </c>
      <c r="AE75" s="68">
        <f t="shared" si="20"/>
        <v>0</v>
      </c>
      <c r="AF75" s="68">
        <f t="shared" si="21"/>
        <v>0</v>
      </c>
      <c r="AG75" s="68"/>
    </row>
    <row r="76" spans="1:33" x14ac:dyDescent="0.2">
      <c r="A76" s="68" t="str">
        <f>Leonard2010!D78</f>
        <v>Chirobwe-Ncheu-1</v>
      </c>
      <c r="B76" s="68" t="str">
        <f>Leonard2010!E78</f>
        <v>Chirobwe-Ncheu Central-1</v>
      </c>
      <c r="C76" s="68" t="str">
        <f>Leonard2010!F78</f>
        <v>NA</v>
      </c>
      <c r="D76">
        <f>IF(B76="NA","NA",VLOOKUP(B76,Leonard2010!E:H,3,FALSE))</f>
        <v>27.3</v>
      </c>
      <c r="E76">
        <f>IF(A76="NA","NA",VLOOKUP(A76,Leonard2010!D:I,6,FALSE))</f>
        <v>106.8</v>
      </c>
      <c r="F76" t="str">
        <f>IF(C76="NA","NA",VLOOKUP(C76,Leonard2010!F:K,6,FALSE))</f>
        <v>NA</v>
      </c>
      <c r="G76">
        <f>IF(B76="NA","NA",VLOOKUP(B76,Leonard2010!E:H,4,FALSE))</f>
        <v>327</v>
      </c>
      <c r="H76">
        <f>IF(A76="NA","NA",VLOOKUP(A76,Leonard2010!D:J,7,FALSE))</f>
        <v>342</v>
      </c>
      <c r="I76" t="str">
        <f>IF(C76="NA","NA",VLOOKUP(C76,Leonard2010!F:L,7,FALSE))</f>
        <v>NA</v>
      </c>
      <c r="J76">
        <f>IF(A76="NA","NA",VLOOKUP(A76,Leonard2010!D:N,11,FALSE))</f>
        <v>53</v>
      </c>
      <c r="K76" t="s">
        <v>211</v>
      </c>
      <c r="L76">
        <f>VLOOKUP(A76,Leonard2010!D:AJ,32,FALSE)</f>
        <v>46</v>
      </c>
      <c r="M76">
        <f>VLOOKUP($A76,Leonard2010!D:AK,33,FALSE)</f>
        <v>73</v>
      </c>
      <c r="N76">
        <f>VLOOKUP($A76,Leonard2010!D:AL,34,FALSE)</f>
        <v>100</v>
      </c>
      <c r="O76">
        <f t="shared" si="15"/>
        <v>0.96126169593831889</v>
      </c>
      <c r="P76">
        <f t="shared" si="23"/>
        <v>1196.4156213682736</v>
      </c>
      <c r="Q76">
        <f>IF(B76="NA","0",VLOOKUP(B76,SectionGeometry!C:E,3,FALSE)*IF(C76="NA",X$277/(X$277+X$276),X$277))</f>
        <v>0.125</v>
      </c>
      <c r="R76">
        <f>Q76*IF(B76="NA",0,((VLOOKUP(B76,SectionGeometry!C:Z,24,FALSE))))</f>
        <v>338197599971906.69</v>
      </c>
      <c r="S76">
        <f>IF(R76=0,0,Q76*3.3*10^10*P76*10^6*(1/O76)*VLOOKUP(B76,SectionGeometry!C:AA,25,FALSE)*10^-3)</f>
        <v>2051965320981348.8</v>
      </c>
      <c r="T76">
        <f t="shared" si="19"/>
        <v>0.89879404629916704</v>
      </c>
      <c r="U76">
        <f>IF(K76="N",E76*35/SIN(RADIANS(J76)),IF(K76="Y",VLOOKUP(A76,Leonard2010!D:U,18,FALSE),IF(C76="NA",VLOOKUP(A76,MSSM_AdaptedSources!B:K,10,FALSE),"CHECK")))</f>
        <v>4680.4830901879714</v>
      </c>
      <c r="V76">
        <f>(1*VLOOKUP(A76,FaultGeometry!B:C,2,FALSE))-Q76-AA76</f>
        <v>0.375</v>
      </c>
      <c r="W76">
        <f>V76*(VLOOKUP(A76,FaultGeometry!B:Y,24,FALSE))</f>
        <v>1.1430134949367198E+16</v>
      </c>
      <c r="X76">
        <f>V76*3.3*10^10*U76*10^6*(1/T76)*VLOOKUP(A76,FaultGeometry!B:O,14,FALSE)*10^-3</f>
        <v>2.6911317824896136E+16</v>
      </c>
      <c r="Y76" t="str">
        <f t="shared" si="9"/>
        <v>NA</v>
      </c>
      <c r="Z76" t="str">
        <f>IF(C76="NA","NA",VLOOKUP(C76,MSSM_AdaptedSources!B:K,10,FALSE))</f>
        <v>NA</v>
      </c>
      <c r="AA76" t="str">
        <f>IF(C76="NA","0",VLOOKUP(C76,MultiFaultGeometry!B:C,2,FALSE)*IF(B76="NA",X$278/(X$278+X$276),X$278))</f>
        <v>0</v>
      </c>
      <c r="AB76">
        <f>AA76*IF(C76="NA",0,VLOOKUP(C76,MultiFaultGeometry!B:O,14,FALSE))</f>
        <v>0</v>
      </c>
      <c r="AC76">
        <f>IF(AB76=0,0,AA76*3.3*10^10*Z76*10^6*(1/Y76)*VLOOKUP(C76,MultiFaultGeometry!B:G,5,FALSE)*10^-3)</f>
        <v>0</v>
      </c>
      <c r="AE76" s="68">
        <f t="shared" si="20"/>
        <v>0</v>
      </c>
      <c r="AF76" s="68">
        <f t="shared" si="21"/>
        <v>0</v>
      </c>
      <c r="AG76" s="68"/>
    </row>
    <row r="77" spans="1:33" x14ac:dyDescent="0.2">
      <c r="A77" s="68" t="str">
        <f>Leonard2010!D79</f>
        <v>Chirobwe-Ncheu-1</v>
      </c>
      <c r="B77" s="68" t="str">
        <f>Leonard2010!E79</f>
        <v>Chirobwe-Ncheu Link-1a</v>
      </c>
      <c r="C77" s="68" t="str">
        <f>Leonard2010!F79</f>
        <v>NA</v>
      </c>
      <c r="D77">
        <f>IF(B77="NA","NA",VLOOKUP(B77,Leonard2010!E:H,3,FALSE))</f>
        <v>0.7</v>
      </c>
      <c r="E77">
        <f>IF(A77="NA","NA",VLOOKUP(A77,Leonard2010!D:I,6,FALSE))</f>
        <v>106.8</v>
      </c>
      <c r="F77" t="str">
        <f>IF(C77="NA","NA",VLOOKUP(C77,Leonard2010!F:K,6,FALSE))</f>
        <v>NA</v>
      </c>
      <c r="G77">
        <f>IF(B77="NA","NA",VLOOKUP(B77,Leonard2010!E:H,4,FALSE))</f>
        <v>57</v>
      </c>
      <c r="H77">
        <f>IF(A77="NA","NA",VLOOKUP(A77,Leonard2010!D:J,7,FALSE))</f>
        <v>342</v>
      </c>
      <c r="I77" t="str">
        <f>IF(C77="NA","NA",VLOOKUP(C77,Leonard2010!F:L,7,FALSE))</f>
        <v>NA</v>
      </c>
      <c r="J77">
        <f>IF(A77="NA","NA",VLOOKUP(A77,Leonard2010!D:N,11,FALSE))</f>
        <v>53</v>
      </c>
      <c r="K77" t="s">
        <v>211</v>
      </c>
      <c r="L77">
        <f>VLOOKUP(A77,Leonard2010!D:AJ,32,FALSE)</f>
        <v>46</v>
      </c>
      <c r="M77">
        <f>VLOOKUP($A77,Leonard2010!D:AK,33,FALSE)</f>
        <v>73</v>
      </c>
      <c r="N77">
        <f>VLOOKUP($A77,Leonard2010!D:AL,34,FALSE)</f>
        <v>100</v>
      </c>
      <c r="O77">
        <f t="shared" si="15"/>
        <v>0.27563735581699916</v>
      </c>
      <c r="P77">
        <f t="shared" si="23"/>
        <v>30.677323624827526</v>
      </c>
      <c r="Q77">
        <f>IF(B77="NA","0",VLOOKUP(B77,SectionGeometry!C:E,3,FALSE)*IF(C77="NA",X$277/(X$277+X$276),X$277))</f>
        <v>0.125</v>
      </c>
      <c r="R77">
        <f>Q77*IF(B77="NA",0,((VLOOKUP(B77,SectionGeometry!C:Z,24,FALSE))))</f>
        <v>0</v>
      </c>
      <c r="S77">
        <f>IF(R77=0,0,Q77*3.3*10^10*P77*10^6*(1/O77)*VLOOKUP(B77,SectionGeometry!C:AA,25,FALSE)*10^-3)</f>
        <v>0</v>
      </c>
      <c r="T77">
        <f t="shared" si="19"/>
        <v>0.89879404629916704</v>
      </c>
      <c r="U77">
        <f>IF(K77="N",E77*35/SIN(RADIANS(J77)),IF(K77="Y",VLOOKUP(A77,Leonard2010!D:U,18,FALSE),IF(C77="NA",VLOOKUP(A77,MSSM_AdaptedSources!B:K,10,FALSE),"CHECK")))</f>
        <v>4680.4830901879714</v>
      </c>
      <c r="V77">
        <f>(1*VLOOKUP(A77,FaultGeometry!B:C,2,FALSE))-Q77-AA77</f>
        <v>0.375</v>
      </c>
      <c r="W77">
        <f>V77*(VLOOKUP(A77,FaultGeometry!B:Y,24,FALSE))</f>
        <v>1.1430134949367198E+16</v>
      </c>
      <c r="X77">
        <f>V77*3.3*10^10*U77*10^6*(1/T77)*VLOOKUP(A77,FaultGeometry!B:O,14,FALSE)*10^-3</f>
        <v>2.6911317824896136E+16</v>
      </c>
      <c r="Y77" t="str">
        <f t="shared" si="9"/>
        <v>NA</v>
      </c>
      <c r="Z77" t="str">
        <f>IF(C77="NA","NA",VLOOKUP(C77,MSSM_AdaptedSources!B:K,10,FALSE))</f>
        <v>NA</v>
      </c>
      <c r="AA77" t="str">
        <f>IF(C77="NA","0",VLOOKUP(C77,MultiFaultGeometry!B:C,2,FALSE)*IF(B77="NA",X$278/(X$278+X$276),X$278))</f>
        <v>0</v>
      </c>
      <c r="AB77">
        <f>AA77*IF(C77="NA",0,VLOOKUP(C77,MultiFaultGeometry!B:O,14,FALSE))</f>
        <v>0</v>
      </c>
      <c r="AC77">
        <f>IF(AB77=0,0,AA77*3.3*10^10*Z77*10^6*(1/Y77)*VLOOKUP(C77,MultiFaultGeometry!B:G,5,FALSE)*10^-3)</f>
        <v>0</v>
      </c>
      <c r="AE77" s="68">
        <f t="shared" si="20"/>
        <v>0</v>
      </c>
      <c r="AF77" s="68">
        <f t="shared" si="21"/>
        <v>0</v>
      </c>
      <c r="AG77" s="68"/>
    </row>
    <row r="78" spans="1:33" x14ac:dyDescent="0.2">
      <c r="A78" s="68" t="str">
        <f>Leonard2010!D80</f>
        <v>Chirobwe-Ncheu-1</v>
      </c>
      <c r="B78" s="68" t="str">
        <f>Leonard2010!E80</f>
        <v>Chirobwe-Ncheu South</v>
      </c>
      <c r="C78" s="68" t="str">
        <f>Leonard2010!F80</f>
        <v>NA</v>
      </c>
      <c r="D78">
        <f>IF(B78="NA","NA",VLOOKUP(B78,Leonard2010!E:H,3,FALSE))</f>
        <v>7.7</v>
      </c>
      <c r="E78">
        <f>IF(A78="NA","NA",VLOOKUP(A78,Leonard2010!D:I,6,FALSE))</f>
        <v>106.8</v>
      </c>
      <c r="F78" t="str">
        <f>IF(C78="NA","NA",VLOOKUP(C78,Leonard2010!F:K,6,FALSE))</f>
        <v>NA</v>
      </c>
      <c r="G78">
        <f>IF(B78="NA","NA",VLOOKUP(B78,Leonard2010!E:H,4,FALSE))</f>
        <v>349</v>
      </c>
      <c r="H78">
        <f>IF(A78="NA","NA",VLOOKUP(A78,Leonard2010!D:J,7,FALSE))</f>
        <v>342</v>
      </c>
      <c r="I78" t="str">
        <f>IF(C78="NA","NA",VLOOKUP(C78,Leonard2010!F:L,7,FALSE))</f>
        <v>NA</v>
      </c>
      <c r="J78">
        <f>IF(A78="NA","NA",VLOOKUP(A78,Leonard2010!D:N,11,FALSE))</f>
        <v>53</v>
      </c>
      <c r="K78" t="s">
        <v>211</v>
      </c>
      <c r="L78">
        <f>VLOOKUP(A78,Leonard2010!D:AJ,32,FALSE)</f>
        <v>46</v>
      </c>
      <c r="M78">
        <f>VLOOKUP($A78,Leonard2010!D:AK,33,FALSE)</f>
        <v>73</v>
      </c>
      <c r="N78">
        <f>VLOOKUP($A78,Leonard2010!D:AL,34,FALSE)</f>
        <v>100</v>
      </c>
      <c r="O78">
        <f t="shared" si="15"/>
        <v>0.93358042649720152</v>
      </c>
      <c r="P78">
        <f t="shared" si="23"/>
        <v>337.4505598731028</v>
      </c>
      <c r="Q78">
        <f>IF(B78="NA","0",VLOOKUP(B78,SectionGeometry!C:E,3,FALSE)*IF(C78="NA",X$277/(X$277+X$276),X$277))</f>
        <v>0.125</v>
      </c>
      <c r="R78">
        <f>Q78*IF(B78="NA",0,((VLOOKUP(B78,SectionGeometry!C:Z,24,FALSE))))</f>
        <v>42804883835298.094</v>
      </c>
      <c r="S78">
        <f>IF(R78=0,0,Q78*3.3*10^10*P78*10^6*(1/O78)*VLOOKUP(B78,SectionGeometry!C:AA,25,FALSE)*10^-3)</f>
        <v>622217632671258.25</v>
      </c>
      <c r="T78">
        <f t="shared" si="19"/>
        <v>0.89879404629916704</v>
      </c>
      <c r="U78">
        <f>IF(K78="N",E78*35/SIN(RADIANS(J78)),IF(K78="Y",VLOOKUP(A78,Leonard2010!D:U,18,FALSE),IF(C78="NA",VLOOKUP(A78,MSSM_AdaptedSources!B:K,10,FALSE),"CHECK")))</f>
        <v>4680.4830901879714</v>
      </c>
      <c r="V78">
        <f>(1*VLOOKUP(A78,FaultGeometry!B:C,2,FALSE))-Q78-AA78</f>
        <v>0.375</v>
      </c>
      <c r="W78">
        <f>V78*(VLOOKUP(A78,FaultGeometry!B:Y,24,FALSE))</f>
        <v>1.1430134949367198E+16</v>
      </c>
      <c r="X78">
        <f>V78*3.3*10^10*U78*10^6*(1/T78)*VLOOKUP(A78,FaultGeometry!B:O,14,FALSE)*10^-3</f>
        <v>2.6911317824896136E+16</v>
      </c>
      <c r="Y78" t="str">
        <f t="shared" si="9"/>
        <v>NA</v>
      </c>
      <c r="Z78" t="str">
        <f>IF(C78="NA","NA",VLOOKUP(C78,MSSM_AdaptedSources!B:K,10,FALSE))</f>
        <v>NA</v>
      </c>
      <c r="AA78" t="str">
        <f>IF(C78="NA","0",VLOOKUP(C78,MultiFaultGeometry!B:C,2,FALSE)*IF(B78="NA",X$278/(X$278+X$276),X$278))</f>
        <v>0</v>
      </c>
      <c r="AB78">
        <f>AA78*IF(C78="NA",0,VLOOKUP(C78,MultiFaultGeometry!B:O,14,FALSE))</f>
        <v>0</v>
      </c>
      <c r="AC78">
        <f>IF(AB78=0,0,AA78*3.3*10^10*Z78*10^6*(1/Y78)*VLOOKUP(C78,MultiFaultGeometry!B:G,5,FALSE)*10^-3)</f>
        <v>0</v>
      </c>
      <c r="AE78" s="68">
        <f t="shared" si="20"/>
        <v>1.1430134949367198E+16</v>
      </c>
      <c r="AF78" s="68">
        <f t="shared" si="21"/>
        <v>2.6911317824896136E+16</v>
      </c>
      <c r="AG78" s="68"/>
    </row>
    <row r="79" spans="1:33" x14ac:dyDescent="0.2">
      <c r="A79" s="68" t="str">
        <f>Leonard2010!D81</f>
        <v>Chirobwe-Ncheu-2</v>
      </c>
      <c r="B79" s="68" t="str">
        <f>Leonard2010!E81</f>
        <v>Chirobwe-Ncheu North-2</v>
      </c>
      <c r="C79" s="68" t="str">
        <f>Leonard2010!F81</f>
        <v>NA</v>
      </c>
      <c r="D79">
        <f>IF(B79="NA","NA",VLOOKUP(B79,Leonard2010!E:H,3,FALSE))</f>
        <v>41.7</v>
      </c>
      <c r="E79">
        <f>IF(A79="NA","NA",VLOOKUP(A79,Leonard2010!D:I,6,FALSE))</f>
        <v>121.4</v>
      </c>
      <c r="F79" t="str">
        <f>IF(C79="NA","NA",VLOOKUP(C79,Leonard2010!F:K,6,FALSE))</f>
        <v>NA</v>
      </c>
      <c r="G79">
        <f>IF(B79="NA","NA",VLOOKUP(B79,Leonard2010!E:H,4,FALSE))</f>
        <v>346</v>
      </c>
      <c r="H79">
        <f>IF(A79="NA","NA",VLOOKUP(A79,Leonard2010!D:J,7,FALSE))</f>
        <v>342</v>
      </c>
      <c r="I79" t="str">
        <f>IF(C79="NA","NA",VLOOKUP(C79,Leonard2010!F:L,7,FALSE))</f>
        <v>NA</v>
      </c>
      <c r="J79">
        <f>IF(A79="NA","NA",VLOOKUP(A79,Leonard2010!D:N,11,FALSE))</f>
        <v>53</v>
      </c>
      <c r="K79" t="s">
        <v>211</v>
      </c>
      <c r="L79">
        <f>VLOOKUP(A79,Leonard2010!D:AJ,32,FALSE)</f>
        <v>46</v>
      </c>
      <c r="M79">
        <f>VLOOKUP($A79,Leonard2010!D:AK,33,FALSE)</f>
        <v>73</v>
      </c>
      <c r="N79">
        <f>VLOOKUP($A79,Leonard2010!D:AL,34,FALSE)</f>
        <v>100</v>
      </c>
      <c r="O79">
        <f t="shared" si="15"/>
        <v>0.91354545764260087</v>
      </c>
      <c r="P79">
        <f t="shared" si="23"/>
        <v>1827.4919930790115</v>
      </c>
      <c r="Q79">
        <f>IF(B79="NA","0",VLOOKUP(B79,SectionGeometry!C:E,3,FALSE)*IF(C79="NA",X$277/(X$277+X$276),X$277))</f>
        <v>0.125</v>
      </c>
      <c r="R79">
        <f>Q79*IF(B79="NA",0,((VLOOKUP(B79,SectionGeometry!C:Z,24,FALSE))))</f>
        <v>713513503438960</v>
      </c>
      <c r="S79">
        <f>IF(R79=0,0,Q79*3.3*10^10*P79*10^6*(1/O79)*VLOOKUP(B79,SectionGeometry!C:AA,25,FALSE)*10^-3)</f>
        <v>3440445752211606</v>
      </c>
      <c r="T79">
        <f t="shared" si="19"/>
        <v>0.89879404629916704</v>
      </c>
      <c r="U79">
        <f>IF(K79="N",E79*35/SIN(RADIANS(J79)),IF(K79="Y",VLOOKUP(A79,Leonard2010!D:U,18,FALSE),IF(C79="NA",VLOOKUP(A79,MSSM_AdaptedSources!B:K,10,FALSE),"CHECK")))</f>
        <v>5320.3244115058033</v>
      </c>
      <c r="V79">
        <f>(1*VLOOKUP(A79,FaultGeometry!B:C,2,FALSE))-Q79-AA79</f>
        <v>0.375</v>
      </c>
      <c r="W79">
        <f>V79*(VLOOKUP(A79,FaultGeometry!B:Y,24,FALSE))</f>
        <v>1.3534250570962722E+16</v>
      </c>
      <c r="X79">
        <f>V79*3.3*10^10*U79*10^6*(1/T79)*VLOOKUP(A79,FaultGeometry!B:O,14,FALSE)*10^-3</f>
        <v>3.056293604208984E+16</v>
      </c>
      <c r="Y79" t="str">
        <f t="shared" si="9"/>
        <v>NA</v>
      </c>
      <c r="Z79" t="str">
        <f>IF(C79="NA","NA",VLOOKUP(C79,MSSM_AdaptedSources!B:K,10,FALSE))</f>
        <v>NA</v>
      </c>
      <c r="AA79" t="str">
        <f>IF(C79="NA","0",VLOOKUP(C79,MultiFaultGeometry!B:C,2,FALSE)*IF(B79="NA",X$278/(X$278+X$276),X$278))</f>
        <v>0</v>
      </c>
      <c r="AB79">
        <f>AA79*IF(C79="NA",0,VLOOKUP(C79,MultiFaultGeometry!B:O,14,FALSE))</f>
        <v>0</v>
      </c>
      <c r="AC79">
        <f>IF(AB79=0,0,AA79*3.3*10^10*Z79*10^6*(1/Y79)*VLOOKUP(C79,MultiFaultGeometry!B:G,5,FALSE)*10^-3)</f>
        <v>0</v>
      </c>
      <c r="AE79" s="68">
        <f t="shared" si="20"/>
        <v>0</v>
      </c>
      <c r="AF79" s="68">
        <f t="shared" si="21"/>
        <v>0</v>
      </c>
      <c r="AG79" s="68"/>
    </row>
    <row r="80" spans="1:33" x14ac:dyDescent="0.2">
      <c r="A80" s="68" t="str">
        <f>Leonard2010!D82</f>
        <v>Chirobwe-Ncheu-2</v>
      </c>
      <c r="B80" s="68" t="str">
        <f>Leonard2010!E82</f>
        <v>Chirobwe-Ncheu Link-2c</v>
      </c>
      <c r="C80" s="68" t="str">
        <f>Leonard2010!F82</f>
        <v>NA</v>
      </c>
      <c r="D80">
        <f>IF(B80="NA","NA",VLOOKUP(B80,Leonard2010!E:H,3,FALSE))</f>
        <v>4.5999999999999996</v>
      </c>
      <c r="E80">
        <f>IF(A80="NA","NA",VLOOKUP(A80,Leonard2010!D:I,6,FALSE))</f>
        <v>121.4</v>
      </c>
      <c r="F80" t="str">
        <f>IF(C80="NA","NA",VLOOKUP(C80,Leonard2010!F:K,6,FALSE))</f>
        <v>NA</v>
      </c>
      <c r="G80">
        <f>IF(B80="NA","NA",VLOOKUP(B80,Leonard2010!E:H,4,FALSE))</f>
        <v>358</v>
      </c>
      <c r="H80">
        <f>IF(A80="NA","NA",VLOOKUP(A80,Leonard2010!D:J,7,FALSE))</f>
        <v>342</v>
      </c>
      <c r="I80" t="str">
        <f>IF(C80="NA","NA",VLOOKUP(C80,Leonard2010!F:L,7,FALSE))</f>
        <v>NA</v>
      </c>
      <c r="J80">
        <f>IF(A80="NA","NA",VLOOKUP(A80,Leonard2010!D:N,11,FALSE))</f>
        <v>53</v>
      </c>
      <c r="K80" t="s">
        <v>211</v>
      </c>
      <c r="L80">
        <f>VLOOKUP(A80,Leonard2010!D:AJ,32,FALSE)</f>
        <v>46</v>
      </c>
      <c r="M80">
        <f>VLOOKUP($A80,Leonard2010!D:AK,33,FALSE)</f>
        <v>73</v>
      </c>
      <c r="N80">
        <f>VLOOKUP($A80,Leonard2010!D:AL,34,FALSE)</f>
        <v>100</v>
      </c>
      <c r="O80">
        <f t="shared" si="15"/>
        <v>0.96592582628906842</v>
      </c>
      <c r="P80">
        <f t="shared" si="23"/>
        <v>201.59384096315233</v>
      </c>
      <c r="Q80">
        <f>IF(B80="NA","0",VLOOKUP(B80,SectionGeometry!C:E,3,FALSE)*IF(C80="NA",X$277/(X$277+X$276),X$277))</f>
        <v>0.125</v>
      </c>
      <c r="R80">
        <f>Q80*IF(B80="NA",0,((VLOOKUP(B80,SectionGeometry!C:Z,24,FALSE))))</f>
        <v>0</v>
      </c>
      <c r="S80">
        <f>IF(R80=0,0,Q80*3.3*10^10*P80*10^6*(1/O80)*VLOOKUP(B80,SectionGeometry!C:AA,25,FALSE)*10^-3)</f>
        <v>0</v>
      </c>
      <c r="T80">
        <f t="shared" si="19"/>
        <v>0.89879404629916704</v>
      </c>
      <c r="U80">
        <f>IF(K80="N",E80*35/SIN(RADIANS(J80)),IF(K80="Y",VLOOKUP(A80,Leonard2010!D:U,18,FALSE),IF(C80="NA",VLOOKUP(A80,MSSM_AdaptedSources!B:K,10,FALSE),"CHECK")))</f>
        <v>5320.3244115058033</v>
      </c>
      <c r="V80">
        <f>(1*VLOOKUP(A80,FaultGeometry!B:C,2,FALSE))-Q80-AA80</f>
        <v>0.375</v>
      </c>
      <c r="W80">
        <f>V80*(VLOOKUP(A80,FaultGeometry!B:Y,24,FALSE))</f>
        <v>1.3534250570962722E+16</v>
      </c>
      <c r="X80">
        <f>V80*3.3*10^10*U80*10^6*(1/T80)*VLOOKUP(A80,FaultGeometry!B:O,14,FALSE)*10^-3</f>
        <v>3.056293604208984E+16</v>
      </c>
      <c r="Y80" t="str">
        <f t="shared" si="9"/>
        <v>NA</v>
      </c>
      <c r="Z80" t="str">
        <f>IF(C80="NA","NA",VLOOKUP(C80,MSSM_AdaptedSources!B:K,10,FALSE))</f>
        <v>NA</v>
      </c>
      <c r="AA80" t="str">
        <f>IF(C80="NA","0",VLOOKUP(C80,MultiFaultGeometry!B:C,2,FALSE)*IF(B80="NA",X$278/(X$278+X$276),X$278))</f>
        <v>0</v>
      </c>
      <c r="AB80">
        <f>AA80*IF(C80="NA",0,VLOOKUP(C80,MultiFaultGeometry!B:O,14,FALSE))</f>
        <v>0</v>
      </c>
      <c r="AC80">
        <f>IF(AB80=0,0,AA80*3.3*10^10*Z80*10^6*(1/Y80)*VLOOKUP(C80,MultiFaultGeometry!B:G,5,FALSE)*10^-3)</f>
        <v>0</v>
      </c>
      <c r="AE80" s="68">
        <f t="shared" si="20"/>
        <v>0</v>
      </c>
      <c r="AF80" s="68">
        <f t="shared" si="21"/>
        <v>0</v>
      </c>
      <c r="AG80" s="68"/>
    </row>
    <row r="81" spans="1:33" x14ac:dyDescent="0.2">
      <c r="A81" s="68" t="str">
        <f>Leonard2010!D83</f>
        <v>Chirobwe-Ncheu-2</v>
      </c>
      <c r="B81" s="68" t="str">
        <f>Leonard2010!E83</f>
        <v>Livulezi-2</v>
      </c>
      <c r="C81" s="68" t="str">
        <f>Leonard2010!F83</f>
        <v>NA</v>
      </c>
      <c r="D81">
        <f>IF(B81="NA","NA",VLOOKUP(B81,Leonard2010!E:H,3,FALSE))</f>
        <v>23.2</v>
      </c>
      <c r="E81">
        <f>IF(A81="NA","NA",VLOOKUP(A81,Leonard2010!D:I,6,FALSE))</f>
        <v>121.4</v>
      </c>
      <c r="F81" t="str">
        <f>IF(C81="NA","NA",VLOOKUP(C81,Leonard2010!F:K,6,FALSE))</f>
        <v>NA</v>
      </c>
      <c r="G81">
        <f>IF(B81="NA","NA",VLOOKUP(B81,Leonard2010!E:H,4,FALSE))</f>
        <v>343</v>
      </c>
      <c r="H81">
        <f>IF(A81="NA","NA",VLOOKUP(A81,Leonard2010!D:J,7,FALSE))</f>
        <v>342</v>
      </c>
      <c r="I81" t="str">
        <f>IF(C81="NA","NA",VLOOKUP(C81,Leonard2010!F:L,7,FALSE))</f>
        <v>NA</v>
      </c>
      <c r="J81">
        <f>IF(A81="NA","NA",VLOOKUP(A81,Leonard2010!D:N,11,FALSE))</f>
        <v>53</v>
      </c>
      <c r="K81" t="s">
        <v>211</v>
      </c>
      <c r="L81">
        <f>VLOOKUP(A81,Leonard2010!D:AJ,32,FALSE)</f>
        <v>46</v>
      </c>
      <c r="M81">
        <f>VLOOKUP($A81,Leonard2010!D:AK,33,FALSE)</f>
        <v>73</v>
      </c>
      <c r="N81">
        <f>VLOOKUP($A81,Leonard2010!D:AL,34,FALSE)</f>
        <v>100</v>
      </c>
      <c r="O81">
        <f t="shared" si="15"/>
        <v>0.89100652418836801</v>
      </c>
      <c r="P81">
        <f t="shared" si="23"/>
        <v>1016.7341544228552</v>
      </c>
      <c r="Q81">
        <f>IF(B81="NA","0",VLOOKUP(B81,SectionGeometry!C:E,3,FALSE)*IF(C81="NA",X$277/(X$277+X$276),X$277))</f>
        <v>0.125</v>
      </c>
      <c r="R81">
        <f>Q81*IF(B81="NA",0,((VLOOKUP(B81,SectionGeometry!C:Z,24,FALSE))))</f>
        <v>267725564836469.5</v>
      </c>
      <c r="S81">
        <f>IF(R81=0,0,Q81*3.3*10^10*P81*10^6*(1/O81)*VLOOKUP(B81,SectionGeometry!C:AA,25,FALSE)*10^-3)</f>
        <v>1958151552443745.8</v>
      </c>
      <c r="T81">
        <f t="shared" si="19"/>
        <v>0.89879404629916704</v>
      </c>
      <c r="U81">
        <f>IF(K81="N",E81*35/SIN(RADIANS(J81)),IF(K81="Y",VLOOKUP(A81,Leonard2010!D:U,18,FALSE),IF(C81="NA",VLOOKUP(A81,MSSM_AdaptedSources!B:K,10,FALSE),"CHECK")))</f>
        <v>5320.3244115058033</v>
      </c>
      <c r="V81">
        <f>(1*VLOOKUP(A81,FaultGeometry!B:C,2,FALSE))-Q81-AA81</f>
        <v>0.375</v>
      </c>
      <c r="W81">
        <f>V81*(VLOOKUP(A81,FaultGeometry!B:Y,24,FALSE))</f>
        <v>1.3534250570962722E+16</v>
      </c>
      <c r="X81">
        <f>V81*3.3*10^10*U81*10^6*(1/T81)*VLOOKUP(A81,FaultGeometry!B:O,14,FALSE)*10^-3</f>
        <v>3.056293604208984E+16</v>
      </c>
      <c r="Y81" t="str">
        <f t="shared" si="9"/>
        <v>NA</v>
      </c>
      <c r="Z81" t="str">
        <f>IF(C81="NA","NA",VLOOKUP(C81,MSSM_AdaptedSources!B:K,10,FALSE))</f>
        <v>NA</v>
      </c>
      <c r="AA81" t="str">
        <f>IF(C81="NA","0",VLOOKUP(C81,MultiFaultGeometry!B:C,2,FALSE)*IF(B81="NA",X$278/(X$278+X$276),X$278))</f>
        <v>0</v>
      </c>
      <c r="AB81">
        <f>AA81*IF(C81="NA",0,VLOOKUP(C81,MultiFaultGeometry!B:O,14,FALSE))</f>
        <v>0</v>
      </c>
      <c r="AC81">
        <f>IF(AB81=0,0,AA81*3.3*10^10*Z81*10^6*(1/Y81)*VLOOKUP(C81,MultiFaultGeometry!B:G,5,FALSE)*10^-3)</f>
        <v>0</v>
      </c>
      <c r="AE81" s="68">
        <f t="shared" si="20"/>
        <v>0</v>
      </c>
      <c r="AF81" s="68">
        <f t="shared" si="21"/>
        <v>0</v>
      </c>
      <c r="AG81" s="68"/>
    </row>
    <row r="82" spans="1:33" x14ac:dyDescent="0.2">
      <c r="A82" s="68" t="str">
        <f>Leonard2010!D84</f>
        <v>Chirobwe-Ncheu-2</v>
      </c>
      <c r="B82" s="68" t="str">
        <f>Leonard2010!E84</f>
        <v>Chirobwe-Ncheu Link-2b</v>
      </c>
      <c r="C82" s="68" t="str">
        <f>Leonard2010!F84</f>
        <v>NA</v>
      </c>
      <c r="D82">
        <f>IF(B82="NA","NA",VLOOKUP(B82,Leonard2010!E:H,3,FALSE))</f>
        <v>1.6</v>
      </c>
      <c r="E82">
        <f>IF(A82="NA","NA",VLOOKUP(A82,Leonard2010!D:I,6,FALSE))</f>
        <v>121.4</v>
      </c>
      <c r="F82" t="str">
        <f>IF(C82="NA","NA",VLOOKUP(C82,Leonard2010!F:K,6,FALSE))</f>
        <v>NA</v>
      </c>
      <c r="G82">
        <f>IF(B82="NA","NA",VLOOKUP(B82,Leonard2010!E:H,4,FALSE))</f>
        <v>74</v>
      </c>
      <c r="H82">
        <f>IF(A82="NA","NA",VLOOKUP(A82,Leonard2010!D:J,7,FALSE))</f>
        <v>342</v>
      </c>
      <c r="I82" t="str">
        <f>IF(C82="NA","NA",VLOOKUP(C82,Leonard2010!F:L,7,FALSE))</f>
        <v>NA</v>
      </c>
      <c r="J82">
        <f>IF(A82="NA","NA",VLOOKUP(A82,Leonard2010!D:N,11,FALSE))</f>
        <v>53</v>
      </c>
      <c r="K82" t="s">
        <v>211</v>
      </c>
      <c r="L82">
        <f>VLOOKUP(A82,Leonard2010!D:AJ,32,FALSE)</f>
        <v>46</v>
      </c>
      <c r="M82">
        <f>VLOOKUP($A82,Leonard2010!D:AK,33,FALSE)</f>
        <v>73</v>
      </c>
      <c r="N82">
        <f>VLOOKUP($A82,Leonard2010!D:AL,34,FALSE)</f>
        <v>100</v>
      </c>
      <c r="O82">
        <f t="shared" si="15"/>
        <v>0.43837114678907746</v>
      </c>
      <c r="P82">
        <f t="shared" si="23"/>
        <v>70.119596856748643</v>
      </c>
      <c r="Q82">
        <f>IF(B82="NA","0",VLOOKUP(B82,SectionGeometry!C:E,3,FALSE)*IF(C82="NA",X$277/(X$277+X$276),X$277))</f>
        <v>0.125</v>
      </c>
      <c r="R82">
        <f>Q82*IF(B82="NA",0,((VLOOKUP(B82,SectionGeometry!C:Z,24,FALSE))))</f>
        <v>0</v>
      </c>
      <c r="S82">
        <f>IF(R82=0,0,Q82*3.3*10^10*P82*10^6*(1/O82)*VLOOKUP(B82,SectionGeometry!C:AA,25,FALSE)*10^-3)</f>
        <v>0</v>
      </c>
      <c r="T82">
        <f t="shared" si="19"/>
        <v>0.89879404629916704</v>
      </c>
      <c r="U82">
        <f>IF(K82="N",E82*35/SIN(RADIANS(J82)),IF(K82="Y",VLOOKUP(A82,Leonard2010!D:U,18,FALSE),IF(C82="NA",VLOOKUP(A82,MSSM_AdaptedSources!B:K,10,FALSE),"CHECK")))</f>
        <v>5320.3244115058033</v>
      </c>
      <c r="V82">
        <f>(1*VLOOKUP(A82,FaultGeometry!B:C,2,FALSE))-Q82-AA82</f>
        <v>0.375</v>
      </c>
      <c r="W82">
        <f>V82*(VLOOKUP(A82,FaultGeometry!B:Y,24,FALSE))</f>
        <v>1.3534250570962722E+16</v>
      </c>
      <c r="X82">
        <f>V82*3.3*10^10*U82*10^6*(1/T82)*VLOOKUP(A82,FaultGeometry!B:O,14,FALSE)*10^-3</f>
        <v>3.056293604208984E+16</v>
      </c>
      <c r="Y82" t="str">
        <f t="shared" si="9"/>
        <v>NA</v>
      </c>
      <c r="Z82" t="str">
        <f>IF(C82="NA","NA",VLOOKUP(C82,MSSM_AdaptedSources!B:K,10,FALSE))</f>
        <v>NA</v>
      </c>
      <c r="AA82" t="str">
        <f>IF(C82="NA","0",VLOOKUP(C82,MultiFaultGeometry!B:C,2,FALSE)*IF(B82="NA",X$278/(X$278+X$276),X$278))</f>
        <v>0</v>
      </c>
      <c r="AB82">
        <f>AA82*IF(C82="NA",0,VLOOKUP(C82,MultiFaultGeometry!B:O,14,FALSE))</f>
        <v>0</v>
      </c>
      <c r="AC82">
        <f>IF(AB82=0,0,AA82*3.3*10^10*Z82*10^6*(1/Y82)*VLOOKUP(C82,MultiFaultGeometry!B:G,5,FALSE)*10^-3)</f>
        <v>0</v>
      </c>
      <c r="AE82" s="68">
        <f t="shared" si="20"/>
        <v>0</v>
      </c>
      <c r="AF82" s="68">
        <f t="shared" si="21"/>
        <v>0</v>
      </c>
      <c r="AG82" s="68"/>
    </row>
    <row r="83" spans="1:33" x14ac:dyDescent="0.2">
      <c r="A83" s="68" t="str">
        <f>Leonard2010!D85</f>
        <v>Chirobwe-Ncheu-2</v>
      </c>
      <c r="B83" s="68" t="str">
        <f>Leonard2010!E85</f>
        <v>Chirobwe-Ncheu Central-2</v>
      </c>
      <c r="C83" s="68" t="str">
        <f>Leonard2010!F85</f>
        <v>NA</v>
      </c>
      <c r="D83">
        <f>IF(B83="NA","NA",VLOOKUP(B83,Leonard2010!E:H,3,FALSE))</f>
        <v>7.7</v>
      </c>
      <c r="E83">
        <f>IF(A83="NA","NA",VLOOKUP(A83,Leonard2010!D:I,6,FALSE))</f>
        <v>121.4</v>
      </c>
      <c r="F83" t="str">
        <f>IF(C83="NA","NA",VLOOKUP(C83,Leonard2010!F:K,6,FALSE))</f>
        <v>NA</v>
      </c>
      <c r="G83">
        <f>IF(B83="NA","NA",VLOOKUP(B83,Leonard2010!E:H,4,FALSE))</f>
        <v>346</v>
      </c>
      <c r="H83">
        <f>IF(A83="NA","NA",VLOOKUP(A83,Leonard2010!D:J,7,FALSE))</f>
        <v>342</v>
      </c>
      <c r="I83" t="str">
        <f>IF(C83="NA","NA",VLOOKUP(C83,Leonard2010!F:L,7,FALSE))</f>
        <v>NA</v>
      </c>
      <c r="J83">
        <f>IF(A83="NA","NA",VLOOKUP(A83,Leonard2010!D:N,11,FALSE))</f>
        <v>53</v>
      </c>
      <c r="K83" t="s">
        <v>211</v>
      </c>
      <c r="L83">
        <f>VLOOKUP(A83,Leonard2010!D:AJ,32,FALSE)</f>
        <v>46</v>
      </c>
      <c r="M83">
        <f>VLOOKUP($A83,Leonard2010!D:AK,33,FALSE)</f>
        <v>73</v>
      </c>
      <c r="N83">
        <f>VLOOKUP($A83,Leonard2010!D:AL,34,FALSE)</f>
        <v>100</v>
      </c>
      <c r="O83">
        <f t="shared" si="15"/>
        <v>0.91354545764260087</v>
      </c>
      <c r="P83">
        <f t="shared" si="23"/>
        <v>337.4505598731028</v>
      </c>
      <c r="Q83">
        <f>IF(B83="NA","0",VLOOKUP(B83,SectionGeometry!C:E,3,FALSE)*IF(C83="NA",X$277/(X$277+X$276),X$277))</f>
        <v>0.125</v>
      </c>
      <c r="R83">
        <f>Q83*IF(B83="NA",0,((VLOOKUP(B83,SectionGeometry!C:Z,24,FALSE))))</f>
        <v>42945644600081.453</v>
      </c>
      <c r="S83">
        <f>IF(R83=0,0,Q83*3.3*10^10*P83*10^6*(1/O83)*VLOOKUP(B83,SectionGeometry!C:AA,25,FALSE)*10^-3)</f>
        <v>636382376505617.88</v>
      </c>
      <c r="T83">
        <f t="shared" si="19"/>
        <v>0.89879404629916704</v>
      </c>
      <c r="U83">
        <f>IF(K83="N",E83*35/SIN(RADIANS(J83)),IF(K83="Y",VLOOKUP(A83,Leonard2010!D:U,18,FALSE),IF(C83="NA",VLOOKUP(A83,MSSM_AdaptedSources!B:K,10,FALSE),"CHECK")))</f>
        <v>5320.3244115058033</v>
      </c>
      <c r="V83">
        <f>(1*VLOOKUP(A83,FaultGeometry!B:C,2,FALSE))-Q83-AA83</f>
        <v>0.375</v>
      </c>
      <c r="W83">
        <f>V83*(VLOOKUP(A83,FaultGeometry!B:Y,24,FALSE))</f>
        <v>1.3534250570962722E+16</v>
      </c>
      <c r="X83">
        <f>V83*3.3*10^10*U83*10^6*(1/T83)*VLOOKUP(A83,FaultGeometry!B:O,14,FALSE)*10^-3</f>
        <v>3.056293604208984E+16</v>
      </c>
      <c r="Y83" t="str">
        <f t="shared" si="9"/>
        <v>NA</v>
      </c>
      <c r="Z83" t="str">
        <f>IF(C83="NA","NA",VLOOKUP(C83,MSSM_AdaptedSources!B:K,10,FALSE))</f>
        <v>NA</v>
      </c>
      <c r="AA83" t="str">
        <f>IF(C83="NA","0",VLOOKUP(C83,MultiFaultGeometry!B:C,2,FALSE)*IF(B83="NA",X$278/(X$278+X$276),X$278))</f>
        <v>0</v>
      </c>
      <c r="AB83">
        <f>AA83*IF(C83="NA",0,VLOOKUP(C83,MultiFaultGeometry!B:O,14,FALSE))</f>
        <v>0</v>
      </c>
      <c r="AC83">
        <f>IF(AB83=0,0,AA83*3.3*10^10*Z83*10^6*(1/Y83)*VLOOKUP(C83,MultiFaultGeometry!B:G,5,FALSE)*10^-3)</f>
        <v>0</v>
      </c>
      <c r="AE83" s="68">
        <f t="shared" si="20"/>
        <v>0</v>
      </c>
      <c r="AF83" s="68">
        <f t="shared" si="21"/>
        <v>0</v>
      </c>
      <c r="AG83" s="68"/>
    </row>
    <row r="84" spans="1:33" x14ac:dyDescent="0.2">
      <c r="A84" s="68" t="str">
        <f>Leonard2010!D86</f>
        <v>Chirobwe-Ncheu-2</v>
      </c>
      <c r="B84" s="68" t="str">
        <f>Leonard2010!E86</f>
        <v>Dzonze North</v>
      </c>
      <c r="C84" s="68" t="str">
        <f>Leonard2010!F86</f>
        <v>NA</v>
      </c>
      <c r="D84">
        <f>IF(B84="NA","NA",VLOOKUP(B84,Leonard2010!E:H,3,FALSE))</f>
        <v>24.1</v>
      </c>
      <c r="E84">
        <f>IF(A84="NA","NA",VLOOKUP(A84,Leonard2010!D:I,6,FALSE))</f>
        <v>121.4</v>
      </c>
      <c r="F84" t="str">
        <f>IF(C84="NA","NA",VLOOKUP(C84,Leonard2010!F:K,6,FALSE))</f>
        <v>NA</v>
      </c>
      <c r="G84">
        <f>IF(B84="NA","NA",VLOOKUP(B84,Leonard2010!E:H,4,FALSE))</f>
        <v>338</v>
      </c>
      <c r="H84">
        <f>IF(A84="NA","NA",VLOOKUP(A84,Leonard2010!D:J,7,FALSE))</f>
        <v>342</v>
      </c>
      <c r="I84" t="str">
        <f>IF(C84="NA","NA",VLOOKUP(C84,Leonard2010!F:L,7,FALSE))</f>
        <v>NA</v>
      </c>
      <c r="J84">
        <f>IF(A84="NA","NA",VLOOKUP(A84,Leonard2010!D:N,11,FALSE))</f>
        <v>53</v>
      </c>
      <c r="K84" t="s">
        <v>211</v>
      </c>
      <c r="L84">
        <f>VLOOKUP(A84,Leonard2010!D:AJ,32,FALSE)</f>
        <v>46</v>
      </c>
      <c r="M84">
        <f>VLOOKUP($A84,Leonard2010!D:AK,33,FALSE)</f>
        <v>73</v>
      </c>
      <c r="N84">
        <f>VLOOKUP($A84,Leonard2010!D:AL,34,FALSE)</f>
        <v>100</v>
      </c>
      <c r="O84">
        <f t="shared" si="15"/>
        <v>0.92718385456678742</v>
      </c>
      <c r="P84">
        <f t="shared" si="23"/>
        <v>1056.1764276547765</v>
      </c>
      <c r="Q84">
        <f>IF(B84="NA","0",VLOOKUP(B84,SectionGeometry!C:E,3,FALSE)*IF(C84="NA",X$277/(X$277+X$276),X$277))</f>
        <v>0.125</v>
      </c>
      <c r="R84">
        <f>Q84*IF(B84="NA",0,((VLOOKUP(B84,SectionGeometry!C:Z,24,FALSE))))</f>
        <v>287351839129133.75</v>
      </c>
      <c r="S84">
        <f>IF(R84=0,0,Q84*3.3*10^10*P84*10^6*(1/O84)*VLOOKUP(B84,SectionGeometry!C:AA,25,FALSE)*10^-3)</f>
        <v>1962532105721477.8</v>
      </c>
      <c r="T84">
        <f t="shared" si="19"/>
        <v>0.89879404629916704</v>
      </c>
      <c r="U84">
        <f>IF(K84="N",E84*35/SIN(RADIANS(J84)),IF(K84="Y",VLOOKUP(A84,Leonard2010!D:U,18,FALSE),IF(C84="NA",VLOOKUP(A84,MSSM_AdaptedSources!B:K,10,FALSE),"CHECK")))</f>
        <v>5320.3244115058033</v>
      </c>
      <c r="V84">
        <f>(1*VLOOKUP(A84,FaultGeometry!B:C,2,FALSE))-Q84-AA84</f>
        <v>0.375</v>
      </c>
      <c r="W84">
        <f>V84*(VLOOKUP(A84,FaultGeometry!B:Y,24,FALSE))</f>
        <v>1.3534250570962722E+16</v>
      </c>
      <c r="X84">
        <f>V84*3.3*10^10*U84*10^6*(1/T84)*VLOOKUP(A84,FaultGeometry!B:O,14,FALSE)*10^-3</f>
        <v>3.056293604208984E+16</v>
      </c>
      <c r="Y84" t="str">
        <f t="shared" ref="Y84:Y151" si="24">IF($C84="NA","NA",MEDIAN(ABS(COS(RADIANS($L84-$I84-90))),ABS(COS(RADIANS($M84-$I84-90))),ABS(COS(RADIANS($N84-$I84-90)))))</f>
        <v>NA</v>
      </c>
      <c r="Z84" t="str">
        <f>IF(C84="NA","NA",VLOOKUP(C84,MSSM_AdaptedSources!B:K,10,FALSE))</f>
        <v>NA</v>
      </c>
      <c r="AA84" t="str">
        <f>IF(C84="NA","0",VLOOKUP(C84,MultiFaultGeometry!B:C,2,FALSE)*IF(B84="NA",X$278/(X$278+X$276),X$278))</f>
        <v>0</v>
      </c>
      <c r="AB84">
        <f>AA84*IF(C84="NA",0,VLOOKUP(C84,MultiFaultGeometry!B:O,14,FALSE))</f>
        <v>0</v>
      </c>
      <c r="AC84">
        <f>IF(AB84=0,0,AA84*3.3*10^10*Z84*10^6*(1/Y84)*VLOOKUP(C84,MultiFaultGeometry!B:G,5,FALSE)*10^-3)</f>
        <v>0</v>
      </c>
      <c r="AE84" s="68">
        <f t="shared" si="20"/>
        <v>0</v>
      </c>
      <c r="AF84" s="68">
        <f t="shared" si="21"/>
        <v>0</v>
      </c>
      <c r="AG84" s="68"/>
    </row>
    <row r="85" spans="1:33" x14ac:dyDescent="0.2">
      <c r="A85" s="68" t="str">
        <f>Leonard2010!D87</f>
        <v>Chirobwe-Ncheu-2</v>
      </c>
      <c r="B85" s="68" t="str">
        <f>Leonard2010!E87</f>
        <v>Dzonze Link</v>
      </c>
      <c r="C85" s="68" t="str">
        <f>Leonard2010!F87</f>
        <v>NA</v>
      </c>
      <c r="D85">
        <f>IF(B85="NA","NA",VLOOKUP(B85,Leonard2010!E:H,3,FALSE))</f>
        <v>2.2999999999999998</v>
      </c>
      <c r="E85">
        <f>IF(A85="NA","NA",VLOOKUP(A85,Leonard2010!D:I,6,FALSE))</f>
        <v>121.4</v>
      </c>
      <c r="F85" t="str">
        <f>IF(C85="NA","NA",VLOOKUP(C85,Leonard2010!F:K,6,FALSE))</f>
        <v>NA</v>
      </c>
      <c r="G85">
        <f>IF(B85="NA","NA",VLOOKUP(B85,Leonard2010!E:H,4,FALSE))</f>
        <v>22</v>
      </c>
      <c r="H85">
        <f>IF(A85="NA","NA",VLOOKUP(A85,Leonard2010!D:J,7,FALSE))</f>
        <v>342</v>
      </c>
      <c r="I85" t="str">
        <f>IF(C85="NA","NA",VLOOKUP(C85,Leonard2010!F:L,7,FALSE))</f>
        <v>NA</v>
      </c>
      <c r="J85">
        <f>IF(A85="NA","NA",VLOOKUP(A85,Leonard2010!D:N,11,FALSE))</f>
        <v>53</v>
      </c>
      <c r="K85" t="s">
        <v>211</v>
      </c>
      <c r="L85">
        <f>VLOOKUP(A85,Leonard2010!D:AJ,32,FALSE)</f>
        <v>46</v>
      </c>
      <c r="M85">
        <f>VLOOKUP($A85,Leonard2010!D:AK,33,FALSE)</f>
        <v>73</v>
      </c>
      <c r="N85">
        <f>VLOOKUP($A85,Leonard2010!D:AL,34,FALSE)</f>
        <v>100</v>
      </c>
      <c r="O85">
        <f t="shared" si="15"/>
        <v>0.7771459614569709</v>
      </c>
      <c r="P85">
        <f t="shared" si="23"/>
        <v>100.79692048157617</v>
      </c>
      <c r="Q85">
        <f>IF(B85="NA","0",VLOOKUP(B85,SectionGeometry!C:E,3,FALSE)*IF(C85="NA",X$277/(X$277+X$276),X$277))</f>
        <v>0.125</v>
      </c>
      <c r="R85">
        <f>Q85*IF(B85="NA",0,((VLOOKUP(B85,SectionGeometry!C:Z,24,FALSE))))</f>
        <v>0</v>
      </c>
      <c r="S85">
        <f>IF(R85=0,0,Q85*3.3*10^10*P85*10^6*(1/O85)*VLOOKUP(B85,SectionGeometry!C:AA,25,FALSE)*10^-3)</f>
        <v>0</v>
      </c>
      <c r="T85">
        <f t="shared" si="19"/>
        <v>0.89879404629916704</v>
      </c>
      <c r="U85">
        <f>IF(K85="N",E85*35/SIN(RADIANS(J85)),IF(K85="Y",VLOOKUP(A85,Leonard2010!D:U,18,FALSE),IF(C85="NA",VLOOKUP(A85,MSSM_AdaptedSources!B:K,10,FALSE),"CHECK")))</f>
        <v>5320.3244115058033</v>
      </c>
      <c r="V85">
        <f>(1*VLOOKUP(A85,FaultGeometry!B:C,2,FALSE))-Q85-AA85</f>
        <v>0.375</v>
      </c>
      <c r="W85">
        <f>V85*(VLOOKUP(A85,FaultGeometry!B:Y,24,FALSE))</f>
        <v>1.3534250570962722E+16</v>
      </c>
      <c r="X85">
        <f>V85*3.3*10^10*U85*10^6*(1/T85)*VLOOKUP(A85,FaultGeometry!B:O,14,FALSE)*10^-3</f>
        <v>3.056293604208984E+16</v>
      </c>
      <c r="Y85" t="str">
        <f t="shared" si="24"/>
        <v>NA</v>
      </c>
      <c r="Z85" t="str">
        <f>IF(C85="NA","NA",VLOOKUP(C85,MSSM_AdaptedSources!B:K,10,FALSE))</f>
        <v>NA</v>
      </c>
      <c r="AA85" t="str">
        <f>IF(C85="NA","0",VLOOKUP(C85,MultiFaultGeometry!B:C,2,FALSE)*IF(B85="NA",X$278/(X$278+X$276),X$278))</f>
        <v>0</v>
      </c>
      <c r="AB85">
        <f>AA85*IF(C85="NA",0,VLOOKUP(C85,MultiFaultGeometry!B:O,14,FALSE))</f>
        <v>0</v>
      </c>
      <c r="AC85">
        <f>IF(AB85=0,0,AA85*3.3*10^10*Z85*10^6*(1/Y85)*VLOOKUP(C85,MultiFaultGeometry!B:G,5,FALSE)*10^-3)</f>
        <v>0</v>
      </c>
      <c r="AE85" s="68">
        <f t="shared" si="20"/>
        <v>0</v>
      </c>
      <c r="AF85" s="68">
        <f t="shared" si="21"/>
        <v>0</v>
      </c>
      <c r="AG85" s="68"/>
    </row>
    <row r="86" spans="1:33" x14ac:dyDescent="0.2">
      <c r="A86" s="68" t="str">
        <f>Leonard2010!D88</f>
        <v>Chirobwe-Ncheu-2</v>
      </c>
      <c r="B86" s="68" t="str">
        <f>Leonard2010!E88</f>
        <v>Dzonze South</v>
      </c>
      <c r="C86" s="68" t="str">
        <f>Leonard2010!F88</f>
        <v>NA</v>
      </c>
      <c r="D86">
        <f>IF(B86="NA","NA",VLOOKUP(B86,Leonard2010!E:H,3,FALSE))</f>
        <v>16.2</v>
      </c>
      <c r="E86">
        <f>IF(A86="NA","NA",VLOOKUP(A86,Leonard2010!D:I,6,FALSE))</f>
        <v>121.4</v>
      </c>
      <c r="F86" t="str">
        <f>IF(C86="NA","NA",VLOOKUP(C86,Leonard2010!F:K,6,FALSE))</f>
        <v>NA</v>
      </c>
      <c r="G86">
        <f>IF(B86="NA","NA",VLOOKUP(B86,Leonard2010!E:H,4,FALSE))</f>
        <v>317</v>
      </c>
      <c r="H86">
        <f>IF(A86="NA","NA",VLOOKUP(A86,Leonard2010!D:J,7,FALSE))</f>
        <v>342</v>
      </c>
      <c r="I86" t="str">
        <f>IF(C86="NA","NA",VLOOKUP(C86,Leonard2010!F:L,7,FALSE))</f>
        <v>NA</v>
      </c>
      <c r="J86">
        <f>IF(A86="NA","NA",VLOOKUP(A86,Leonard2010!D:N,11,FALSE))</f>
        <v>53</v>
      </c>
      <c r="K86" t="s">
        <v>211</v>
      </c>
      <c r="L86">
        <f>VLOOKUP(A86,Leonard2010!D:AJ,32,FALSE)</f>
        <v>46</v>
      </c>
      <c r="M86">
        <f>VLOOKUP($A86,Leonard2010!D:AK,33,FALSE)</f>
        <v>73</v>
      </c>
      <c r="N86">
        <f>VLOOKUP($A86,Leonard2010!D:AL,34,FALSE)</f>
        <v>100</v>
      </c>
      <c r="O86">
        <f t="shared" si="15"/>
        <v>0.89879404629916682</v>
      </c>
      <c r="P86">
        <f t="shared" si="23"/>
        <v>709.96091817457989</v>
      </c>
      <c r="Q86">
        <f>IF(B86="NA","0",VLOOKUP(B86,SectionGeometry!C:E,3,FALSE)*IF(C86="NA",X$277/(X$277+X$276),X$277))</f>
        <v>0.125</v>
      </c>
      <c r="R86">
        <f>Q86*IF(B86="NA",0,((VLOOKUP(B86,SectionGeometry!C:Z,24,FALSE))))</f>
        <v>130062313727739.2</v>
      </c>
      <c r="S86">
        <f>IF(R86=0,0,Q86*3.3*10^10*P86*10^6*(1/O86)*VLOOKUP(B86,SectionGeometry!C:AA,25,FALSE)*10^-3)</f>
        <v>1220812801359062</v>
      </c>
      <c r="T86">
        <f t="shared" si="19"/>
        <v>0.89879404629916704</v>
      </c>
      <c r="U86">
        <f>IF(K86="N",E86*35/SIN(RADIANS(J86)),IF(K86="Y",VLOOKUP(A86,Leonard2010!D:U,18,FALSE),IF(C86="NA",VLOOKUP(A86,MSSM_AdaptedSources!B:K,10,FALSE),"CHECK")))</f>
        <v>5320.3244115058033</v>
      </c>
      <c r="V86">
        <f>(1*VLOOKUP(A86,FaultGeometry!B:C,2,FALSE))-Q86-AA86</f>
        <v>0.375</v>
      </c>
      <c r="W86">
        <f>V86*(VLOOKUP(A86,FaultGeometry!B:Y,24,FALSE))</f>
        <v>1.3534250570962722E+16</v>
      </c>
      <c r="X86">
        <f>V86*3.3*10^10*U86*10^6*(1/T86)*VLOOKUP(A86,FaultGeometry!B:O,14,FALSE)*10^-3</f>
        <v>3.056293604208984E+16</v>
      </c>
      <c r="Y86" t="str">
        <f t="shared" si="24"/>
        <v>NA</v>
      </c>
      <c r="Z86" t="str">
        <f>IF(C86="NA","NA",VLOOKUP(C86,MSSM_AdaptedSources!B:K,10,FALSE))</f>
        <v>NA</v>
      </c>
      <c r="AA86" t="str">
        <f>IF(C86="NA","0",VLOOKUP(C86,MultiFaultGeometry!B:C,2,FALSE)*IF(B86="NA",X$278/(X$278+X$276),X$278))</f>
        <v>0</v>
      </c>
      <c r="AB86">
        <f>AA86*IF(C86="NA",0,VLOOKUP(C86,MultiFaultGeometry!B:O,14,FALSE))</f>
        <v>0</v>
      </c>
      <c r="AC86">
        <f>IF(AB86=0,0,AA86*3.3*10^10*Z86*10^6*(1/Y86)*VLOOKUP(C86,MultiFaultGeometry!B:G,5,FALSE)*10^-3)</f>
        <v>0</v>
      </c>
      <c r="AE86" s="68">
        <f t="shared" si="20"/>
        <v>1.3534250570962722E+16</v>
      </c>
      <c r="AF86" s="68">
        <f t="shared" si="21"/>
        <v>3.056293604208984E+16</v>
      </c>
      <c r="AG86" s="68"/>
    </row>
    <row r="87" spans="1:33" x14ac:dyDescent="0.2">
      <c r="A87" s="68" t="str">
        <f>Leonard2010!D89</f>
        <v>Bilila-Mtakataka-1</v>
      </c>
      <c r="B87" s="68" t="str">
        <f>Leonard2010!E89</f>
        <v>Bilila-1</v>
      </c>
      <c r="C87" s="68" t="str">
        <f>Leonard2010!F89</f>
        <v>NA</v>
      </c>
      <c r="D87">
        <f>IF(B87="NA","NA",VLOOKUP(B87,Leonard2010!E:H,3,FALSE))</f>
        <v>29.2</v>
      </c>
      <c r="E87">
        <f>IF(A87="NA","NA",VLOOKUP(A87,Leonard2010!D:I,6,FALSE))</f>
        <v>135.79999999999998</v>
      </c>
      <c r="F87" t="str">
        <f>IF(C87="NA","NA",VLOOKUP(C87,Leonard2010!F:K,6,FALSE))</f>
        <v>NA</v>
      </c>
      <c r="G87">
        <f>IF(B87="NA","NA",VLOOKUP(B87,Leonard2010!E:H,4,FALSE))</f>
        <v>325</v>
      </c>
      <c r="H87">
        <f>IF(A87="NA","NA",VLOOKUP(A87,Leonard2010!D:J,7,FALSE))</f>
        <v>329</v>
      </c>
      <c r="I87" t="str">
        <f>IF(C87="NA","NA",VLOOKUP(C87,Leonard2010!F:L,7,FALSE))</f>
        <v>NA</v>
      </c>
      <c r="J87">
        <f>IF(A87="NA","NA",VLOOKUP(A87,Leonard2010!D:N,11,FALSE))</f>
        <v>42</v>
      </c>
      <c r="K87" t="s">
        <v>308</v>
      </c>
      <c r="L87">
        <f>VLOOKUP(A87,Leonard2010!D:AJ,32,FALSE)</f>
        <v>46</v>
      </c>
      <c r="M87">
        <f>VLOOKUP($A87,Leonard2010!D:AK,33,FALSE)</f>
        <v>73</v>
      </c>
      <c r="N87">
        <f>VLOOKUP($A87,Leonard2010!D:AL,34,FALSE)</f>
        <v>100</v>
      </c>
      <c r="O87">
        <f t="shared" si="15"/>
        <v>0.95105651629515353</v>
      </c>
      <c r="P87">
        <f>D87*(5140/E87)</f>
        <v>1105.2135493372609</v>
      </c>
      <c r="Q87">
        <f>IF(B87="NA","0",VLOOKUP(B87,SectionGeometry!C:E,3,FALSE)*IF(C87="NA",X$277/(X$277+X$276),X$277))</f>
        <v>0.125</v>
      </c>
      <c r="R87">
        <f>Q87*IF(B87="NA",0,((VLOOKUP(B87,SectionGeometry!C:Z,24,FALSE))))</f>
        <v>30230307206595.383</v>
      </c>
      <c r="S87">
        <f>IF(R87=0,0,Q87*3.3*10^10*P87*10^6*(1/O87)*VLOOKUP(B87,SectionGeometry!C:AA,25,FALSE)*10^-3)</f>
        <v>154862303986421.5</v>
      </c>
      <c r="T87">
        <f t="shared" si="19"/>
        <v>0.97029572627599647</v>
      </c>
      <c r="U87">
        <f>IF(K87="N",E87*35/SIN(RADIANS(J87)),IF(K87="Y",VLOOKUP(A87,Leonard2010!D:U,18,FALSE),IF(C87="NA",VLOOKUP(A87,MSSM_AdaptedSources!B:K,10,FALSE),"CHECK")))</f>
        <v>5140</v>
      </c>
      <c r="V87">
        <f>(1*VLOOKUP(A87,FaultGeometry!B:C,2,FALSE))-Q87-AA87</f>
        <v>0.375</v>
      </c>
      <c r="W87">
        <f>V87*(VLOOKUP(A87,FaultGeometry!B:Y,24,FALSE))</f>
        <v>1043304936823455</v>
      </c>
      <c r="X87">
        <f>V87*3.3*10^10*U87*10^6*(1/T87)*VLOOKUP(A87,FaultGeometry!B:O,14,FALSE)*10^-3</f>
        <v>2167762703550570.8</v>
      </c>
      <c r="Y87" t="str">
        <f t="shared" si="24"/>
        <v>NA</v>
      </c>
      <c r="Z87" t="str">
        <f>IF(C87="NA","NA",VLOOKUP(C87,MSSM_AdaptedSources!B:K,10,FALSE))</f>
        <v>NA</v>
      </c>
      <c r="AA87" t="str">
        <f>IF(C87="NA","0",VLOOKUP(C87,MultiFaultGeometry!B:C,2,FALSE)*IF(B87="NA",X$278/(X$278+X$276),X$278))</f>
        <v>0</v>
      </c>
      <c r="AB87">
        <f>AA87*IF(C87="NA",0,VLOOKUP(C87,MultiFaultGeometry!B:O,14,FALSE))</f>
        <v>0</v>
      </c>
      <c r="AC87">
        <f>IF(AB87=0,0,AA87*3.3*10^10*Z87*10^6*(1/Y87)*VLOOKUP(C87,MultiFaultGeometry!B:G,5,FALSE)*10^-3)</f>
        <v>0</v>
      </c>
      <c r="AE87" s="68">
        <f t="shared" si="20"/>
        <v>0</v>
      </c>
      <c r="AF87" s="68">
        <f t="shared" si="21"/>
        <v>0</v>
      </c>
      <c r="AG87" s="68"/>
    </row>
    <row r="88" spans="1:33" x14ac:dyDescent="0.2">
      <c r="A88" s="68" t="str">
        <f>Leonard2010!D90</f>
        <v>Bilila-Mtakataka-1</v>
      </c>
      <c r="B88" s="68" t="str">
        <f>Leonard2010!E90</f>
        <v>Mtakataka-1</v>
      </c>
      <c r="C88" s="68" t="str">
        <f>Leonard2010!F90</f>
        <v>NA</v>
      </c>
      <c r="D88">
        <f>IF(B88="NA","NA",VLOOKUP(B88,Leonard2010!E:H,3,FALSE))</f>
        <v>11.7</v>
      </c>
      <c r="E88">
        <f>IF(A88="NA","NA",VLOOKUP(A88,Leonard2010!D:I,6,FALSE))</f>
        <v>135.79999999999998</v>
      </c>
      <c r="F88" t="str">
        <f>IF(C88="NA","NA",VLOOKUP(C88,Leonard2010!F:K,6,FALSE))</f>
        <v>NA</v>
      </c>
      <c r="G88">
        <f>IF(B88="NA","NA",VLOOKUP(B88,Leonard2010!E:H,4,FALSE))</f>
        <v>7</v>
      </c>
      <c r="H88">
        <f>IF(A88="NA","NA",VLOOKUP(A88,Leonard2010!D:J,7,FALSE))</f>
        <v>329</v>
      </c>
      <c r="I88" t="str">
        <f>IF(C88="NA","NA",VLOOKUP(C88,Leonard2010!F:L,7,FALSE))</f>
        <v>NA</v>
      </c>
      <c r="J88">
        <f>IF(A88="NA","NA",VLOOKUP(A88,Leonard2010!D:N,11,FALSE))</f>
        <v>42</v>
      </c>
      <c r="K88" t="s">
        <v>308</v>
      </c>
      <c r="L88">
        <f>VLOOKUP(A88,Leonard2010!D:AJ,32,FALSE)</f>
        <v>46</v>
      </c>
      <c r="M88">
        <f>VLOOKUP($A88,Leonard2010!D:AK,33,FALSE)</f>
        <v>73</v>
      </c>
      <c r="N88">
        <f>VLOOKUP($A88,Leonard2010!D:AL,34,FALSE)</f>
        <v>100</v>
      </c>
      <c r="O88">
        <f t="shared" si="15"/>
        <v>0.91354545764260087</v>
      </c>
      <c r="P88">
        <f t="shared" ref="P88:P94" si="25">D88*(5140/E88)</f>
        <v>442.84241531664219</v>
      </c>
      <c r="Q88">
        <f>IF(B88="NA","0",VLOOKUP(B88,SectionGeometry!C:E,3,FALSE)*IF(C88="NA",X$277/(X$277+X$276),X$277))</f>
        <v>0.125</v>
      </c>
      <c r="R88">
        <f>Q88*IF(B88="NA",0,((VLOOKUP(B88,SectionGeometry!C:Z,24,FALSE))))</f>
        <v>6352640087391.0449</v>
      </c>
      <c r="S88">
        <f>IF(R88=0,0,Q88*3.3*10^10*P88*10^6*(1/O88)*VLOOKUP(B88,SectionGeometry!C:AA,25,FALSE)*10^-3)</f>
        <v>62060728561913.414</v>
      </c>
      <c r="T88">
        <f t="shared" si="19"/>
        <v>0.97029572627599647</v>
      </c>
      <c r="U88">
        <f>IF(K88="N",E88*35/SIN(RADIANS(J88)),IF(K88="Y",VLOOKUP(A88,Leonard2010!D:U,18,FALSE),IF(C88="NA",VLOOKUP(A88,MSSM_AdaptedSources!B:K,10,FALSE),"CHECK")))</f>
        <v>5140</v>
      </c>
      <c r="V88">
        <f>(1*VLOOKUP(A88,FaultGeometry!B:C,2,FALSE))-Q88-AA88</f>
        <v>0.375</v>
      </c>
      <c r="W88">
        <f>V88*(VLOOKUP(A88,FaultGeometry!B:Y,24,FALSE))</f>
        <v>1043304936823455</v>
      </c>
      <c r="X88">
        <f>V88*3.3*10^10*U88*10^6*(1/T88)*VLOOKUP(A88,FaultGeometry!B:O,14,FALSE)*10^-3</f>
        <v>2167762703550570.8</v>
      </c>
      <c r="Y88" t="str">
        <f t="shared" si="24"/>
        <v>NA</v>
      </c>
      <c r="Z88" t="str">
        <f>IF(C88="NA","NA",VLOOKUP(C88,MSSM_AdaptedSources!B:K,10,FALSE))</f>
        <v>NA</v>
      </c>
      <c r="AA88" t="str">
        <f>IF(C88="NA","0",VLOOKUP(C88,MultiFaultGeometry!B:C,2,FALSE)*IF(B88="NA",X$278/(X$278+X$276),X$278))</f>
        <v>0</v>
      </c>
      <c r="AB88">
        <f>AA88*IF(C88="NA",0,VLOOKUP(C88,MultiFaultGeometry!B:O,14,FALSE))</f>
        <v>0</v>
      </c>
      <c r="AC88">
        <f>IF(AB88=0,0,AA88*3.3*10^10*Z88*10^6*(1/Y88)*VLOOKUP(C88,MultiFaultGeometry!B:G,5,FALSE)*10^-3)</f>
        <v>0</v>
      </c>
      <c r="AE88" s="68">
        <f t="shared" si="20"/>
        <v>0</v>
      </c>
      <c r="AF88" s="68">
        <f t="shared" si="21"/>
        <v>0</v>
      </c>
      <c r="AG88" s="68"/>
    </row>
    <row r="89" spans="1:33" x14ac:dyDescent="0.2">
      <c r="A89" s="68" t="str">
        <f>Leonard2010!D91</f>
        <v>Bilila-Mtakataka-1</v>
      </c>
      <c r="B89" s="68" t="str">
        <f>Leonard2010!E91</f>
        <v>Citsulo-1</v>
      </c>
      <c r="C89" s="68" t="str">
        <f>Leonard2010!F91</f>
        <v>NA</v>
      </c>
      <c r="D89">
        <f>IF(B89="NA","NA",VLOOKUP(B89,Leonard2010!E:H,3,FALSE))</f>
        <v>19.399999999999999</v>
      </c>
      <c r="E89">
        <f>IF(A89="NA","NA",VLOOKUP(A89,Leonard2010!D:I,6,FALSE))</f>
        <v>135.79999999999998</v>
      </c>
      <c r="F89" t="str">
        <f>IF(C89="NA","NA",VLOOKUP(C89,Leonard2010!F:K,6,FALSE))</f>
        <v>NA</v>
      </c>
      <c r="G89">
        <f>IF(B89="NA","NA",VLOOKUP(B89,Leonard2010!E:H,4,FALSE))</f>
        <v>318</v>
      </c>
      <c r="H89">
        <f>IF(A89="NA","NA",VLOOKUP(A89,Leonard2010!D:J,7,FALSE))</f>
        <v>329</v>
      </c>
      <c r="I89" t="str">
        <f>IF(C89="NA","NA",VLOOKUP(C89,Leonard2010!F:L,7,FALSE))</f>
        <v>NA</v>
      </c>
      <c r="J89">
        <f>IF(A89="NA","NA",VLOOKUP(A89,Leonard2010!D:N,11,FALSE))</f>
        <v>42</v>
      </c>
      <c r="K89" t="s">
        <v>308</v>
      </c>
      <c r="L89">
        <f>VLOOKUP(A89,Leonard2010!D:AJ,32,FALSE)</f>
        <v>46</v>
      </c>
      <c r="M89">
        <f>VLOOKUP($A89,Leonard2010!D:AK,33,FALSE)</f>
        <v>73</v>
      </c>
      <c r="N89">
        <f>VLOOKUP($A89,Leonard2010!D:AL,34,FALSE)</f>
        <v>100</v>
      </c>
      <c r="O89">
        <f t="shared" si="15"/>
        <v>0.90630778703665005</v>
      </c>
      <c r="P89">
        <f t="shared" si="25"/>
        <v>734.28571428571433</v>
      </c>
      <c r="Q89">
        <f>IF(B89="NA","0",VLOOKUP(B89,SectionGeometry!C:E,3,FALSE)*IF(C89="NA",X$277/(X$277+X$276),X$277))</f>
        <v>0.125</v>
      </c>
      <c r="R89">
        <f>Q89*IF(B89="NA",0,((VLOOKUP(B89,SectionGeometry!C:Z,24,FALSE))))</f>
        <v>14818487700683.984</v>
      </c>
      <c r="S89">
        <f>IF(R89=0,0,Q89*3.3*10^10*P89*10^6*(1/O89)*VLOOKUP(B89,SectionGeometry!C:AA,25,FALSE)*10^-3)</f>
        <v>103122589956989.17</v>
      </c>
      <c r="T89">
        <f t="shared" si="19"/>
        <v>0.97029572627599647</v>
      </c>
      <c r="U89">
        <f>IF(K89="N",E89*35/SIN(RADIANS(J89)),IF(K89="Y",VLOOKUP(A89,Leonard2010!D:U,18,FALSE),IF(C89="NA",VLOOKUP(A89,MSSM_AdaptedSources!B:K,10,FALSE),"CHECK")))</f>
        <v>5140</v>
      </c>
      <c r="V89">
        <f>(1*VLOOKUP(A89,FaultGeometry!B:C,2,FALSE))-Q89-AA89</f>
        <v>0.375</v>
      </c>
      <c r="W89">
        <f>V89*(VLOOKUP(A89,FaultGeometry!B:Y,24,FALSE))</f>
        <v>1043304936823455</v>
      </c>
      <c r="X89">
        <f>V89*3.3*10^10*U89*10^6*(1/T89)*VLOOKUP(A89,FaultGeometry!B:O,14,FALSE)*10^-3</f>
        <v>2167762703550570.8</v>
      </c>
      <c r="Y89" t="str">
        <f t="shared" si="24"/>
        <v>NA</v>
      </c>
      <c r="Z89" t="str">
        <f>IF(C89="NA","NA",VLOOKUP(C89,MSSM_AdaptedSources!B:K,10,FALSE))</f>
        <v>NA</v>
      </c>
      <c r="AA89" t="str">
        <f>IF(C89="NA","0",VLOOKUP(C89,MultiFaultGeometry!B:C,2,FALSE)*IF(B89="NA",X$278/(X$278+X$276),X$278))</f>
        <v>0</v>
      </c>
      <c r="AB89">
        <f>AA89*IF(C89="NA",0,VLOOKUP(C89,MultiFaultGeometry!B:O,14,FALSE))</f>
        <v>0</v>
      </c>
      <c r="AC89">
        <f>IF(AB89=0,0,AA89*3.3*10^10*Z89*10^6*(1/Y89)*VLOOKUP(C89,MultiFaultGeometry!B:G,5,FALSE)*10^-3)</f>
        <v>0</v>
      </c>
      <c r="AE89" s="68">
        <f t="shared" si="20"/>
        <v>0</v>
      </c>
      <c r="AF89" s="68">
        <f t="shared" si="21"/>
        <v>0</v>
      </c>
      <c r="AG89" s="68"/>
    </row>
    <row r="90" spans="1:33" x14ac:dyDescent="0.2">
      <c r="A90" s="68" t="str">
        <f>Leonard2010!D92</f>
        <v>Bilila-Mtakataka-1</v>
      </c>
      <c r="B90" s="68" t="str">
        <f>Leonard2010!E92</f>
        <v>Kasinje-1</v>
      </c>
      <c r="C90" s="68" t="str">
        <f>Leonard2010!F92</f>
        <v>NA</v>
      </c>
      <c r="D90">
        <f>IF(B90="NA","NA",VLOOKUP(B90,Leonard2010!E:H,3,FALSE))</f>
        <v>18.399999999999999</v>
      </c>
      <c r="E90">
        <f>IF(A90="NA","NA",VLOOKUP(A90,Leonard2010!D:I,6,FALSE))</f>
        <v>135.79999999999998</v>
      </c>
      <c r="F90" t="str">
        <f>IF(C90="NA","NA",VLOOKUP(C90,Leonard2010!F:K,6,FALSE))</f>
        <v>NA</v>
      </c>
      <c r="G90">
        <f>IF(B90="NA","NA",VLOOKUP(B90,Leonard2010!E:H,4,FALSE))</f>
        <v>330</v>
      </c>
      <c r="H90">
        <f>IF(A90="NA","NA",VLOOKUP(A90,Leonard2010!D:J,7,FALSE))</f>
        <v>329</v>
      </c>
      <c r="I90" t="str">
        <f>IF(C90="NA","NA",VLOOKUP(C90,Leonard2010!F:L,7,FALSE))</f>
        <v>NA</v>
      </c>
      <c r="J90">
        <f>IF(A90="NA","NA",VLOOKUP(A90,Leonard2010!D:N,11,FALSE))</f>
        <v>42</v>
      </c>
      <c r="K90" t="s">
        <v>308</v>
      </c>
      <c r="L90">
        <f>VLOOKUP(A90,Leonard2010!D:AJ,32,FALSE)</f>
        <v>46</v>
      </c>
      <c r="M90">
        <f>VLOOKUP($A90,Leonard2010!D:AK,33,FALSE)</f>
        <v>73</v>
      </c>
      <c r="N90">
        <f>VLOOKUP($A90,Leonard2010!D:AL,34,FALSE)</f>
        <v>100</v>
      </c>
      <c r="O90">
        <f t="shared" si="15"/>
        <v>0.97029572627599658</v>
      </c>
      <c r="P90">
        <f t="shared" si="25"/>
        <v>696.43593519882188</v>
      </c>
      <c r="Q90">
        <f>IF(B90="NA","0",VLOOKUP(B90,SectionGeometry!C:E,3,FALSE)*IF(C90="NA",X$277/(X$277+X$276),X$277))</f>
        <v>0.125</v>
      </c>
      <c r="R90">
        <f>Q90*IF(B90="NA",0,((VLOOKUP(B90,SectionGeometry!C:Z,24,FALSE))))</f>
        <v>14491179405514.912</v>
      </c>
      <c r="S90">
        <f>IF(R90=0,0,Q90*3.3*10^10*P90*10^6*(1/O90)*VLOOKUP(B90,SectionGeometry!C:AA,25,FALSE)*10^-3)</f>
        <v>97543779709968.125</v>
      </c>
      <c r="T90">
        <f t="shared" si="19"/>
        <v>0.97029572627599647</v>
      </c>
      <c r="U90">
        <f>IF(K90="N",E90*35/SIN(RADIANS(J90)),IF(K90="Y",VLOOKUP(A90,Leonard2010!D:U,18,FALSE),IF(C90="NA",VLOOKUP(A90,MSSM_AdaptedSources!B:K,10,FALSE),"CHECK")))</f>
        <v>5140</v>
      </c>
      <c r="V90">
        <f>(1*VLOOKUP(A90,FaultGeometry!B:C,2,FALSE))-Q90-AA90</f>
        <v>0.375</v>
      </c>
      <c r="W90">
        <f>V90*(VLOOKUP(A90,FaultGeometry!B:Y,24,FALSE))</f>
        <v>1043304936823455</v>
      </c>
      <c r="X90">
        <f>V90*3.3*10^10*U90*10^6*(1/T90)*VLOOKUP(A90,FaultGeometry!B:O,14,FALSE)*10^-3</f>
        <v>2167762703550570.8</v>
      </c>
      <c r="Y90" t="str">
        <f t="shared" si="24"/>
        <v>NA</v>
      </c>
      <c r="Z90" t="str">
        <f>IF(C90="NA","NA",VLOOKUP(C90,MSSM_AdaptedSources!B:K,10,FALSE))</f>
        <v>NA</v>
      </c>
      <c r="AA90" t="str">
        <f>IF(C90="NA","0",VLOOKUP(C90,MultiFaultGeometry!B:C,2,FALSE)*IF(B90="NA",X$278/(X$278+X$276),X$278))</f>
        <v>0</v>
      </c>
      <c r="AB90">
        <f>AA90*IF(C90="NA",0,VLOOKUP(C90,MultiFaultGeometry!B:O,14,FALSE))</f>
        <v>0</v>
      </c>
      <c r="AC90">
        <f>IF(AB90=0,0,AA90*3.3*10^10*Z90*10^6*(1/Y90)*VLOOKUP(C90,MultiFaultGeometry!B:G,5,FALSE)*10^-3)</f>
        <v>0</v>
      </c>
      <c r="AE90" s="68">
        <f t="shared" si="20"/>
        <v>0</v>
      </c>
      <c r="AF90" s="68">
        <f t="shared" si="21"/>
        <v>0</v>
      </c>
      <c r="AG90" s="68"/>
    </row>
    <row r="91" spans="1:33" x14ac:dyDescent="0.2">
      <c r="A91" s="68" t="str">
        <f>Leonard2010!D93</f>
        <v>Bilila-Mtakataka-1</v>
      </c>
      <c r="B91" s="68" t="str">
        <f>Leonard2010!E93</f>
        <v>Mua-1</v>
      </c>
      <c r="C91" s="68" t="str">
        <f>Leonard2010!F93</f>
        <v>NA</v>
      </c>
      <c r="D91">
        <f>IF(B91="NA","NA",VLOOKUP(B91,Leonard2010!E:H,3,FALSE))</f>
        <v>20.399999999999999</v>
      </c>
      <c r="E91">
        <f>IF(A91="NA","NA",VLOOKUP(A91,Leonard2010!D:I,6,FALSE))</f>
        <v>135.79999999999998</v>
      </c>
      <c r="F91" t="str">
        <f>IF(C91="NA","NA",VLOOKUP(C91,Leonard2010!F:K,6,FALSE))</f>
        <v>NA</v>
      </c>
      <c r="G91">
        <f>IF(B91="NA","NA",VLOOKUP(B91,Leonard2010!E:H,4,FALSE))</f>
        <v>339</v>
      </c>
      <c r="H91">
        <f>IF(A91="NA","NA",VLOOKUP(A91,Leonard2010!D:J,7,FALSE))</f>
        <v>329</v>
      </c>
      <c r="I91" t="str">
        <f>IF(C91="NA","NA",VLOOKUP(C91,Leonard2010!F:L,7,FALSE))</f>
        <v>NA</v>
      </c>
      <c r="J91">
        <f>IF(A91="NA","NA",VLOOKUP(A91,Leonard2010!D:N,11,FALSE))</f>
        <v>42</v>
      </c>
      <c r="K91" t="s">
        <v>308</v>
      </c>
      <c r="L91">
        <f>VLOOKUP(A91,Leonard2010!D:AJ,32,FALSE)</f>
        <v>46</v>
      </c>
      <c r="M91">
        <f>VLOOKUP($A91,Leonard2010!D:AK,33,FALSE)</f>
        <v>73</v>
      </c>
      <c r="N91">
        <f>VLOOKUP($A91,Leonard2010!D:AL,34,FALSE)</f>
        <v>100</v>
      </c>
      <c r="O91">
        <f t="shared" si="15"/>
        <v>0.92050485345244049</v>
      </c>
      <c r="P91">
        <f t="shared" si="25"/>
        <v>772.1354933726069</v>
      </c>
      <c r="Q91">
        <f>IF(B91="NA","0",VLOOKUP(B91,SectionGeometry!C:E,3,FALSE)*IF(C91="NA",X$277/(X$277+X$276),X$277))</f>
        <v>0.125</v>
      </c>
      <c r="R91">
        <f>Q91*IF(B91="NA",0,((VLOOKUP(B91,SectionGeometry!C:Z,24,FALSE))))</f>
        <v>17468018906175.807</v>
      </c>
      <c r="S91">
        <f>IF(R91=0,0,Q91*3.3*10^10*P91*10^6*(1/O91)*VLOOKUP(B91,SectionGeometry!C:AA,25,FALSE)*10^-3)</f>
        <v>116940943439202.95</v>
      </c>
      <c r="T91">
        <f t="shared" si="19"/>
        <v>0.97029572627599647</v>
      </c>
      <c r="U91">
        <f>IF(K91="N",E91*35/SIN(RADIANS(J91)),IF(K91="Y",VLOOKUP(A91,Leonard2010!D:U,18,FALSE),IF(C91="NA",VLOOKUP(A91,MSSM_AdaptedSources!B:K,10,FALSE),"CHECK")))</f>
        <v>5140</v>
      </c>
      <c r="V91">
        <f>(1*VLOOKUP(A91,FaultGeometry!B:C,2,FALSE))-Q91-AA91</f>
        <v>0.375</v>
      </c>
      <c r="W91">
        <f>V91*(VLOOKUP(A91,FaultGeometry!B:Y,24,FALSE))</f>
        <v>1043304936823455</v>
      </c>
      <c r="X91">
        <f>V91*3.3*10^10*U91*10^6*(1/T91)*VLOOKUP(A91,FaultGeometry!B:O,14,FALSE)*10^-3</f>
        <v>2167762703550570.8</v>
      </c>
      <c r="Y91" t="str">
        <f t="shared" si="24"/>
        <v>NA</v>
      </c>
      <c r="Z91" t="str">
        <f>IF(C91="NA","NA",VLOOKUP(C91,MSSM_AdaptedSources!B:K,10,FALSE))</f>
        <v>NA</v>
      </c>
      <c r="AA91" t="str">
        <f>IF(C91="NA","0",VLOOKUP(C91,MultiFaultGeometry!B:C,2,FALSE)*IF(B91="NA",X$278/(X$278+X$276),X$278))</f>
        <v>0</v>
      </c>
      <c r="AB91">
        <f>AA91*IF(C91="NA",0,VLOOKUP(C91,MultiFaultGeometry!B:O,14,FALSE))</f>
        <v>0</v>
      </c>
      <c r="AC91">
        <f>IF(AB91=0,0,AA91*3.3*10^10*Z91*10^6*(1/Y91)*VLOOKUP(C91,MultiFaultGeometry!B:G,5,FALSE)*10^-3)</f>
        <v>0</v>
      </c>
      <c r="AE91" s="68">
        <f t="shared" si="20"/>
        <v>0</v>
      </c>
      <c r="AF91" s="68">
        <f t="shared" si="21"/>
        <v>0</v>
      </c>
      <c r="AG91" s="68"/>
    </row>
    <row r="92" spans="1:33" x14ac:dyDescent="0.2">
      <c r="A92" s="68" t="str">
        <f>Leonard2010!D94</f>
        <v>Bilila-Mtakataka-1</v>
      </c>
      <c r="B92" s="68" t="str">
        <f>Leonard2010!E94</f>
        <v>Ngodzi-1</v>
      </c>
      <c r="C92" s="68" t="str">
        <f>Leonard2010!F94</f>
        <v>NA</v>
      </c>
      <c r="D92">
        <f>IF(B92="NA","NA",VLOOKUP(B92,Leonard2010!E:H,3,FALSE))</f>
        <v>15.7</v>
      </c>
      <c r="E92">
        <f>IF(A92="NA","NA",VLOOKUP(A92,Leonard2010!D:I,6,FALSE))</f>
        <v>135.79999999999998</v>
      </c>
      <c r="F92" t="str">
        <f>IF(C92="NA","NA",VLOOKUP(C92,Leonard2010!F:K,6,FALSE))</f>
        <v>NA</v>
      </c>
      <c r="G92">
        <f>IF(B92="NA","NA",VLOOKUP(B92,Leonard2010!E:H,4,FALSE))</f>
        <v>324</v>
      </c>
      <c r="H92">
        <f>IF(A92="NA","NA",VLOOKUP(A92,Leonard2010!D:J,7,FALSE))</f>
        <v>329</v>
      </c>
      <c r="I92" t="str">
        <f>IF(C92="NA","NA",VLOOKUP(C92,Leonard2010!F:L,7,FALSE))</f>
        <v>NA</v>
      </c>
      <c r="J92">
        <f>IF(A92="NA","NA",VLOOKUP(A92,Leonard2010!D:N,11,FALSE))</f>
        <v>42</v>
      </c>
      <c r="K92" t="s">
        <v>308</v>
      </c>
      <c r="L92">
        <f>VLOOKUP(A92,Leonard2010!D:AJ,32,FALSE)</f>
        <v>46</v>
      </c>
      <c r="M92">
        <f>VLOOKUP($A92,Leonard2010!D:AK,33,FALSE)</f>
        <v>73</v>
      </c>
      <c r="N92">
        <f>VLOOKUP($A92,Leonard2010!D:AL,34,FALSE)</f>
        <v>100</v>
      </c>
      <c r="O92">
        <f t="shared" si="15"/>
        <v>0.94551857559931685</v>
      </c>
      <c r="P92">
        <f t="shared" si="25"/>
        <v>594.24153166421218</v>
      </c>
      <c r="Q92">
        <f>IF(B92="NA","0",VLOOKUP(B92,SectionGeometry!C:E,3,FALSE)*IF(C92="NA",X$277/(X$277+X$276),X$277))</f>
        <v>0.125</v>
      </c>
      <c r="R92">
        <f>Q92*IF(B92="NA",0,((VLOOKUP(B92,SectionGeometry!C:Z,24,FALSE))))</f>
        <v>10808902587677.016</v>
      </c>
      <c r="S92">
        <f>IF(R92=0,0,Q92*3.3*10^10*P92*10^6*(1/O92)*VLOOKUP(B92,SectionGeometry!C:AA,25,FALSE)*10^-3)</f>
        <v>83085707214876.312</v>
      </c>
      <c r="T92">
        <f t="shared" si="19"/>
        <v>0.97029572627599647</v>
      </c>
      <c r="U92">
        <f>IF(K92="N",E92*35/SIN(RADIANS(J92)),IF(K92="Y",VLOOKUP(A92,Leonard2010!D:U,18,FALSE),IF(C92="NA",VLOOKUP(A92,MSSM_AdaptedSources!B:K,10,FALSE),"CHECK")))</f>
        <v>5140</v>
      </c>
      <c r="V92">
        <f>(1*VLOOKUP(A92,FaultGeometry!B:C,2,FALSE))-Q92-AA92</f>
        <v>0.375</v>
      </c>
      <c r="W92">
        <f>V92*(VLOOKUP(A92,FaultGeometry!B:Y,24,FALSE))</f>
        <v>1043304936823455</v>
      </c>
      <c r="X92">
        <f>V92*3.3*10^10*U92*10^6*(1/T92)*VLOOKUP(A92,FaultGeometry!B:O,14,FALSE)*10^-3</f>
        <v>2167762703550570.8</v>
      </c>
      <c r="Y92" t="str">
        <f t="shared" si="24"/>
        <v>NA</v>
      </c>
      <c r="Z92" t="str">
        <f>IF(C92="NA","NA",VLOOKUP(C92,MSSM_AdaptedSources!B:K,10,FALSE))</f>
        <v>NA</v>
      </c>
      <c r="AA92" t="str">
        <f>IF(C92="NA","0",VLOOKUP(C92,MultiFaultGeometry!B:C,2,FALSE)*IF(B92="NA",X$278/(X$278+X$276),X$278))</f>
        <v>0</v>
      </c>
      <c r="AB92">
        <f>AA92*IF(C92="NA",0,VLOOKUP(C92,MultiFaultGeometry!B:O,14,FALSE))</f>
        <v>0</v>
      </c>
      <c r="AC92">
        <f>IF(AB92=0,0,AA92*3.3*10^10*Z92*10^6*(1/Y92)*VLOOKUP(C92,MultiFaultGeometry!B:G,5,FALSE)*10^-3)</f>
        <v>0</v>
      </c>
      <c r="AE92" s="68">
        <f t="shared" si="20"/>
        <v>0</v>
      </c>
      <c r="AF92" s="68">
        <f t="shared" si="21"/>
        <v>0</v>
      </c>
      <c r="AG92" s="68"/>
    </row>
    <row r="93" spans="1:33" x14ac:dyDescent="0.2">
      <c r="A93" s="68" t="str">
        <f>Leonard2010!D95</f>
        <v>Bilila-Mtakataka-1</v>
      </c>
      <c r="B93" s="68" t="str">
        <f>Leonard2010!E95</f>
        <v>Linthipe-1a</v>
      </c>
      <c r="C93" s="68" t="str">
        <f>Leonard2010!F95</f>
        <v>NA</v>
      </c>
      <c r="D93">
        <f>IF(B93="NA","NA",VLOOKUP(B93,Leonard2010!E:H,3,FALSE))</f>
        <v>13.4</v>
      </c>
      <c r="E93">
        <f>IF(A93="NA","NA",VLOOKUP(A93,Leonard2010!D:I,6,FALSE))</f>
        <v>135.79999999999998</v>
      </c>
      <c r="F93" t="str">
        <f>IF(C93="NA","NA",VLOOKUP(C93,Leonard2010!F:K,6,FALSE))</f>
        <v>NA</v>
      </c>
      <c r="G93">
        <f>IF(B93="NA","NA",VLOOKUP(B93,Leonard2010!E:H,4,FALSE))</f>
        <v>324</v>
      </c>
      <c r="H93">
        <f>IF(A93="NA","NA",VLOOKUP(A93,Leonard2010!D:J,7,FALSE))</f>
        <v>329</v>
      </c>
      <c r="I93" t="str">
        <f>IF(C93="NA","NA",VLOOKUP(C93,Leonard2010!F:L,7,FALSE))</f>
        <v>NA</v>
      </c>
      <c r="J93">
        <f>IF(A93="NA","NA",VLOOKUP(A93,Leonard2010!D:N,11,FALSE))</f>
        <v>42</v>
      </c>
      <c r="K93" t="s">
        <v>308</v>
      </c>
      <c r="L93">
        <f>VLOOKUP(A93,Leonard2010!D:AJ,32,FALSE)</f>
        <v>46</v>
      </c>
      <c r="M93">
        <f>VLOOKUP($A93,Leonard2010!D:AK,33,FALSE)</f>
        <v>73</v>
      </c>
      <c r="N93">
        <f>VLOOKUP($A93,Leonard2010!D:AL,34,FALSE)</f>
        <v>100</v>
      </c>
      <c r="O93">
        <f t="shared" si="15"/>
        <v>0.94551857559931685</v>
      </c>
      <c r="P93">
        <f t="shared" si="25"/>
        <v>507.18703976435944</v>
      </c>
      <c r="Q93">
        <f>IF(B93="NA","0",VLOOKUP(B93,SectionGeometry!C:E,3,FALSE)*IF(C93="NA",X$277/(X$277+X$276),X$277))</f>
        <v>0.125</v>
      </c>
      <c r="R93">
        <f>Q93*IF(B93="NA",0,((VLOOKUP(B93,SectionGeometry!C:Z,24,FALSE))))</f>
        <v>8299574358285.252</v>
      </c>
      <c r="S93">
        <f>IF(R93=0,0,Q93*3.3*10^10*P93*10^6*(1/O93)*VLOOKUP(B93,SectionGeometry!C:AA,25,FALSE)*10^-3)</f>
        <v>72110828156396.172</v>
      </c>
      <c r="T93">
        <f t="shared" si="19"/>
        <v>0.97029572627599647</v>
      </c>
      <c r="U93">
        <f>IF(K93="N",E93*35/SIN(RADIANS(J93)),IF(K93="Y",VLOOKUP(A93,Leonard2010!D:U,18,FALSE),IF(C93="NA",VLOOKUP(A93,MSSM_AdaptedSources!B:K,10,FALSE),"CHECK")))</f>
        <v>5140</v>
      </c>
      <c r="V93">
        <f>(1*VLOOKUP(A93,FaultGeometry!B:C,2,FALSE))-Q93-AA93</f>
        <v>0.375</v>
      </c>
      <c r="W93">
        <f>V93*(VLOOKUP(A93,FaultGeometry!B:Y,24,FALSE))</f>
        <v>1043304936823455</v>
      </c>
      <c r="X93">
        <f>V93*3.3*10^10*U93*10^6*(1/T93)*VLOOKUP(A93,FaultGeometry!B:O,14,FALSE)*10^-3</f>
        <v>2167762703550570.8</v>
      </c>
      <c r="Y93" t="str">
        <f t="shared" si="24"/>
        <v>NA</v>
      </c>
      <c r="Z93" t="str">
        <f>IF(C93="NA","NA",VLOOKUP(C93,MSSM_AdaptedSources!B:K,10,FALSE))</f>
        <v>NA</v>
      </c>
      <c r="AA93" t="str">
        <f>IF(C93="NA","0",VLOOKUP(C93,MultiFaultGeometry!B:C,2,FALSE)*IF(B93="NA",X$278/(X$278+X$276),X$278))</f>
        <v>0</v>
      </c>
      <c r="AB93">
        <f>AA93*IF(C93="NA",0,VLOOKUP(C93,MultiFaultGeometry!B:O,14,FALSE))</f>
        <v>0</v>
      </c>
      <c r="AC93">
        <f>IF(AB93=0,0,AA93*3.3*10^10*Z93*10^6*(1/Y93)*VLOOKUP(C93,MultiFaultGeometry!B:G,5,FALSE)*10^-3)</f>
        <v>0</v>
      </c>
      <c r="AE93" s="68">
        <f t="shared" si="20"/>
        <v>0</v>
      </c>
      <c r="AF93" s="68">
        <f t="shared" si="21"/>
        <v>0</v>
      </c>
      <c r="AG93" s="68"/>
    </row>
    <row r="94" spans="1:33" x14ac:dyDescent="0.2">
      <c r="A94" s="68" t="str">
        <f>Leonard2010!D96</f>
        <v>Bilila-Mtakataka-1</v>
      </c>
      <c r="B94" s="68" t="str">
        <f>Leonard2010!E96</f>
        <v>Linthipe-1b</v>
      </c>
      <c r="C94" s="68" t="str">
        <f>Leonard2010!F96</f>
        <v>NA</v>
      </c>
      <c r="D94">
        <f>IF(B94="NA","NA",VLOOKUP(B94,Leonard2010!E:H,3,FALSE))</f>
        <v>7.6</v>
      </c>
      <c r="E94">
        <f>IF(A94="NA","NA",VLOOKUP(A94,Leonard2010!D:I,6,FALSE))</f>
        <v>135.79999999999998</v>
      </c>
      <c r="F94" t="str">
        <f>IF(C94="NA","NA",VLOOKUP(C94,Leonard2010!F:K,6,FALSE))</f>
        <v>NA</v>
      </c>
      <c r="G94">
        <f>IF(B94="NA","NA",VLOOKUP(B94,Leonard2010!E:H,4,FALSE))</f>
        <v>317</v>
      </c>
      <c r="H94">
        <f>IF(A94="NA","NA",VLOOKUP(A94,Leonard2010!D:J,7,FALSE))</f>
        <v>329</v>
      </c>
      <c r="I94" t="str">
        <f>IF(C94="NA","NA",VLOOKUP(C94,Leonard2010!F:L,7,FALSE))</f>
        <v>NA</v>
      </c>
      <c r="J94">
        <f>IF(A94="NA","NA",VLOOKUP(A94,Leonard2010!D:N,11,FALSE))</f>
        <v>42</v>
      </c>
      <c r="K94" t="s">
        <v>308</v>
      </c>
      <c r="L94">
        <f>VLOOKUP(A94,Leonard2010!D:AJ,32,FALSE)</f>
        <v>46</v>
      </c>
      <c r="M94">
        <f>VLOOKUP($A94,Leonard2010!D:AK,33,FALSE)</f>
        <v>73</v>
      </c>
      <c r="N94">
        <f>VLOOKUP($A94,Leonard2010!D:AL,34,FALSE)</f>
        <v>100</v>
      </c>
      <c r="O94">
        <f t="shared" si="15"/>
        <v>0.89879404629916682</v>
      </c>
      <c r="P94">
        <f t="shared" si="25"/>
        <v>287.65832106038295</v>
      </c>
      <c r="Q94">
        <f>IF(B94="NA","0",VLOOKUP(B94,SectionGeometry!C:E,3,FALSE)*IF(C94="NA",X$277/(X$277+X$276),X$277))</f>
        <v>0.125</v>
      </c>
      <c r="R94">
        <f>Q94*IF(B94="NA",0,((VLOOKUP(B94,SectionGeometry!C:Z,24,FALSE))))</f>
        <v>3088616442181.2471</v>
      </c>
      <c r="S94">
        <f>IF(R94=0,0,Q94*3.3*10^10*P94*10^6*(1/O94)*VLOOKUP(B94,SectionGeometry!C:AA,25,FALSE)*10^-3)</f>
        <v>40582675028225.18</v>
      </c>
      <c r="T94">
        <f t="shared" si="19"/>
        <v>0.97029572627599647</v>
      </c>
      <c r="U94">
        <f>IF(K94="N",E94*35/SIN(RADIANS(J94)),IF(K94="Y",VLOOKUP(A94,Leonard2010!D:U,18,FALSE),IF(C94="NA",VLOOKUP(A94,MSSM_AdaptedSources!B:K,10,FALSE),"CHECK")))</f>
        <v>5140</v>
      </c>
      <c r="V94">
        <f>(1*VLOOKUP(A94,FaultGeometry!B:C,2,FALSE))-Q94-AA94</f>
        <v>0.375</v>
      </c>
      <c r="W94">
        <f>V94*(VLOOKUP(A94,FaultGeometry!B:Y,24,FALSE))</f>
        <v>1043304936823455</v>
      </c>
      <c r="X94">
        <f>V94*3.3*10^10*U94*10^6*(1/T94)*VLOOKUP(A94,FaultGeometry!B:O,14,FALSE)*10^-3</f>
        <v>2167762703550570.8</v>
      </c>
      <c r="Y94" t="str">
        <f t="shared" si="24"/>
        <v>NA</v>
      </c>
      <c r="Z94" t="str">
        <f>IF(C94="NA","NA",VLOOKUP(C94,MSSM_AdaptedSources!B:K,10,FALSE))</f>
        <v>NA</v>
      </c>
      <c r="AA94" t="str">
        <f>IF(C94="NA","0",VLOOKUP(C94,MultiFaultGeometry!B:C,2,FALSE)*IF(B94="NA",X$278/(X$278+X$276),X$278))</f>
        <v>0</v>
      </c>
      <c r="AB94">
        <f>AA94*IF(C94="NA",0,VLOOKUP(C94,MultiFaultGeometry!B:O,14,FALSE))</f>
        <v>0</v>
      </c>
      <c r="AC94">
        <f>IF(AB94=0,0,AA94*3.3*10^10*Z94*10^6*(1/Y94)*VLOOKUP(C94,MultiFaultGeometry!B:G,5,FALSE)*10^-3)</f>
        <v>0</v>
      </c>
      <c r="AE94" s="68">
        <f t="shared" si="20"/>
        <v>1043304936823455</v>
      </c>
      <c r="AF94" s="68">
        <f t="shared" si="21"/>
        <v>2167762703550570.8</v>
      </c>
      <c r="AG94" s="68"/>
    </row>
    <row r="95" spans="1:33" x14ac:dyDescent="0.2">
      <c r="A95" s="68" t="str">
        <f>Leonard2010!D97</f>
        <v>Bilila-Mtakataka-2</v>
      </c>
      <c r="B95" s="68" t="str">
        <f>Leonard2010!E97</f>
        <v>Bilila-2</v>
      </c>
      <c r="C95" s="68" t="str">
        <f>Leonard2010!F97</f>
        <v>NA</v>
      </c>
      <c r="D95">
        <f>IF(B95="NA","NA",VLOOKUP(B95,Leonard2010!E:H,3,FALSE))</f>
        <v>29.2</v>
      </c>
      <c r="E95">
        <f>IF(A95="NA","NA",VLOOKUP(A95,Leonard2010!D:I,6,FALSE))</f>
        <v>140.89999999999998</v>
      </c>
      <c r="F95" t="str">
        <f>IF(C95="NA","NA",VLOOKUP(C95,Leonard2010!F:K,6,FALSE))</f>
        <v>NA</v>
      </c>
      <c r="G95">
        <f>IF(B95="NA","NA",VLOOKUP(B95,Leonard2010!E:H,4,FALSE))</f>
        <v>325</v>
      </c>
      <c r="H95">
        <f>IF(A95="NA","NA",VLOOKUP(A95,Leonard2010!D:J,7,FALSE))</f>
        <v>329</v>
      </c>
      <c r="I95" t="str">
        <f>IF(C95="NA","NA",VLOOKUP(C95,Leonard2010!F:L,7,FALSE))</f>
        <v>NA</v>
      </c>
      <c r="J95">
        <f>IF(A95="NA","NA",VLOOKUP(A95,Leonard2010!D:N,11,FALSE))</f>
        <v>42</v>
      </c>
      <c r="K95" t="s">
        <v>308</v>
      </c>
      <c r="L95">
        <f>VLOOKUP(A95,Leonard2010!D:AJ,32,FALSE)</f>
        <v>46</v>
      </c>
      <c r="M95">
        <f>VLOOKUP($A95,Leonard2010!D:AK,33,FALSE)</f>
        <v>73</v>
      </c>
      <c r="N95">
        <f>VLOOKUP($A95,Leonard2010!D:AL,34,FALSE)</f>
        <v>100</v>
      </c>
      <c r="O95">
        <f t="shared" si="15"/>
        <v>0.95105651629515353</v>
      </c>
      <c r="P95">
        <f>D95*(5440/E95)</f>
        <v>1127.3811213626689</v>
      </c>
      <c r="Q95">
        <f>IF(B95="NA","0",VLOOKUP(B95,SectionGeometry!C:E,3,FALSE)*IF(C95="NA",X$277/(X$277+X$276),X$277))</f>
        <v>0.125</v>
      </c>
      <c r="R95">
        <f>Q95*IF(B95="NA",0,((VLOOKUP(B95,SectionGeometry!C:Z,24,FALSE))))</f>
        <v>30536763351552.074</v>
      </c>
      <c r="S95">
        <f>IF(R95=0,0,Q95*3.3*10^10*P95*10^6*(1/O95)*VLOOKUP(B95,SectionGeometry!C:AA,25,FALSE)*10^-3)</f>
        <v>158145754642481.03</v>
      </c>
      <c r="T95">
        <f t="shared" si="19"/>
        <v>0.97029572627599647</v>
      </c>
      <c r="U95">
        <f>IF(K95="N",E95*35/SIN(RADIANS(J95)),IF(K95="Y",VLOOKUP(A95,Leonard2010!D:U,18,FALSE),IF(C95="NA",VLOOKUP(A95,MSSM_AdaptedSources!B:K,10,FALSE),"CHECK")))</f>
        <v>5440</v>
      </c>
      <c r="V95">
        <f>(1*VLOOKUP(A95,FaultGeometry!B:C,2,FALSE))-Q95-AA95</f>
        <v>0.375</v>
      </c>
      <c r="W95">
        <f>V95*(VLOOKUP(A95,FaultGeometry!B:Y,24,FALSE))</f>
        <v>1099072440957593.6</v>
      </c>
      <c r="X95">
        <f>V95*3.3*10^10*U95*10^6*(1/T95)*VLOOKUP(A95,FaultGeometry!B:O,14,FALSE)*10^-3</f>
        <v>2276979408825785.5</v>
      </c>
      <c r="Y95" t="str">
        <f t="shared" si="24"/>
        <v>NA</v>
      </c>
      <c r="Z95" t="str">
        <f>IF(C95="NA","NA",VLOOKUP(C95,MSSM_AdaptedSources!B:K,10,FALSE))</f>
        <v>NA</v>
      </c>
      <c r="AA95" t="str">
        <f>IF(C95="NA","0",VLOOKUP(C95,MultiFaultGeometry!B:C,2,FALSE)*IF(B95="NA",X$278/(X$278+X$276),X$278))</f>
        <v>0</v>
      </c>
      <c r="AB95">
        <f>AA95*IF(C95="NA",0,VLOOKUP(C95,MultiFaultGeometry!B:O,14,FALSE))</f>
        <v>0</v>
      </c>
      <c r="AC95">
        <f>IF(AB95=0,0,AA95*3.3*10^10*Z95*10^6*(1/Y95)*VLOOKUP(C95,MultiFaultGeometry!B:G,5,FALSE)*10^-3)</f>
        <v>0</v>
      </c>
      <c r="AE95" s="68">
        <f t="shared" si="20"/>
        <v>0</v>
      </c>
      <c r="AF95" s="68">
        <f t="shared" si="21"/>
        <v>0</v>
      </c>
      <c r="AG95" s="68"/>
    </row>
    <row r="96" spans="1:33" x14ac:dyDescent="0.2">
      <c r="A96" s="68" t="str">
        <f>Leonard2010!D98</f>
        <v>Bilila-Mtakataka-2</v>
      </c>
      <c r="B96" s="68" t="str">
        <f>Leonard2010!E98</f>
        <v>Mtakataka-2</v>
      </c>
      <c r="C96" s="68" t="str">
        <f>Leonard2010!F98</f>
        <v>NA</v>
      </c>
      <c r="D96">
        <f>IF(B96="NA","NA",VLOOKUP(B96,Leonard2010!E:H,3,FALSE))</f>
        <v>11.7</v>
      </c>
      <c r="E96">
        <f>IF(A96="NA","NA",VLOOKUP(A96,Leonard2010!D:I,6,FALSE))</f>
        <v>140.89999999999998</v>
      </c>
      <c r="F96" t="str">
        <f>IF(C96="NA","NA",VLOOKUP(C96,Leonard2010!F:K,6,FALSE))</f>
        <v>NA</v>
      </c>
      <c r="G96">
        <f>IF(B96="NA","NA",VLOOKUP(B96,Leonard2010!E:H,4,FALSE))</f>
        <v>7</v>
      </c>
      <c r="H96">
        <f>IF(A96="NA","NA",VLOOKUP(A96,Leonard2010!D:J,7,FALSE))</f>
        <v>329</v>
      </c>
      <c r="I96" t="str">
        <f>IF(C96="NA","NA",VLOOKUP(C96,Leonard2010!F:L,7,FALSE))</f>
        <v>NA</v>
      </c>
      <c r="J96">
        <f>IF(A96="NA","NA",VLOOKUP(A96,Leonard2010!D:N,11,FALSE))</f>
        <v>42</v>
      </c>
      <c r="K96" t="s">
        <v>308</v>
      </c>
      <c r="L96">
        <f>VLOOKUP(A96,Leonard2010!D:AJ,32,FALSE)</f>
        <v>46</v>
      </c>
      <c r="M96">
        <f>VLOOKUP($A96,Leonard2010!D:AK,33,FALSE)</f>
        <v>73</v>
      </c>
      <c r="N96">
        <f>VLOOKUP($A96,Leonard2010!D:AL,34,FALSE)</f>
        <v>100</v>
      </c>
      <c r="O96">
        <f t="shared" si="15"/>
        <v>0.91354545764260087</v>
      </c>
      <c r="P96">
        <f t="shared" ref="P96:P103" si="26">D96*(5440/E96)</f>
        <v>451.72462739531591</v>
      </c>
      <c r="Q96">
        <f>IF(B96="NA","0",VLOOKUP(B96,SectionGeometry!C:E,3,FALSE)*IF(C96="NA",X$277/(X$277+X$276),X$277))</f>
        <v>0.125</v>
      </c>
      <c r="R96">
        <f>Q96*IF(B96="NA",0,((VLOOKUP(B96,SectionGeometry!C:Z,24,FALSE))))</f>
        <v>6329434665502.5977</v>
      </c>
      <c r="S96">
        <f>IF(R96=0,0,Q96*3.3*10^10*P96*10^6*(1/O96)*VLOOKUP(B96,SectionGeometry!C:AA,25,FALSE)*10^-3)</f>
        <v>63452841137700.828</v>
      </c>
      <c r="T96">
        <f t="shared" si="19"/>
        <v>0.97029572627599647</v>
      </c>
      <c r="U96">
        <f>IF(K96="N",E96*35/SIN(RADIANS(J96)),IF(K96="Y",VLOOKUP(A96,Leonard2010!D:U,18,FALSE),IF(C96="NA",VLOOKUP(A96,MSSM_AdaptedSources!B:K,10,FALSE),"CHECK")))</f>
        <v>5440</v>
      </c>
      <c r="V96">
        <f>(1*VLOOKUP(A96,FaultGeometry!B:C,2,FALSE))-Q96-AA96</f>
        <v>0.375</v>
      </c>
      <c r="W96">
        <f>V96*(VLOOKUP(A96,FaultGeometry!B:Y,24,FALSE))</f>
        <v>1099072440957593.6</v>
      </c>
      <c r="X96">
        <f>V96*3.3*10^10*U96*10^6*(1/T96)*VLOOKUP(A96,FaultGeometry!B:O,14,FALSE)*10^-3</f>
        <v>2276979408825785.5</v>
      </c>
      <c r="Y96" t="str">
        <f t="shared" si="24"/>
        <v>NA</v>
      </c>
      <c r="Z96" t="str">
        <f>IF(C96="NA","NA",VLOOKUP(C96,MSSM_AdaptedSources!B:K,10,FALSE))</f>
        <v>NA</v>
      </c>
      <c r="AA96" t="str">
        <f>IF(C96="NA","0",VLOOKUP(C96,MultiFaultGeometry!B:C,2,FALSE)*IF(B96="NA",X$278/(X$278+X$276),X$278))</f>
        <v>0</v>
      </c>
      <c r="AB96">
        <f>AA96*IF(C96="NA",0,VLOOKUP(C96,MultiFaultGeometry!B:O,14,FALSE))</f>
        <v>0</v>
      </c>
      <c r="AC96">
        <f>IF(AB96=0,0,AA96*3.3*10^10*Z96*10^6*(1/Y96)*VLOOKUP(C96,MultiFaultGeometry!B:G,5,FALSE)*10^-3)</f>
        <v>0</v>
      </c>
      <c r="AE96" s="68">
        <f t="shared" si="20"/>
        <v>0</v>
      </c>
      <c r="AF96" s="68">
        <f t="shared" si="21"/>
        <v>0</v>
      </c>
      <c r="AG96" s="68"/>
    </row>
    <row r="97" spans="1:33" x14ac:dyDescent="0.2">
      <c r="A97" s="68" t="str">
        <f>Leonard2010!D99</f>
        <v>Bilila-Mtakataka-2</v>
      </c>
      <c r="B97" s="68" t="str">
        <f>Leonard2010!E99</f>
        <v>Citsulo-2</v>
      </c>
      <c r="C97" s="68" t="str">
        <f>Leonard2010!F99</f>
        <v>NA</v>
      </c>
      <c r="D97">
        <f>IF(B97="NA","NA",VLOOKUP(B97,Leonard2010!E:H,3,FALSE))</f>
        <v>19.399999999999999</v>
      </c>
      <c r="E97">
        <f>IF(A97="NA","NA",VLOOKUP(A97,Leonard2010!D:I,6,FALSE))</f>
        <v>140.89999999999998</v>
      </c>
      <c r="F97" t="str">
        <f>IF(C97="NA","NA",VLOOKUP(C97,Leonard2010!F:K,6,FALSE))</f>
        <v>NA</v>
      </c>
      <c r="G97">
        <f>IF(B97="NA","NA",VLOOKUP(B97,Leonard2010!E:H,4,FALSE))</f>
        <v>318</v>
      </c>
      <c r="H97">
        <f>IF(A97="NA","NA",VLOOKUP(A97,Leonard2010!D:J,7,FALSE))</f>
        <v>329</v>
      </c>
      <c r="I97" t="str">
        <f>IF(C97="NA","NA",VLOOKUP(C97,Leonard2010!F:L,7,FALSE))</f>
        <v>NA</v>
      </c>
      <c r="J97">
        <f>IF(A97="NA","NA",VLOOKUP(A97,Leonard2010!D:N,11,FALSE))</f>
        <v>42</v>
      </c>
      <c r="K97" t="s">
        <v>308</v>
      </c>
      <c r="L97">
        <f>VLOOKUP(A97,Leonard2010!D:AJ,32,FALSE)</f>
        <v>46</v>
      </c>
      <c r="M97">
        <f>VLOOKUP($A97,Leonard2010!D:AK,33,FALSE)</f>
        <v>73</v>
      </c>
      <c r="N97">
        <f>VLOOKUP($A97,Leonard2010!D:AL,34,FALSE)</f>
        <v>100</v>
      </c>
      <c r="O97">
        <f t="shared" si="15"/>
        <v>0.90630778703665005</v>
      </c>
      <c r="P97">
        <f t="shared" si="26"/>
        <v>749.01348474095107</v>
      </c>
      <c r="Q97">
        <f>IF(B97="NA","0",VLOOKUP(B97,SectionGeometry!C:E,3,FALSE)*IF(C97="NA",X$277/(X$277+X$276),X$277))</f>
        <v>0.125</v>
      </c>
      <c r="R97">
        <f>Q97*IF(B97="NA",0,((VLOOKUP(B97,SectionGeometry!C:Z,24,FALSE))))</f>
        <v>14840006273031.357</v>
      </c>
      <c r="S97">
        <f>IF(R97=0,0,Q97*3.3*10^10*P97*10^6*(1/O97)*VLOOKUP(B97,SectionGeometry!C:AA,25,FALSE)*10^-3)</f>
        <v>105508320728633.86</v>
      </c>
      <c r="T97">
        <f t="shared" si="19"/>
        <v>0.97029572627599647</v>
      </c>
      <c r="U97">
        <f>IF(K97="N",E97*35/SIN(RADIANS(J97)),IF(K97="Y",VLOOKUP(A97,Leonard2010!D:U,18,FALSE),IF(C97="NA",VLOOKUP(A97,MSSM_AdaptedSources!B:K,10,FALSE),"CHECK")))</f>
        <v>5440</v>
      </c>
      <c r="V97">
        <f>(1*VLOOKUP(A97,FaultGeometry!B:C,2,FALSE))-Q97-AA97</f>
        <v>0.375</v>
      </c>
      <c r="W97">
        <f>V97*(VLOOKUP(A97,FaultGeometry!B:Y,24,FALSE))</f>
        <v>1099072440957593.6</v>
      </c>
      <c r="X97">
        <f>V97*3.3*10^10*U97*10^6*(1/T97)*VLOOKUP(A97,FaultGeometry!B:O,14,FALSE)*10^-3</f>
        <v>2276979408825785.5</v>
      </c>
      <c r="Y97" t="str">
        <f t="shared" si="24"/>
        <v>NA</v>
      </c>
      <c r="Z97" t="str">
        <f>IF(C97="NA","NA",VLOOKUP(C97,MSSM_AdaptedSources!B:K,10,FALSE))</f>
        <v>NA</v>
      </c>
      <c r="AA97" t="str">
        <f>IF(C97="NA","0",VLOOKUP(C97,MultiFaultGeometry!B:C,2,FALSE)*IF(B97="NA",X$278/(X$278+X$276),X$278))</f>
        <v>0</v>
      </c>
      <c r="AB97">
        <f>AA97*IF(C97="NA",0,VLOOKUP(C97,MultiFaultGeometry!B:O,14,FALSE))</f>
        <v>0</v>
      </c>
      <c r="AC97">
        <f>IF(AB97=0,0,AA97*3.3*10^10*Z97*10^6*(1/Y97)*VLOOKUP(C97,MultiFaultGeometry!B:G,5,FALSE)*10^-3)</f>
        <v>0</v>
      </c>
      <c r="AE97" s="68">
        <f t="shared" si="20"/>
        <v>0</v>
      </c>
      <c r="AF97" s="68">
        <f t="shared" si="21"/>
        <v>0</v>
      </c>
      <c r="AG97" s="68"/>
    </row>
    <row r="98" spans="1:33" x14ac:dyDescent="0.2">
      <c r="A98" s="68" t="str">
        <f>Leonard2010!D100</f>
        <v>Bilila-Mtakataka-2</v>
      </c>
      <c r="B98" s="68" t="str">
        <f>Leonard2010!E100</f>
        <v>Kasinje-2</v>
      </c>
      <c r="C98" s="68" t="str">
        <f>Leonard2010!F100</f>
        <v>NA</v>
      </c>
      <c r="D98">
        <f>IF(B98="NA","NA",VLOOKUP(B98,Leonard2010!E:H,3,FALSE))</f>
        <v>18.399999999999999</v>
      </c>
      <c r="E98">
        <f>IF(A98="NA","NA",VLOOKUP(A98,Leonard2010!D:I,6,FALSE))</f>
        <v>140.89999999999998</v>
      </c>
      <c r="F98" t="str">
        <f>IF(C98="NA","NA",VLOOKUP(C98,Leonard2010!F:K,6,FALSE))</f>
        <v>NA</v>
      </c>
      <c r="G98">
        <f>IF(B98="NA","NA",VLOOKUP(B98,Leonard2010!E:H,4,FALSE))</f>
        <v>330</v>
      </c>
      <c r="H98">
        <f>IF(A98="NA","NA",VLOOKUP(A98,Leonard2010!D:J,7,FALSE))</f>
        <v>329</v>
      </c>
      <c r="I98" t="str">
        <f>IF(C98="NA","NA",VLOOKUP(C98,Leonard2010!F:L,7,FALSE))</f>
        <v>NA</v>
      </c>
      <c r="J98">
        <f>IF(A98="NA","NA",VLOOKUP(A98,Leonard2010!D:N,11,FALSE))</f>
        <v>42</v>
      </c>
      <c r="K98" t="s">
        <v>308</v>
      </c>
      <c r="L98">
        <f>VLOOKUP(A98,Leonard2010!D:AJ,32,FALSE)</f>
        <v>46</v>
      </c>
      <c r="M98">
        <f>VLOOKUP($A98,Leonard2010!D:AK,33,FALSE)</f>
        <v>73</v>
      </c>
      <c r="N98">
        <f>VLOOKUP($A98,Leonard2010!D:AL,34,FALSE)</f>
        <v>100</v>
      </c>
      <c r="O98">
        <f t="shared" si="15"/>
        <v>0.97029572627599658</v>
      </c>
      <c r="P98">
        <f t="shared" si="26"/>
        <v>710.404542228531</v>
      </c>
      <c r="Q98">
        <f>IF(B98="NA","0",VLOOKUP(B98,SectionGeometry!C:E,3,FALSE)*IF(C98="NA",X$277/(X$277+X$276),X$277))</f>
        <v>0.125</v>
      </c>
      <c r="R98">
        <f>Q98*IF(B98="NA",0,((VLOOKUP(B98,SectionGeometry!C:Z,24,FALSE))))</f>
        <v>14689671210866.605</v>
      </c>
      <c r="S98">
        <f>IF(R98=0,0,Q98*3.3*10^10*P98*10^6*(1/O98)*VLOOKUP(B98,SectionGeometry!C:AA,25,FALSE)*10^-3)</f>
        <v>100367683249887.67</v>
      </c>
      <c r="T98">
        <f t="shared" si="19"/>
        <v>0.97029572627599647</v>
      </c>
      <c r="U98">
        <f>IF(K98="N",E98*35/SIN(RADIANS(J98)),IF(K98="Y",VLOOKUP(A98,Leonard2010!D:U,18,FALSE),IF(C98="NA",VLOOKUP(A98,MSSM_AdaptedSources!B:K,10,FALSE),"CHECK")))</f>
        <v>5440</v>
      </c>
      <c r="V98">
        <f>(1*VLOOKUP(A98,FaultGeometry!B:C,2,FALSE))-Q98-AA98</f>
        <v>0.375</v>
      </c>
      <c r="W98">
        <f>V98*(VLOOKUP(A98,FaultGeometry!B:Y,24,FALSE))</f>
        <v>1099072440957593.6</v>
      </c>
      <c r="X98">
        <f>V98*3.3*10^10*U98*10^6*(1/T98)*VLOOKUP(A98,FaultGeometry!B:O,14,FALSE)*10^-3</f>
        <v>2276979408825785.5</v>
      </c>
      <c r="Y98" t="str">
        <f t="shared" si="24"/>
        <v>NA</v>
      </c>
      <c r="Z98" t="str">
        <f>IF(C98="NA","NA",VLOOKUP(C98,MSSM_AdaptedSources!B:K,10,FALSE))</f>
        <v>NA</v>
      </c>
      <c r="AA98" t="str">
        <f>IF(C98="NA","0",VLOOKUP(C98,MultiFaultGeometry!B:C,2,FALSE)*IF(B98="NA",X$278/(X$278+X$276),X$278))</f>
        <v>0</v>
      </c>
      <c r="AB98">
        <f>AA98*IF(C98="NA",0,VLOOKUP(C98,MultiFaultGeometry!B:O,14,FALSE))</f>
        <v>0</v>
      </c>
      <c r="AC98">
        <f>IF(AB98=0,0,AA98*3.3*10^10*Z98*10^6*(1/Y98)*VLOOKUP(C98,MultiFaultGeometry!B:G,5,FALSE)*10^-3)</f>
        <v>0</v>
      </c>
      <c r="AE98" s="68">
        <f t="shared" si="20"/>
        <v>0</v>
      </c>
      <c r="AF98" s="68">
        <f t="shared" si="21"/>
        <v>0</v>
      </c>
      <c r="AG98" s="68"/>
    </row>
    <row r="99" spans="1:33" x14ac:dyDescent="0.2">
      <c r="A99" s="68" t="str">
        <f>Leonard2010!D101</f>
        <v>Bilila-Mtakataka-2</v>
      </c>
      <c r="B99" s="68" t="str">
        <f>Leonard2010!E101</f>
        <v>Mua-2</v>
      </c>
      <c r="C99" s="68" t="str">
        <f>Leonard2010!F101</f>
        <v>NA</v>
      </c>
      <c r="D99">
        <f>IF(B99="NA","NA",VLOOKUP(B99,Leonard2010!E:H,3,FALSE))</f>
        <v>20.399999999999999</v>
      </c>
      <c r="E99">
        <f>IF(A99="NA","NA",VLOOKUP(A99,Leonard2010!D:I,6,FALSE))</f>
        <v>140.89999999999998</v>
      </c>
      <c r="F99" t="str">
        <f>IF(C99="NA","NA",VLOOKUP(C99,Leonard2010!F:K,6,FALSE))</f>
        <v>NA</v>
      </c>
      <c r="G99">
        <f>IF(B99="NA","NA",VLOOKUP(B99,Leonard2010!E:H,4,FALSE))</f>
        <v>339</v>
      </c>
      <c r="H99">
        <f>IF(A99="NA","NA",VLOOKUP(A99,Leonard2010!D:J,7,FALSE))</f>
        <v>329</v>
      </c>
      <c r="I99" t="str">
        <f>IF(C99="NA","NA",VLOOKUP(C99,Leonard2010!F:L,7,FALSE))</f>
        <v>NA</v>
      </c>
      <c r="J99">
        <f>IF(A99="NA","NA",VLOOKUP(A99,Leonard2010!D:N,11,FALSE))</f>
        <v>42</v>
      </c>
      <c r="K99" t="s">
        <v>308</v>
      </c>
      <c r="L99">
        <f>VLOOKUP(A99,Leonard2010!D:AJ,32,FALSE)</f>
        <v>46</v>
      </c>
      <c r="M99">
        <f>VLOOKUP($A99,Leonard2010!D:AK,33,FALSE)</f>
        <v>73</v>
      </c>
      <c r="N99">
        <f>VLOOKUP($A99,Leonard2010!D:AL,34,FALSE)</f>
        <v>100</v>
      </c>
      <c r="O99">
        <f t="shared" si="15"/>
        <v>0.92050485345244049</v>
      </c>
      <c r="P99">
        <f t="shared" si="26"/>
        <v>787.62242725337126</v>
      </c>
      <c r="Q99">
        <f>IF(B99="NA","0",VLOOKUP(B99,SectionGeometry!C:E,3,FALSE)*IF(C99="NA",X$277/(X$277+X$276),X$277))</f>
        <v>0.125</v>
      </c>
      <c r="R99">
        <f>Q99*IF(B99="NA",0,((VLOOKUP(B99,SectionGeometry!C:Z,24,FALSE))))</f>
        <v>17667864751330.539</v>
      </c>
      <c r="S99">
        <f>IF(R99=0,0,Q99*3.3*10^10*P99*10^6*(1/O99)*VLOOKUP(B99,SectionGeometry!C:AA,25,FALSE)*10^-3)</f>
        <v>119403438676698.95</v>
      </c>
      <c r="T99">
        <f t="shared" si="19"/>
        <v>0.97029572627599647</v>
      </c>
      <c r="U99">
        <f>IF(K99="N",E99*35/SIN(RADIANS(J99)),IF(K99="Y",VLOOKUP(A99,Leonard2010!D:U,18,FALSE),IF(C99="NA",VLOOKUP(A99,MSSM_AdaptedSources!B:K,10,FALSE),"CHECK")))</f>
        <v>5440</v>
      </c>
      <c r="V99">
        <f>(1*VLOOKUP(A99,FaultGeometry!B:C,2,FALSE))-Q99-AA99</f>
        <v>0.375</v>
      </c>
      <c r="W99">
        <f>V99*(VLOOKUP(A99,FaultGeometry!B:Y,24,FALSE))</f>
        <v>1099072440957593.6</v>
      </c>
      <c r="X99">
        <f>V99*3.3*10^10*U99*10^6*(1/T99)*VLOOKUP(A99,FaultGeometry!B:O,14,FALSE)*10^-3</f>
        <v>2276979408825785.5</v>
      </c>
      <c r="Y99" t="str">
        <f t="shared" si="24"/>
        <v>NA</v>
      </c>
      <c r="Z99" t="str">
        <f>IF(C99="NA","NA",VLOOKUP(C99,MSSM_AdaptedSources!B:K,10,FALSE))</f>
        <v>NA</v>
      </c>
      <c r="AA99" t="str">
        <f>IF(C99="NA","0",VLOOKUP(C99,MultiFaultGeometry!B:C,2,FALSE)*IF(B99="NA",X$278/(X$278+X$276),X$278))</f>
        <v>0</v>
      </c>
      <c r="AB99">
        <f>AA99*IF(C99="NA",0,VLOOKUP(C99,MultiFaultGeometry!B:O,14,FALSE))</f>
        <v>0</v>
      </c>
      <c r="AC99">
        <f>IF(AB99=0,0,AA99*3.3*10^10*Z99*10^6*(1/Y99)*VLOOKUP(C99,MultiFaultGeometry!B:G,5,FALSE)*10^-3)</f>
        <v>0</v>
      </c>
      <c r="AE99" s="68">
        <f t="shared" si="20"/>
        <v>0</v>
      </c>
      <c r="AF99" s="68">
        <f t="shared" si="21"/>
        <v>0</v>
      </c>
      <c r="AG99" s="68"/>
    </row>
    <row r="100" spans="1:33" x14ac:dyDescent="0.2">
      <c r="A100" s="68" t="str">
        <f>Leonard2010!D102</f>
        <v>Bilila-Mtakataka-2</v>
      </c>
      <c r="B100" s="68" t="str">
        <f>Leonard2010!E102</f>
        <v>Ngodzi-2</v>
      </c>
      <c r="C100" s="68" t="str">
        <f>Leonard2010!F102</f>
        <v>NA</v>
      </c>
      <c r="D100">
        <f>IF(B100="NA","NA",VLOOKUP(B100,Leonard2010!E:H,3,FALSE))</f>
        <v>15.7</v>
      </c>
      <c r="E100">
        <f>IF(A100="NA","NA",VLOOKUP(A100,Leonard2010!D:I,6,FALSE))</f>
        <v>140.89999999999998</v>
      </c>
      <c r="F100" t="str">
        <f>IF(C100="NA","NA",VLOOKUP(C100,Leonard2010!F:K,6,FALSE))</f>
        <v>NA</v>
      </c>
      <c r="G100">
        <f>IF(B100="NA","NA",VLOOKUP(B100,Leonard2010!E:H,4,FALSE))</f>
        <v>324</v>
      </c>
      <c r="H100">
        <f>IF(A100="NA","NA",VLOOKUP(A100,Leonard2010!D:J,7,FALSE))</f>
        <v>329</v>
      </c>
      <c r="I100" t="str">
        <f>IF(C100="NA","NA",VLOOKUP(C100,Leonard2010!F:L,7,FALSE))</f>
        <v>NA</v>
      </c>
      <c r="J100">
        <f>IF(A100="NA","NA",VLOOKUP(A100,Leonard2010!D:N,11,FALSE))</f>
        <v>42</v>
      </c>
      <c r="K100" t="s">
        <v>308</v>
      </c>
      <c r="L100">
        <f>VLOOKUP(A100,Leonard2010!D:AJ,32,FALSE)</f>
        <v>46</v>
      </c>
      <c r="M100">
        <f>VLOOKUP($A100,Leonard2010!D:AK,33,FALSE)</f>
        <v>73</v>
      </c>
      <c r="N100">
        <f>VLOOKUP($A100,Leonard2010!D:AL,34,FALSE)</f>
        <v>100</v>
      </c>
      <c r="O100">
        <f t="shared" si="15"/>
        <v>0.94551857559931685</v>
      </c>
      <c r="P100">
        <f t="shared" si="26"/>
        <v>606.16039744499653</v>
      </c>
      <c r="Q100">
        <f>IF(B100="NA","0",VLOOKUP(B100,SectionGeometry!C:E,3,FALSE)*IF(C100="NA",X$277/(X$277+X$276),X$277))</f>
        <v>0.125</v>
      </c>
      <c r="R100">
        <f>Q100*IF(B100="NA",0,((VLOOKUP(B100,SectionGeometry!C:Z,24,FALSE))))</f>
        <v>10772490169226.393</v>
      </c>
      <c r="S100">
        <f>IF(R100=0,0,Q100*3.3*10^10*P100*10^6*(1/O100)*VLOOKUP(B100,SectionGeometry!C:AA,25,FALSE)*10^-3)</f>
        <v>84872059517929.953</v>
      </c>
      <c r="T100">
        <f t="shared" si="19"/>
        <v>0.97029572627599647</v>
      </c>
      <c r="U100">
        <f>IF(K100="N",E100*35/SIN(RADIANS(J100)),IF(K100="Y",VLOOKUP(A100,Leonard2010!D:U,18,FALSE),IF(C100="NA",VLOOKUP(A100,MSSM_AdaptedSources!B:K,10,FALSE),"CHECK")))</f>
        <v>5440</v>
      </c>
      <c r="V100">
        <f>(1*VLOOKUP(A100,FaultGeometry!B:C,2,FALSE))-Q100-AA100</f>
        <v>0.375</v>
      </c>
      <c r="W100">
        <f>V100*(VLOOKUP(A100,FaultGeometry!B:Y,24,FALSE))</f>
        <v>1099072440957593.6</v>
      </c>
      <c r="X100">
        <f>V100*3.3*10^10*U100*10^6*(1/T100)*VLOOKUP(A100,FaultGeometry!B:O,14,FALSE)*10^-3</f>
        <v>2276979408825785.5</v>
      </c>
      <c r="Y100" t="str">
        <f t="shared" si="24"/>
        <v>NA</v>
      </c>
      <c r="Z100" t="str">
        <f>IF(C100="NA","NA",VLOOKUP(C100,MSSM_AdaptedSources!B:K,10,FALSE))</f>
        <v>NA</v>
      </c>
      <c r="AA100" t="str">
        <f>IF(C100="NA","0",VLOOKUP(C100,MultiFaultGeometry!B:C,2,FALSE)*IF(B100="NA",X$278/(X$278+X$276),X$278))</f>
        <v>0</v>
      </c>
      <c r="AB100">
        <f>AA100*IF(C100="NA",0,VLOOKUP(C100,MultiFaultGeometry!B:O,14,FALSE))</f>
        <v>0</v>
      </c>
      <c r="AC100">
        <f>IF(AB100=0,0,AA100*3.3*10^10*Z100*10^6*(1/Y100)*VLOOKUP(C100,MultiFaultGeometry!B:G,5,FALSE)*10^-3)</f>
        <v>0</v>
      </c>
      <c r="AE100" s="68">
        <f t="shared" si="20"/>
        <v>0</v>
      </c>
      <c r="AF100" s="68">
        <f t="shared" si="21"/>
        <v>0</v>
      </c>
      <c r="AG100" s="68"/>
    </row>
    <row r="101" spans="1:33" x14ac:dyDescent="0.2">
      <c r="A101" s="68" t="str">
        <f>Leonard2010!D103</f>
        <v>Bilila-Mtakataka-2</v>
      </c>
      <c r="B101" s="68" t="str">
        <f>Leonard2010!E103</f>
        <v>Linthipe-2</v>
      </c>
      <c r="C101" s="68" t="str">
        <f>Leonard2010!F103</f>
        <v>NA</v>
      </c>
      <c r="D101">
        <f>IF(B101="NA","NA",VLOOKUP(B101,Leonard2010!E:H,3,FALSE))</f>
        <v>18.399999999999999</v>
      </c>
      <c r="E101">
        <f>IF(A101="NA","NA",VLOOKUP(A101,Leonard2010!D:I,6,FALSE))</f>
        <v>140.89999999999998</v>
      </c>
      <c r="F101" t="str">
        <f>IF(C101="NA","NA",VLOOKUP(C101,Leonard2010!F:K,6,FALSE))</f>
        <v>NA</v>
      </c>
      <c r="G101">
        <f>IF(B101="NA","NA",VLOOKUP(B101,Leonard2010!E:H,4,FALSE))</f>
        <v>326</v>
      </c>
      <c r="H101">
        <f>IF(A101="NA","NA",VLOOKUP(A101,Leonard2010!D:J,7,FALSE))</f>
        <v>329</v>
      </c>
      <c r="I101" t="str">
        <f>IF(C101="NA","NA",VLOOKUP(C101,Leonard2010!F:L,7,FALSE))</f>
        <v>NA</v>
      </c>
      <c r="J101">
        <f>IF(A101="NA","NA",VLOOKUP(A101,Leonard2010!D:N,11,FALSE))</f>
        <v>42</v>
      </c>
      <c r="K101" t="s">
        <v>308</v>
      </c>
      <c r="L101">
        <f>VLOOKUP(A101,Leonard2010!D:AJ,32,FALSE)</f>
        <v>46</v>
      </c>
      <c r="M101">
        <f>VLOOKUP($A101,Leonard2010!D:AK,33,FALSE)</f>
        <v>73</v>
      </c>
      <c r="N101">
        <f>VLOOKUP($A101,Leonard2010!D:AL,34,FALSE)</f>
        <v>100</v>
      </c>
      <c r="O101">
        <f t="shared" si="15"/>
        <v>0.95630475596303532</v>
      </c>
      <c r="P101">
        <f t="shared" si="26"/>
        <v>710.404542228531</v>
      </c>
      <c r="Q101">
        <f>IF(B101="NA","0",VLOOKUP(B101,SectionGeometry!C:E,3,FALSE)*IF(C101="NA",X$277/(X$277+X$276),X$277))</f>
        <v>0.125</v>
      </c>
      <c r="R101">
        <f>Q101*IF(B101="NA",0,((VLOOKUP(B101,SectionGeometry!C:Z,24,FALSE))))</f>
        <v>14017271725484.707</v>
      </c>
      <c r="S101">
        <f>IF(R101=0,0,Q101*3.3*10^10*P101*10^6*(1/O101)*VLOOKUP(B101,SectionGeometry!C:AA,25,FALSE)*10^-3)</f>
        <v>100113701103617.47</v>
      </c>
      <c r="T101">
        <f t="shared" si="19"/>
        <v>0.97029572627599647</v>
      </c>
      <c r="U101">
        <f>IF(K101="N",E101*35/SIN(RADIANS(J101)),IF(K101="Y",VLOOKUP(A101,Leonard2010!D:U,18,FALSE),IF(C101="NA",VLOOKUP(A101,MSSM_AdaptedSources!B:K,10,FALSE),"CHECK")))</f>
        <v>5440</v>
      </c>
      <c r="V101">
        <f>(1*VLOOKUP(A101,FaultGeometry!B:C,2,FALSE))-Q101-AA101</f>
        <v>0.375</v>
      </c>
      <c r="W101">
        <f>V101*(VLOOKUP(A101,FaultGeometry!B:Y,24,FALSE))</f>
        <v>1099072440957593.6</v>
      </c>
      <c r="X101">
        <f>V101*3.3*10^10*U101*10^6*(1/T101)*VLOOKUP(A101,FaultGeometry!B:O,14,FALSE)*10^-3</f>
        <v>2276979408825785.5</v>
      </c>
      <c r="Y101" t="str">
        <f t="shared" si="24"/>
        <v>NA</v>
      </c>
      <c r="Z101" t="str">
        <f>IF(C101="NA","NA",VLOOKUP(C101,MSSM_AdaptedSources!B:K,10,FALSE))</f>
        <v>NA</v>
      </c>
      <c r="AA101" t="str">
        <f>IF(C101="NA","0",VLOOKUP(C101,MultiFaultGeometry!B:C,2,FALSE)*IF(B101="NA",X$278/(X$278+X$276),X$278))</f>
        <v>0</v>
      </c>
      <c r="AB101">
        <f>AA101*IF(C101="NA",0,VLOOKUP(C101,MultiFaultGeometry!B:O,14,FALSE))</f>
        <v>0</v>
      </c>
      <c r="AC101">
        <f>IF(AB101=0,0,AA101*3.3*10^10*Z101*10^6*(1/Y101)*VLOOKUP(C101,MultiFaultGeometry!B:G,5,FALSE)*10^-3)</f>
        <v>0</v>
      </c>
      <c r="AE101" s="68">
        <f t="shared" si="20"/>
        <v>0</v>
      </c>
      <c r="AF101" s="68">
        <f t="shared" si="21"/>
        <v>0</v>
      </c>
      <c r="AG101" s="68"/>
    </row>
    <row r="102" spans="1:33" x14ac:dyDescent="0.2">
      <c r="A102" s="68" t="str">
        <f>Leonard2010!D104</f>
        <v>Bilila-Mtakataka-2</v>
      </c>
      <c r="B102" s="68" t="str">
        <f>Leonard2010!E104</f>
        <v>Linthipe-2 Link</v>
      </c>
      <c r="C102" s="68" t="str">
        <f>Leonard2010!F104</f>
        <v>NA</v>
      </c>
      <c r="D102">
        <f>IF(B102="NA","NA",VLOOKUP(B102,Leonard2010!E:H,3,FALSE))</f>
        <v>0.6</v>
      </c>
      <c r="E102">
        <f>IF(A102="NA","NA",VLOOKUP(A102,Leonard2010!D:I,6,FALSE))</f>
        <v>140.89999999999998</v>
      </c>
      <c r="F102" t="str">
        <f>IF(C102="NA","NA",VLOOKUP(C102,Leonard2010!F:K,6,FALSE))</f>
        <v>NA</v>
      </c>
      <c r="G102">
        <f>IF(B102="NA","NA",VLOOKUP(B102,Leonard2010!E:H,4,FALSE))</f>
        <v>31</v>
      </c>
      <c r="H102">
        <f>IF(A102="NA","NA",VLOOKUP(A102,Leonard2010!D:J,7,FALSE))</f>
        <v>329</v>
      </c>
      <c r="I102" t="str">
        <f>IF(C102="NA","NA",VLOOKUP(C102,Leonard2010!F:L,7,FALSE))</f>
        <v>NA</v>
      </c>
      <c r="J102">
        <f>IF(A102="NA","NA",VLOOKUP(A102,Leonard2010!D:N,11,FALSE))</f>
        <v>42</v>
      </c>
      <c r="K102" t="s">
        <v>308</v>
      </c>
      <c r="L102">
        <f>VLOOKUP(A102,Leonard2010!D:AJ,32,FALSE)</f>
        <v>46</v>
      </c>
      <c r="M102">
        <f>VLOOKUP($A102,Leonard2010!D:AK,33,FALSE)</f>
        <v>73</v>
      </c>
      <c r="N102">
        <f>VLOOKUP($A102,Leonard2010!D:AL,34,FALSE)</f>
        <v>100</v>
      </c>
      <c r="O102">
        <f t="shared" si="15"/>
        <v>0.66913060635885824</v>
      </c>
      <c r="P102">
        <f t="shared" si="26"/>
        <v>23.165365507452098</v>
      </c>
      <c r="Q102">
        <f>IF(B102="NA","0",VLOOKUP(B102,SectionGeometry!C:E,3,FALSE)*IF(C102="NA",X$277/(X$277+X$276),X$277))</f>
        <v>0.125</v>
      </c>
      <c r="R102">
        <f>Q102*IF(B102="NA",0,((VLOOKUP(B102,SectionGeometry!C:Z,24,FALSE))))</f>
        <v>0</v>
      </c>
      <c r="S102">
        <f>IF(R102=0,0,Q102*3.3*10^10*P102*10^6*(1/O102)*VLOOKUP(B102,SectionGeometry!C:AA,25,FALSE)*10^-3)</f>
        <v>0</v>
      </c>
      <c r="T102">
        <f t="shared" si="19"/>
        <v>0.97029572627599647</v>
      </c>
      <c r="U102">
        <f>IF(K102="N",E102*35/SIN(RADIANS(J102)),IF(K102="Y",VLOOKUP(A102,Leonard2010!D:U,18,FALSE),IF(C102="NA",VLOOKUP(A102,MSSM_AdaptedSources!B:K,10,FALSE),"CHECK")))</f>
        <v>5440</v>
      </c>
      <c r="V102">
        <f>(1*VLOOKUP(A102,FaultGeometry!B:C,2,FALSE))-Q102-AA102</f>
        <v>0.375</v>
      </c>
      <c r="W102">
        <f>V102*(VLOOKUP(A102,FaultGeometry!B:Y,24,FALSE))</f>
        <v>1099072440957593.6</v>
      </c>
      <c r="X102">
        <f>V102*3.3*10^10*U102*10^6*(1/T102)*VLOOKUP(A102,FaultGeometry!B:O,14,FALSE)*10^-3</f>
        <v>2276979408825785.5</v>
      </c>
      <c r="Y102" t="str">
        <f t="shared" si="24"/>
        <v>NA</v>
      </c>
      <c r="Z102" t="str">
        <f>IF(C102="NA","NA",VLOOKUP(C102,MSSM_AdaptedSources!B:K,10,FALSE))</f>
        <v>NA</v>
      </c>
      <c r="AA102" t="str">
        <f>IF(C102="NA","0",VLOOKUP(C102,MultiFaultGeometry!B:C,2,FALSE)*IF(B102="NA",X$278/(X$278+X$276),X$278))</f>
        <v>0</v>
      </c>
      <c r="AB102">
        <f>AA102*IF(C102="NA",0,VLOOKUP(C102,MultiFaultGeometry!B:O,14,FALSE))</f>
        <v>0</v>
      </c>
      <c r="AC102">
        <f>IF(AB102=0,0,AA102*3.3*10^10*Z102*10^6*(1/Y102)*VLOOKUP(C102,MultiFaultGeometry!B:G,5,FALSE)*10^-3)</f>
        <v>0</v>
      </c>
      <c r="AE102" s="68">
        <f t="shared" si="20"/>
        <v>0</v>
      </c>
      <c r="AF102" s="68">
        <f t="shared" si="21"/>
        <v>0</v>
      </c>
      <c r="AG102" s="68"/>
    </row>
    <row r="103" spans="1:33" x14ac:dyDescent="0.2">
      <c r="A103" s="68" t="str">
        <f>Leonard2010!D105</f>
        <v>Bilila-Mtakataka-2</v>
      </c>
      <c r="B103" s="68" t="str">
        <f>Leonard2010!E105</f>
        <v>Kavunguti</v>
      </c>
      <c r="C103" s="68" t="str">
        <f>Leonard2010!F105</f>
        <v>NA</v>
      </c>
      <c r="D103">
        <f>IF(B103="NA","NA",VLOOKUP(B103,Leonard2010!E:H,3,FALSE))</f>
        <v>7.1</v>
      </c>
      <c r="E103">
        <f>IF(A103="NA","NA",VLOOKUP(A103,Leonard2010!D:I,6,FALSE))</f>
        <v>140.89999999999998</v>
      </c>
      <c r="F103" t="str">
        <f>IF(C103="NA","NA",VLOOKUP(C103,Leonard2010!F:K,6,FALSE))</f>
        <v>NA</v>
      </c>
      <c r="G103">
        <f>IF(B103="NA","NA",VLOOKUP(B103,Leonard2010!E:H,4,FALSE))</f>
        <v>310</v>
      </c>
      <c r="H103">
        <f>IF(A103="NA","NA",VLOOKUP(A103,Leonard2010!D:J,7,FALSE))</f>
        <v>329</v>
      </c>
      <c r="I103" t="str">
        <f>IF(C103="NA","NA",VLOOKUP(C103,Leonard2010!F:L,7,FALSE))</f>
        <v>NA</v>
      </c>
      <c r="J103">
        <f>IF(A103="NA","NA",VLOOKUP(A103,Leonard2010!D:N,11,FALSE))</f>
        <v>42</v>
      </c>
      <c r="K103" t="s">
        <v>308</v>
      </c>
      <c r="L103">
        <f>VLOOKUP(A103,Leonard2010!D:AJ,32,FALSE)</f>
        <v>46</v>
      </c>
      <c r="M103">
        <f>VLOOKUP($A103,Leonard2010!D:AK,33,FALSE)</f>
        <v>73</v>
      </c>
      <c r="N103">
        <f>VLOOKUP($A103,Leonard2010!D:AL,34,FALSE)</f>
        <v>100</v>
      </c>
      <c r="O103">
        <f t="shared" si="15"/>
        <v>0.83867056794542405</v>
      </c>
      <c r="P103">
        <f t="shared" si="26"/>
        <v>274.12349183818316</v>
      </c>
      <c r="Q103">
        <f>IF(B103="NA","0",VLOOKUP(B103,SectionGeometry!C:E,3,FALSE)*IF(C103="NA",X$277/(X$277+X$276),X$277))</f>
        <v>0.125</v>
      </c>
      <c r="R103">
        <f>Q103*IF(B103="NA",0,((VLOOKUP(B103,SectionGeometry!C:Z,24,FALSE))))</f>
        <v>2565580008020.3364</v>
      </c>
      <c r="S103">
        <f>IF(R103=0,0,Q103*3.3*10^10*P103*10^6*(1/O103)*VLOOKUP(B103,SectionGeometry!C:AA,25,FALSE)*10^-3)</f>
        <v>38382011928995.328</v>
      </c>
      <c r="T103">
        <f t="shared" si="19"/>
        <v>0.97029572627599647</v>
      </c>
      <c r="U103">
        <f>IF(K103="N",E103*35/SIN(RADIANS(J103)),IF(K103="Y",VLOOKUP(A103,Leonard2010!D:U,18,FALSE),IF(C103="NA",VLOOKUP(A103,MSSM_AdaptedSources!B:K,10,FALSE),"CHECK")))</f>
        <v>5440</v>
      </c>
      <c r="V103">
        <f>(1*VLOOKUP(A103,FaultGeometry!B:C,2,FALSE))-Q103-AA103</f>
        <v>0.375</v>
      </c>
      <c r="W103">
        <f>V103*(VLOOKUP(A103,FaultGeometry!B:Y,24,FALSE))</f>
        <v>1099072440957593.6</v>
      </c>
      <c r="X103">
        <f>V103*3.3*10^10*U103*10^6*(1/T103)*VLOOKUP(A103,FaultGeometry!B:O,14,FALSE)*10^-3</f>
        <v>2276979408825785.5</v>
      </c>
      <c r="Y103" t="str">
        <f t="shared" si="24"/>
        <v>NA</v>
      </c>
      <c r="Z103" t="str">
        <f>IF(C103="NA","NA",VLOOKUP(C103,MSSM_AdaptedSources!B:K,10,FALSE))</f>
        <v>NA</v>
      </c>
      <c r="AA103" t="str">
        <f>IF(C103="NA","0",VLOOKUP(C103,MultiFaultGeometry!B:C,2,FALSE)*IF(B103="NA",X$278/(X$278+X$276),X$278))</f>
        <v>0</v>
      </c>
      <c r="AB103">
        <f>AA103*IF(C103="NA",0,VLOOKUP(C103,MultiFaultGeometry!B:O,14,FALSE))</f>
        <v>0</v>
      </c>
      <c r="AC103">
        <f>IF(AB103=0,0,AA103*3.3*10^10*Z103*10^6*(1/Y103)*VLOOKUP(C103,MultiFaultGeometry!B:G,5,FALSE)*10^-3)</f>
        <v>0</v>
      </c>
      <c r="AE103" s="68">
        <f t="shared" si="20"/>
        <v>1099072440957593.6</v>
      </c>
      <c r="AF103" s="68">
        <f t="shared" si="21"/>
        <v>2276979408825785.5</v>
      </c>
      <c r="AG103" s="68"/>
    </row>
    <row r="104" spans="1:33" x14ac:dyDescent="0.2">
      <c r="A104" s="68" t="str">
        <f>Leonard2010!D106</f>
        <v>Cape Maclear</v>
      </c>
      <c r="B104" s="68" t="str">
        <f>Leonard2010!E106</f>
        <v>NA</v>
      </c>
      <c r="C104" s="68" t="str">
        <f>Leonard2010!F106</f>
        <v>NA</v>
      </c>
      <c r="D104" t="str">
        <f>IF(B104="NA","NA",VLOOKUP(B104,Leonard2010!E:H,3,FALSE))</f>
        <v>NA</v>
      </c>
      <c r="E104">
        <f>IF(A104="NA","NA",VLOOKUP(A104,Leonard2010!D:I,6,FALSE))</f>
        <v>14.4</v>
      </c>
      <c r="F104" t="str">
        <f>IF(C104="NA","NA",VLOOKUP(C104,Leonard2010!F:K,6,FALSE))</f>
        <v>NA</v>
      </c>
      <c r="G104" t="str">
        <f>IF(B104="NA","NA",VLOOKUP(B104,Leonard2010!E:H,4,FALSE))</f>
        <v>NA</v>
      </c>
      <c r="H104">
        <f>IF(A104="NA","NA",VLOOKUP(A104,Leonard2010!D:J,7,FALSE))</f>
        <v>208</v>
      </c>
      <c r="I104" t="str">
        <f>IF(C104="NA","NA",VLOOKUP(C104,Leonard2010!F:L,7,FALSE))</f>
        <v>NA</v>
      </c>
      <c r="J104">
        <f>IF(A104="NA","NA",VLOOKUP(A104,Leonard2010!D:N,11,FALSE))</f>
        <v>53</v>
      </c>
      <c r="K104" t="s">
        <v>552</v>
      </c>
      <c r="L104">
        <f>VLOOKUP(A104,Leonard2010!D:AJ,32,FALSE)</f>
        <v>46</v>
      </c>
      <c r="M104">
        <f>VLOOKUP($A104,Leonard2010!D:AK,33,FALSE)</f>
        <v>73</v>
      </c>
      <c r="N104">
        <f>VLOOKUP($A104,Leonard2010!D:AL,34,FALSE)</f>
        <v>100</v>
      </c>
      <c r="O104" t="str">
        <f t="shared" si="15"/>
        <v>NA</v>
      </c>
      <c r="P104" t="str">
        <f t="shared" ref="P104:P142" si="27">IF(B104="NA","NA",IF(K104="N",D104*(35/SIN(RADIANS(J104))),"CHECK"))</f>
        <v>NA</v>
      </c>
      <c r="Q104" t="str">
        <f>IF(B104="NA","0",VLOOKUP(B104,SectionGeometry!C:E,3,FALSE)*IF(C104="NA",X$277/(X$277+X$276),X$277))</f>
        <v>0</v>
      </c>
      <c r="R104">
        <f>Q104*IF(B104="NA",0,((VLOOKUP(B104,SectionGeometry!C:Z,24,FALSE))))</f>
        <v>0</v>
      </c>
      <c r="S104">
        <f>IF(R104=0,0,Q104*3.3*10^10*P104*10^6*(1/O104)*VLOOKUP(B104,SectionGeometry!C:AA,25,FALSE)*10^-3)</f>
        <v>0</v>
      </c>
      <c r="T104">
        <f t="shared" si="19"/>
        <v>0.70710678118654768</v>
      </c>
      <c r="U104">
        <f>IF(K104="N",E104*35/SIN(RADIANS(J104)),IF(K104="Y",VLOOKUP(A104,Leonard2010!D:U,18,FALSE),IF(C104="NA",VLOOKUP(A104,MSSM_AdaptedSources!B:K,10,FALSE),"CHECK")))</f>
        <v>631.0763717107377</v>
      </c>
      <c r="V104">
        <f>(1*VLOOKUP(A104,FaultGeometry!B:C,2,FALSE))-Q104-AA104</f>
        <v>1</v>
      </c>
      <c r="W104">
        <f>V104*(VLOOKUP(A104,FaultGeometry!B:Y,24,FALSE))</f>
        <v>161443839910855.72</v>
      </c>
      <c r="X104">
        <f>V104*3.3*10^10*U104*10^6*(1/T104)*VLOOKUP(A104,FaultGeometry!B:O,14,FALSE)*10^-3</f>
        <v>957684360051977.75</v>
      </c>
      <c r="Y104" t="str">
        <f t="shared" si="24"/>
        <v>NA</v>
      </c>
      <c r="Z104" t="str">
        <f>IF(C104="NA","NA",VLOOKUP(C104,MSSM_AdaptedSources!B:K,10,FALSE))</f>
        <v>NA</v>
      </c>
      <c r="AA104" t="str">
        <f>IF(C104="NA","0",VLOOKUP(C104,MultiFaultGeometry!B:C,2,FALSE)*IF(B104="NA",X$278/(X$278+X$276),X$278))</f>
        <v>0</v>
      </c>
      <c r="AB104">
        <f>AA104*IF(C104="NA",0,VLOOKUP(C104,MultiFaultGeometry!B:O,14,FALSE))</f>
        <v>0</v>
      </c>
      <c r="AC104">
        <f>IF(AB104=0,0,AA104*3.3*10^10*Z104*10^6*(1/Y104)*VLOOKUP(C104,MultiFaultGeometry!B:G,5,FALSE)*10^-3)</f>
        <v>0</v>
      </c>
      <c r="AE104" s="68">
        <f t="shared" si="20"/>
        <v>161443839910855.72</v>
      </c>
      <c r="AF104" s="68">
        <f t="shared" si="21"/>
        <v>957684360051977.75</v>
      </c>
      <c r="AG104" s="68"/>
    </row>
    <row r="105" spans="1:33" x14ac:dyDescent="0.2">
      <c r="A105" s="68" t="str">
        <f>Leonard2010!D107</f>
        <v>Lifisi</v>
      </c>
      <c r="B105" s="68" t="str">
        <f>Leonard2010!E107</f>
        <v>NA</v>
      </c>
      <c r="C105" s="68" t="str">
        <f>Leonard2010!F107</f>
        <v>NA</v>
      </c>
      <c r="D105" t="str">
        <f>IF(B105="NA","NA",VLOOKUP(B105,Leonard2010!E:H,3,FALSE))</f>
        <v>NA</v>
      </c>
      <c r="E105">
        <f>IF(A105="NA","NA",VLOOKUP(A105,Leonard2010!D:I,6,FALSE))</f>
        <v>18.399999999999999</v>
      </c>
      <c r="F105" t="str">
        <f>IF(C105="NA","NA",VLOOKUP(C105,Leonard2010!F:K,6,FALSE))</f>
        <v>NA</v>
      </c>
      <c r="G105" t="str">
        <f>IF(B105="NA","NA",VLOOKUP(B105,Leonard2010!E:H,4,FALSE))</f>
        <v>NA</v>
      </c>
      <c r="H105">
        <f>IF(A105="NA","NA",VLOOKUP(A105,Leonard2010!D:J,7,FALSE))</f>
        <v>159</v>
      </c>
      <c r="I105" t="str">
        <f>IF(C105="NA","NA",VLOOKUP(C105,Leonard2010!F:L,7,FALSE))</f>
        <v>NA</v>
      </c>
      <c r="J105">
        <f>IF(A105="NA","NA",VLOOKUP(A105,Leonard2010!D:N,11,FALSE))</f>
        <v>53</v>
      </c>
      <c r="K105" t="s">
        <v>552</v>
      </c>
      <c r="L105">
        <f>VLOOKUP(A105,Leonard2010!D:AJ,32,FALSE)</f>
        <v>46</v>
      </c>
      <c r="M105">
        <f>VLOOKUP($A105,Leonard2010!D:AK,33,FALSE)</f>
        <v>73</v>
      </c>
      <c r="N105">
        <f>VLOOKUP($A105,Leonard2010!D:AL,34,FALSE)</f>
        <v>100</v>
      </c>
      <c r="O105" t="str">
        <f t="shared" si="15"/>
        <v>NA</v>
      </c>
      <c r="P105" t="str">
        <f t="shared" si="27"/>
        <v>NA</v>
      </c>
      <c r="Q105" t="str">
        <f>IF(B105="NA","0",VLOOKUP(B105,SectionGeometry!C:E,3,FALSE)*IF(C105="NA",X$277/(X$277+X$276),X$277))</f>
        <v>0</v>
      </c>
      <c r="R105">
        <f>Q105*IF(B105="NA",0,((VLOOKUP(B105,SectionGeometry!C:Z,24,FALSE))))</f>
        <v>0</v>
      </c>
      <c r="S105">
        <f>IF(R105=0,0,Q105*3.3*10^10*P105*10^6*(1/O105)*VLOOKUP(B105,SectionGeometry!C:AA,25,FALSE)*10^-3)</f>
        <v>0</v>
      </c>
      <c r="T105">
        <f t="shared" si="19"/>
        <v>0.92050485345244037</v>
      </c>
      <c r="U105">
        <f>IF(K105="N",E105*35/SIN(RADIANS(J105)),IF(K105="Y",VLOOKUP(A105,Leonard2010!D:U,18,FALSE),IF(C105="NA",VLOOKUP(A105,MSSM_AdaptedSources!B:K,10,FALSE),"CHECK")))</f>
        <v>289</v>
      </c>
      <c r="V105">
        <f>(1*VLOOKUP(A105,FaultGeometry!B:C,2,FALSE))-Q105-AA105</f>
        <v>1</v>
      </c>
      <c r="W105">
        <f>V105*(VLOOKUP(A105,FaultGeometry!B:Y,24,FALSE))</f>
        <v>342700417373356.94</v>
      </c>
      <c r="X105">
        <f>V105*3.3*10^10*U105*10^6*(1/T105)*VLOOKUP(A105,FaultGeometry!B:O,14,FALSE)*10^-3</f>
        <v>462600558430095.94</v>
      </c>
      <c r="Y105" t="str">
        <f t="shared" si="24"/>
        <v>NA</v>
      </c>
      <c r="Z105" t="str">
        <f>IF(C105="NA","NA",VLOOKUP(C105,MSSM_AdaptedSources!B:K,10,FALSE))</f>
        <v>NA</v>
      </c>
      <c r="AA105" t="str">
        <f>IF(C105="NA","0",VLOOKUP(C105,MultiFaultGeometry!B:C,2,FALSE)*IF(B105="NA",X$278/(X$278+X$276),X$278))</f>
        <v>0</v>
      </c>
      <c r="AB105">
        <f>AA105*IF(C105="NA",0,VLOOKUP(C105,MultiFaultGeometry!B:O,14,FALSE))</f>
        <v>0</v>
      </c>
      <c r="AC105">
        <f>IF(AB105=0,0,AA105*3.3*10^10*Z105*10^6*(1/Y105)*VLOOKUP(C105,MultiFaultGeometry!B:G,5,FALSE)*10^-3)</f>
        <v>0</v>
      </c>
      <c r="AE105" s="68">
        <f t="shared" si="20"/>
        <v>342700417373356.94</v>
      </c>
      <c r="AF105" s="68">
        <f t="shared" si="21"/>
        <v>462600558430095.94</v>
      </c>
      <c r="AG105" s="68"/>
    </row>
    <row r="106" spans="1:33" x14ac:dyDescent="0.2">
      <c r="A106" s="68" t="str">
        <f>Leonard2010!D108</f>
        <v>Malombe</v>
      </c>
      <c r="B106" s="68" t="str">
        <f>Leonard2010!E108</f>
        <v>Malombe North</v>
      </c>
      <c r="C106" s="68" t="str">
        <f>Leonard2010!F108</f>
        <v>Liwawadzi-Malombe</v>
      </c>
      <c r="D106">
        <f>IF(B106="NA","NA",VLOOKUP(B106,Leonard2010!E:H,3,FALSE))</f>
        <v>20.8</v>
      </c>
      <c r="E106">
        <f>IF(A106="NA","NA",VLOOKUP(A106,Leonard2010!D:I,6,FALSE))</f>
        <v>80.699999999999989</v>
      </c>
      <c r="F106">
        <f>IF(C106="NA","NA",VLOOKUP(C106,Leonard2010!F:K,6,FALSE))</f>
        <v>114.6</v>
      </c>
      <c r="G106">
        <f>IF(B106="NA","NA",VLOOKUP(B106,Leonard2010!E:H,4,FALSE))</f>
        <v>354</v>
      </c>
      <c r="H106">
        <f>IF(A106="NA","NA",VLOOKUP(A106,Leonard2010!D:J,7,FALSE))</f>
        <v>5</v>
      </c>
      <c r="I106">
        <f>IF(C106="NA","NA",VLOOKUP(C106,Leonard2010!F:L,7,FALSE))</f>
        <v>10</v>
      </c>
      <c r="J106">
        <f>IF(A106="NA","NA",VLOOKUP(A106,Leonard2010!D:N,11,FALSE))</f>
        <v>53</v>
      </c>
      <c r="K106" t="s">
        <v>308</v>
      </c>
      <c r="L106">
        <f>VLOOKUP(A106,Leonard2010!D:AJ,32,FALSE)</f>
        <v>46</v>
      </c>
      <c r="M106">
        <f>VLOOKUP($A106,Leonard2010!D:AK,33,FALSE)</f>
        <v>73</v>
      </c>
      <c r="N106">
        <f>VLOOKUP($A106,Leonard2010!D:AL,34,FALSE)</f>
        <v>100</v>
      </c>
      <c r="O106">
        <f t="shared" si="15"/>
        <v>0.96126169593831889</v>
      </c>
      <c r="P106">
        <f>D106*(1971/E106)</f>
        <v>508.01486988847591</v>
      </c>
      <c r="Q106">
        <f>IF(B106="NA","0",VLOOKUP(B106,SectionGeometry!C:E,3,FALSE)*IF(C106="NA",X$277/(X$277+X$276),X$277))</f>
        <v>0.1</v>
      </c>
      <c r="R106">
        <f>Q106*IF(B106="NA",0,((VLOOKUP(B106,SectionGeometry!C:Z,24,FALSE))))</f>
        <v>37884453242730.156</v>
      </c>
      <c r="S106">
        <f>IF(R106=0,0,Q106*3.3*10^10*P106*10^6*(1/O106)*VLOOKUP(B106,SectionGeometry!C:AA,25,FALSE)*10^-3)</f>
        <v>76802331910099.844</v>
      </c>
      <c r="T106">
        <f t="shared" si="19"/>
        <v>0.92718385456678742</v>
      </c>
      <c r="U106">
        <f>IF(K106="N",E106*35/SIN(RADIANS(J106)),IF(K106="Y",VLOOKUP(A106,Leonard2010!D:U,18,FALSE),IF(C106="NA",VLOOKUP(A106,MSSM_AdaptedSources!B:K,10,FALSE),"CHECK")))</f>
        <v>1971.1000000000001</v>
      </c>
      <c r="V106">
        <f>(1*VLOOKUP(A106,FaultGeometry!B:C,2,FALSE))-Q106-AA106</f>
        <v>0.30000000000000004</v>
      </c>
      <c r="W106">
        <f>V106*(VLOOKUP(A106,FaultGeometry!B:Y,24,FALSE))</f>
        <v>825512703114352</v>
      </c>
      <c r="X106">
        <f>V106*3.3*10^10*U106*10^6*(1/T106)*VLOOKUP(A106,FaultGeometry!B:O,14,FALSE)*10^-3</f>
        <v>868135594893496.25</v>
      </c>
      <c r="Y106">
        <f t="shared" si="24"/>
        <v>0.8910065241883679</v>
      </c>
      <c r="Z106">
        <f>IF(C106="NA","NA",VLOOKUP(C106,MSSM_AdaptedSources!B:K,10,FALSE))</f>
        <v>2421</v>
      </c>
      <c r="AA106">
        <f>IF(C106="NA","0",VLOOKUP(C106,MultiFaultGeometry!B:C,2,FALSE)*IF(B106="NA",X$278/(X$278+X$276),X$278))</f>
        <v>0.6</v>
      </c>
      <c r="AB106">
        <f>AA106*IF(C106="NA",0,VLOOKUP(C106,MultiFaultGeometry!B:O,14,FALSE))</f>
        <v>2104600981257574.5</v>
      </c>
      <c r="AC106">
        <f>IF(AB106=0,0,AA106*3.3*10^10*Z106*10^6*(1/Y106)*VLOOKUP(C106,MultiFaultGeometry!B:G,5,FALSE)*10^-3)</f>
        <v>2369993870520674.5</v>
      </c>
      <c r="AE106" s="68">
        <f t="shared" si="20"/>
        <v>0</v>
      </c>
      <c r="AF106" s="68">
        <f t="shared" si="21"/>
        <v>0</v>
      </c>
      <c r="AG106" s="68"/>
    </row>
    <row r="107" spans="1:33" x14ac:dyDescent="0.2">
      <c r="A107" s="68" t="str">
        <f>Leonard2010!D109</f>
        <v>Malombe</v>
      </c>
      <c r="B107" s="68" t="str">
        <f>Leonard2010!E109</f>
        <v>Malombe Link</v>
      </c>
      <c r="C107" s="68" t="str">
        <f>Leonard2010!F109</f>
        <v>Liwawadzi-Malombe</v>
      </c>
      <c r="D107">
        <f>IF(B107="NA","NA",VLOOKUP(B107,Leonard2010!E:H,3,FALSE))</f>
        <v>1.8</v>
      </c>
      <c r="E107">
        <f>IF(A107="NA","NA",VLOOKUP(A107,Leonard2010!D:I,6,FALSE))</f>
        <v>80.699999999999989</v>
      </c>
      <c r="F107">
        <f>IF(C107="NA","NA",VLOOKUP(C107,Leonard2010!F:K,6,FALSE))</f>
        <v>114.6</v>
      </c>
      <c r="G107">
        <f>IF(B107="NA","NA",VLOOKUP(B107,Leonard2010!E:H,4,FALSE))</f>
        <v>71</v>
      </c>
      <c r="H107">
        <f>IF(A107="NA","NA",VLOOKUP(A107,Leonard2010!D:J,7,FALSE))</f>
        <v>5</v>
      </c>
      <c r="I107">
        <f>IF(C107="NA","NA",VLOOKUP(C107,Leonard2010!F:L,7,FALSE))</f>
        <v>10</v>
      </c>
      <c r="J107">
        <f>IF(A107="NA","NA",VLOOKUP(A107,Leonard2010!D:N,11,FALSE))</f>
        <v>53</v>
      </c>
      <c r="K107" t="s">
        <v>308</v>
      </c>
      <c r="L107">
        <f>VLOOKUP(A107,Leonard2010!D:AJ,32,FALSE)</f>
        <v>46</v>
      </c>
      <c r="M107">
        <f>VLOOKUP($A107,Leonard2010!D:AK,33,FALSE)</f>
        <v>73</v>
      </c>
      <c r="N107">
        <f>VLOOKUP($A107,Leonard2010!D:AL,34,FALSE)</f>
        <v>100</v>
      </c>
      <c r="O107">
        <f t="shared" si="15"/>
        <v>0.42261826174069933</v>
      </c>
      <c r="P107">
        <f t="shared" ref="P107:P111" si="28">D107*(1971/E107)</f>
        <v>43.962825278810413</v>
      </c>
      <c r="Q107">
        <f>IF(B107="NA","0",VLOOKUP(B107,SectionGeometry!C:E,3,FALSE)*IF(C107="NA",X$277/(X$277+X$276),X$277))</f>
        <v>0.1</v>
      </c>
      <c r="R107">
        <f>Q107*IF(B107="NA",0,((VLOOKUP(B107,SectionGeometry!C:Z,24,FALSE))))</f>
        <v>0</v>
      </c>
      <c r="S107">
        <f>IF(R107=0,0,Q107*3.3*10^10*P107*10^6*(1/O107)*VLOOKUP(B107,SectionGeometry!C:AA,25,FALSE)*10^-3)</f>
        <v>0</v>
      </c>
      <c r="T107">
        <f t="shared" si="19"/>
        <v>0.92718385456678742</v>
      </c>
      <c r="U107">
        <f>IF(K107="N",E107*35/SIN(RADIANS(J107)),IF(K107="Y",VLOOKUP(A107,Leonard2010!D:U,18,FALSE),IF(C107="NA",VLOOKUP(A107,MSSM_AdaptedSources!B:K,10,FALSE),"CHECK")))</f>
        <v>1971.1000000000001</v>
      </c>
      <c r="V107">
        <f>(1*VLOOKUP(A107,FaultGeometry!B:C,2,FALSE))-Q107-AA107</f>
        <v>0.30000000000000004</v>
      </c>
      <c r="W107">
        <f>V107*(VLOOKUP(A107,FaultGeometry!B:Y,24,FALSE))</f>
        <v>825512703114352</v>
      </c>
      <c r="X107">
        <f>V107*3.3*10^10*U107*10^6*(1/T107)*VLOOKUP(A107,FaultGeometry!B:O,14,FALSE)*10^-3</f>
        <v>868135594893496.25</v>
      </c>
      <c r="Y107">
        <f t="shared" si="24"/>
        <v>0.8910065241883679</v>
      </c>
      <c r="Z107">
        <f>IF(C107="NA","NA",VLOOKUP(C107,MSSM_AdaptedSources!B:K,10,FALSE))</f>
        <v>2421</v>
      </c>
      <c r="AA107">
        <f>IF(C107="NA","0",VLOOKUP(C107,MultiFaultGeometry!B:C,2,FALSE)*IF(B107="NA",X$278/(X$278+X$276),X$278))</f>
        <v>0.6</v>
      </c>
      <c r="AB107">
        <f>AA107*IF(C107="NA",0,VLOOKUP(C107,MultiFaultGeometry!B:O,14,FALSE))</f>
        <v>2104600981257574.5</v>
      </c>
      <c r="AC107">
        <f>IF(AB107=0,0,AA107*3.3*10^10*Z107*10^6*(1/Y107)*VLOOKUP(C107,MultiFaultGeometry!B:G,5,FALSE)*10^-3)</f>
        <v>2369993870520674.5</v>
      </c>
      <c r="AE107" s="68">
        <f t="shared" si="20"/>
        <v>0</v>
      </c>
      <c r="AF107" s="68">
        <f t="shared" si="21"/>
        <v>0</v>
      </c>
      <c r="AG107" s="68"/>
    </row>
    <row r="108" spans="1:33" x14ac:dyDescent="0.2">
      <c r="A108" s="68" t="str">
        <f>Leonard2010!D110</f>
        <v>Malombe</v>
      </c>
      <c r="B108" s="68" t="str">
        <f>Leonard2010!E110</f>
        <v>Mpale</v>
      </c>
      <c r="C108" s="68" t="str">
        <f>Leonard2010!F110</f>
        <v>Liwawadzi-Malombe</v>
      </c>
      <c r="D108">
        <f>IF(B108="NA","NA",VLOOKUP(B108,Leonard2010!E:H,3,FALSE))</f>
        <v>23.2</v>
      </c>
      <c r="E108">
        <f>IF(A108="NA","NA",VLOOKUP(A108,Leonard2010!D:I,6,FALSE))</f>
        <v>80.699999999999989</v>
      </c>
      <c r="F108">
        <f>IF(C108="NA","NA",VLOOKUP(C108,Leonard2010!F:K,6,FALSE))</f>
        <v>114.6</v>
      </c>
      <c r="G108">
        <f>IF(B108="NA","NA",VLOOKUP(B108,Leonard2010!E:H,4,FALSE))</f>
        <v>3</v>
      </c>
      <c r="H108">
        <f>IF(A108="NA","NA",VLOOKUP(A108,Leonard2010!D:J,7,FALSE))</f>
        <v>5</v>
      </c>
      <c r="I108">
        <f>IF(C108="NA","NA",VLOOKUP(C108,Leonard2010!F:L,7,FALSE))</f>
        <v>10</v>
      </c>
      <c r="J108">
        <f>IF(A108="NA","NA",VLOOKUP(A108,Leonard2010!D:N,11,FALSE))</f>
        <v>53</v>
      </c>
      <c r="K108" t="s">
        <v>308</v>
      </c>
      <c r="L108">
        <f>VLOOKUP(A108,Leonard2010!D:AJ,32,FALSE)</f>
        <v>46</v>
      </c>
      <c r="M108">
        <f>VLOOKUP($A108,Leonard2010!D:AK,33,FALSE)</f>
        <v>73</v>
      </c>
      <c r="N108">
        <f>VLOOKUP($A108,Leonard2010!D:AL,34,FALSE)</f>
        <v>100</v>
      </c>
      <c r="O108">
        <f t="shared" si="15"/>
        <v>0.93969262078590843</v>
      </c>
      <c r="P108">
        <f t="shared" si="28"/>
        <v>566.63197026022306</v>
      </c>
      <c r="Q108">
        <f>IF(B108="NA","0",VLOOKUP(B108,SectionGeometry!C:E,3,FALSE)*IF(C108="NA",X$277/(X$277+X$276),X$277))</f>
        <v>0.1</v>
      </c>
      <c r="R108">
        <f>Q108*IF(B108="NA",0,((VLOOKUP(B108,SectionGeometry!C:Z,24,FALSE))))</f>
        <v>42751262334644.078</v>
      </c>
      <c r="S108">
        <f>IF(R108=0,0,Q108*3.3*10^10*P108*10^6*(1/O108)*VLOOKUP(B108,SectionGeometry!C:AA,25,FALSE)*10^-3)</f>
        <v>83308843836555.156</v>
      </c>
      <c r="T108">
        <f t="shared" si="19"/>
        <v>0.92718385456678742</v>
      </c>
      <c r="U108">
        <f>IF(K108="N",E108*35/SIN(RADIANS(J108)),IF(K108="Y",VLOOKUP(A108,Leonard2010!D:U,18,FALSE),IF(C108="NA",VLOOKUP(A108,MSSM_AdaptedSources!B:K,10,FALSE),"CHECK")))</f>
        <v>1971.1000000000001</v>
      </c>
      <c r="V108">
        <f>(1*VLOOKUP(A108,FaultGeometry!B:C,2,FALSE))-Q108-AA108</f>
        <v>0.30000000000000004</v>
      </c>
      <c r="W108">
        <f>V108*(VLOOKUP(A108,FaultGeometry!B:Y,24,FALSE))</f>
        <v>825512703114352</v>
      </c>
      <c r="X108">
        <f>V108*3.3*10^10*U108*10^6*(1/T108)*VLOOKUP(A108,FaultGeometry!B:O,14,FALSE)*10^-3</f>
        <v>868135594893496.25</v>
      </c>
      <c r="Y108">
        <f t="shared" si="24"/>
        <v>0.8910065241883679</v>
      </c>
      <c r="Z108">
        <f>IF(C108="NA","NA",VLOOKUP(C108,MSSM_AdaptedSources!B:K,10,FALSE))</f>
        <v>2421</v>
      </c>
      <c r="AA108">
        <f>IF(C108="NA","0",VLOOKUP(C108,MultiFaultGeometry!B:C,2,FALSE)*IF(B108="NA",X$278/(X$278+X$276),X$278))</f>
        <v>0.6</v>
      </c>
      <c r="AB108">
        <f>AA108*IF(C108="NA",0,VLOOKUP(C108,MultiFaultGeometry!B:O,14,FALSE))</f>
        <v>2104600981257574.5</v>
      </c>
      <c r="AC108">
        <f>IF(AB108=0,0,AA108*3.3*10^10*Z108*10^6*(1/Y108)*VLOOKUP(C108,MultiFaultGeometry!B:G,5,FALSE)*10^-3)</f>
        <v>2369993870520674.5</v>
      </c>
      <c r="AE108" s="68">
        <f t="shared" si="20"/>
        <v>0</v>
      </c>
      <c r="AF108" s="68">
        <f t="shared" si="21"/>
        <v>0</v>
      </c>
      <c r="AG108" s="68"/>
    </row>
    <row r="109" spans="1:33" x14ac:dyDescent="0.2">
      <c r="A109" s="68" t="str">
        <f>Leonard2010!D111</f>
        <v>Malombe</v>
      </c>
      <c r="B109" s="68" t="str">
        <f>Leonard2010!E111</f>
        <v>Kalembo</v>
      </c>
      <c r="C109" s="68" t="str">
        <f>Leonard2010!F111</f>
        <v>Liwawadzi-Malombe</v>
      </c>
      <c r="D109">
        <f>IF(B109="NA","NA",VLOOKUP(B109,Leonard2010!E:H,3,FALSE))</f>
        <v>9.9</v>
      </c>
      <c r="E109">
        <f>IF(A109="NA","NA",VLOOKUP(A109,Leonard2010!D:I,6,FALSE))</f>
        <v>80.699999999999989</v>
      </c>
      <c r="F109">
        <f>IF(C109="NA","NA",VLOOKUP(C109,Leonard2010!F:K,6,FALSE))</f>
        <v>114.6</v>
      </c>
      <c r="G109">
        <f>IF(B109="NA","NA",VLOOKUP(B109,Leonard2010!E:H,4,FALSE))</f>
        <v>355</v>
      </c>
      <c r="H109">
        <f>IF(A109="NA","NA",VLOOKUP(A109,Leonard2010!D:J,7,FALSE))</f>
        <v>5</v>
      </c>
      <c r="I109">
        <f>IF(C109="NA","NA",VLOOKUP(C109,Leonard2010!F:L,7,FALSE))</f>
        <v>10</v>
      </c>
      <c r="J109">
        <f>IF(A109="NA","NA",VLOOKUP(A109,Leonard2010!D:N,11,FALSE))</f>
        <v>53</v>
      </c>
      <c r="K109" t="s">
        <v>308</v>
      </c>
      <c r="L109">
        <f>VLOOKUP(A109,Leonard2010!D:AJ,32,FALSE)</f>
        <v>46</v>
      </c>
      <c r="M109">
        <f>VLOOKUP($A109,Leonard2010!D:AK,33,FALSE)</f>
        <v>73</v>
      </c>
      <c r="N109">
        <f>VLOOKUP($A109,Leonard2010!D:AL,34,FALSE)</f>
        <v>100</v>
      </c>
      <c r="O109">
        <f t="shared" si="15"/>
        <v>0.96592582628906831</v>
      </c>
      <c r="P109">
        <f t="shared" si="28"/>
        <v>241.79553903345729</v>
      </c>
      <c r="Q109">
        <f>IF(B109="NA","0",VLOOKUP(B109,SectionGeometry!C:E,3,FALSE)*IF(C109="NA",X$277/(X$277+X$276),X$277))</f>
        <v>0.1</v>
      </c>
      <c r="R109">
        <f>Q109*IF(B109="NA",0,((VLOOKUP(B109,SectionGeometry!C:Z,24,FALSE))))</f>
        <v>10819138082404.512</v>
      </c>
      <c r="S109">
        <f>IF(R109=0,0,Q109*3.3*10^10*P109*10^6*(1/O109)*VLOOKUP(B109,SectionGeometry!C:AA,25,FALSE)*10^-3)</f>
        <v>36053551643900.281</v>
      </c>
      <c r="T109">
        <f t="shared" si="19"/>
        <v>0.92718385456678742</v>
      </c>
      <c r="U109">
        <f>IF(K109="N",E109*35/SIN(RADIANS(J109)),IF(K109="Y",VLOOKUP(A109,Leonard2010!D:U,18,FALSE),IF(C109="NA",VLOOKUP(A109,MSSM_AdaptedSources!B:K,10,FALSE),"CHECK")))</f>
        <v>1971.1000000000001</v>
      </c>
      <c r="V109">
        <f>(1*VLOOKUP(A109,FaultGeometry!B:C,2,FALSE))-Q109-AA109</f>
        <v>0.30000000000000004</v>
      </c>
      <c r="W109">
        <f>V109*(VLOOKUP(A109,FaultGeometry!B:Y,24,FALSE))</f>
        <v>825512703114352</v>
      </c>
      <c r="X109">
        <f>V109*3.3*10^10*U109*10^6*(1/T109)*VLOOKUP(A109,FaultGeometry!B:O,14,FALSE)*10^-3</f>
        <v>868135594893496.25</v>
      </c>
      <c r="Y109">
        <f t="shared" si="24"/>
        <v>0.8910065241883679</v>
      </c>
      <c r="Z109">
        <f>IF(C109="NA","NA",VLOOKUP(C109,MSSM_AdaptedSources!B:K,10,FALSE))</f>
        <v>2421</v>
      </c>
      <c r="AA109">
        <f>IF(C109="NA","0",VLOOKUP(C109,MultiFaultGeometry!B:C,2,FALSE)*IF(B109="NA",X$278/(X$278+X$276),X$278))</f>
        <v>0.6</v>
      </c>
      <c r="AB109">
        <f>AA109*IF(C109="NA",0,VLOOKUP(C109,MultiFaultGeometry!B:O,14,FALSE))</f>
        <v>2104600981257574.5</v>
      </c>
      <c r="AC109">
        <f>IF(AB109=0,0,AA109*3.3*10^10*Z109*10^6*(1/Y109)*VLOOKUP(C109,MultiFaultGeometry!B:G,5,FALSE)*10^-3)</f>
        <v>2369993870520674.5</v>
      </c>
      <c r="AE109" s="68">
        <f t="shared" si="20"/>
        <v>0</v>
      </c>
      <c r="AF109" s="68">
        <f t="shared" si="21"/>
        <v>0</v>
      </c>
      <c r="AG109" s="68"/>
    </row>
    <row r="110" spans="1:33" x14ac:dyDescent="0.2">
      <c r="A110" s="68" t="str">
        <f>Leonard2010!D112</f>
        <v>Malombe</v>
      </c>
      <c r="B110" s="68" t="str">
        <f>Leonard2010!E112</f>
        <v>Chimwalira</v>
      </c>
      <c r="C110" s="68" t="str">
        <f>Leonard2010!F112</f>
        <v>Liwawadzi-Malombe</v>
      </c>
      <c r="D110">
        <f>IF(B110="NA","NA",VLOOKUP(B110,Leonard2010!E:H,3,FALSE))</f>
        <v>16.2</v>
      </c>
      <c r="E110">
        <f>IF(A110="NA","NA",VLOOKUP(A110,Leonard2010!D:I,6,FALSE))</f>
        <v>80.699999999999989</v>
      </c>
      <c r="F110">
        <f>IF(C110="NA","NA",VLOOKUP(C110,Leonard2010!F:K,6,FALSE))</f>
        <v>114.6</v>
      </c>
      <c r="G110">
        <f>IF(B110="NA","NA",VLOOKUP(B110,Leonard2010!E:H,4,FALSE))</f>
        <v>36</v>
      </c>
      <c r="H110">
        <f>IF(A110="NA","NA",VLOOKUP(A110,Leonard2010!D:J,7,FALSE))</f>
        <v>5</v>
      </c>
      <c r="I110">
        <f>IF(C110="NA","NA",VLOOKUP(C110,Leonard2010!F:L,7,FALSE))</f>
        <v>10</v>
      </c>
      <c r="J110">
        <f>IF(A110="NA","NA",VLOOKUP(A110,Leonard2010!D:N,11,FALSE))</f>
        <v>53</v>
      </c>
      <c r="K110" t="s">
        <v>308</v>
      </c>
      <c r="L110">
        <f>VLOOKUP(A110,Leonard2010!D:AJ,32,FALSE)</f>
        <v>46</v>
      </c>
      <c r="M110">
        <f>VLOOKUP($A110,Leonard2010!D:AK,33,FALSE)</f>
        <v>73</v>
      </c>
      <c r="N110">
        <f>VLOOKUP($A110,Leonard2010!D:AL,34,FALSE)</f>
        <v>100</v>
      </c>
      <c r="O110">
        <f t="shared" si="15"/>
        <v>0.60181502315204827</v>
      </c>
      <c r="P110">
        <f t="shared" si="28"/>
        <v>395.66542750929369</v>
      </c>
      <c r="Q110">
        <f>IF(B110="NA","0",VLOOKUP(B110,SectionGeometry!C:E,3,FALSE)*IF(C110="NA",X$277/(X$277+X$276),X$277))</f>
        <v>0.1</v>
      </c>
      <c r="R110">
        <f>Q110*IF(B110="NA",0,((VLOOKUP(B110,SectionGeometry!C:Z,24,FALSE))))</f>
        <v>16550835430073.916</v>
      </c>
      <c r="S110">
        <f>IF(R110=0,0,Q110*3.3*10^10*P110*10^6*(1/O110)*VLOOKUP(B110,SectionGeometry!C:AA,25,FALSE)*10^-3)</f>
        <v>63130261567388.969</v>
      </c>
      <c r="T110">
        <f t="shared" si="19"/>
        <v>0.92718385456678742</v>
      </c>
      <c r="U110">
        <f>IF(K110="N",E110*35/SIN(RADIANS(J110)),IF(K110="Y",VLOOKUP(A110,Leonard2010!D:U,18,FALSE),IF(C110="NA",VLOOKUP(A110,MSSM_AdaptedSources!B:K,10,FALSE),"CHECK")))</f>
        <v>1971.1000000000001</v>
      </c>
      <c r="V110">
        <v>0.33</v>
      </c>
      <c r="W110">
        <f>V110*(VLOOKUP(A110,FaultGeometry!B:Y,24,FALSE))</f>
        <v>908063973425787.12</v>
      </c>
      <c r="X110">
        <f>V110*3.3*10^10*U110*10^6*(1/T110)*VLOOKUP(A110,FaultGeometry!B:O,14,FALSE)*10^-3</f>
        <v>954949154382845.62</v>
      </c>
      <c r="Y110">
        <f t="shared" si="24"/>
        <v>0.8910065241883679</v>
      </c>
      <c r="Z110">
        <f>IF(C110="NA","NA",VLOOKUP(C110,MSSM_AdaptedSources!B:K,10,FALSE))</f>
        <v>2421</v>
      </c>
      <c r="AA110">
        <f>IF(C110="NA","0",VLOOKUP(C110,MultiFaultGeometry!B:C,2,FALSE)*IF(B110="NA",X$278/(X$278+X$276),X$278))</f>
        <v>0.6</v>
      </c>
      <c r="AB110">
        <f>AA110*IF(C110="NA",0,VLOOKUP(C110,MultiFaultGeometry!B:O,14,FALSE))</f>
        <v>2104600981257574.5</v>
      </c>
      <c r="AC110">
        <f>IF(AB110=0,0,AA110*3.3*10^10*Z110*10^6*(1/Y110)*VLOOKUP(C110,MultiFaultGeometry!B:G,5,FALSE)*10^-3)</f>
        <v>2369993870520674.5</v>
      </c>
      <c r="AE110" s="68">
        <f t="shared" si="20"/>
        <v>0</v>
      </c>
      <c r="AF110" s="68">
        <f t="shared" si="21"/>
        <v>0</v>
      </c>
      <c r="AG110" s="68"/>
    </row>
    <row r="111" spans="1:33" x14ac:dyDescent="0.2">
      <c r="A111" s="68" t="str">
        <f>Leonard2010!D113</f>
        <v>Malombe</v>
      </c>
      <c r="B111" s="68" t="str">
        <f>Leonard2010!E113</f>
        <v>Malombe South</v>
      </c>
      <c r="C111" s="68" t="str">
        <f>Leonard2010!F113</f>
        <v>Liwawadzi-Malombe</v>
      </c>
      <c r="D111">
        <f>IF(B111="NA","NA",VLOOKUP(B111,Leonard2010!E:H,3,FALSE))</f>
        <v>8.8000000000000007</v>
      </c>
      <c r="E111">
        <f>IF(A111="NA","NA",VLOOKUP(A111,Leonard2010!D:I,6,FALSE))</f>
        <v>80.699999999999989</v>
      </c>
      <c r="F111">
        <f>IF(C111="NA","NA",VLOOKUP(C111,Leonard2010!F:K,6,FALSE))</f>
        <v>114.6</v>
      </c>
      <c r="G111">
        <f>IF(B111="NA","NA",VLOOKUP(B111,Leonard2010!E:H,4,FALSE))</f>
        <v>339</v>
      </c>
      <c r="H111">
        <f>IF(A111="NA","NA",VLOOKUP(A111,Leonard2010!D:J,7,FALSE))</f>
        <v>5</v>
      </c>
      <c r="I111">
        <f>IF(C111="NA","NA",VLOOKUP(C111,Leonard2010!F:L,7,FALSE))</f>
        <v>10</v>
      </c>
      <c r="J111">
        <f>IF(A111="NA","NA",VLOOKUP(A111,Leonard2010!D:N,11,FALSE))</f>
        <v>53</v>
      </c>
      <c r="K111" t="s">
        <v>308</v>
      </c>
      <c r="L111">
        <f>VLOOKUP(A111,Leonard2010!D:AJ,32,FALSE)</f>
        <v>46</v>
      </c>
      <c r="M111">
        <f>VLOOKUP($A111,Leonard2010!D:AK,33,FALSE)</f>
        <v>73</v>
      </c>
      <c r="N111">
        <f>VLOOKUP($A111,Leonard2010!D:AL,34,FALSE)</f>
        <v>100</v>
      </c>
      <c r="O111">
        <f t="shared" si="15"/>
        <v>0.92050485345244049</v>
      </c>
      <c r="P111">
        <f t="shared" si="28"/>
        <v>214.92936802973983</v>
      </c>
      <c r="Q111">
        <f>IF(B111="NA","0",VLOOKUP(B111,SectionGeometry!C:E,3,FALSE)*IF(C111="NA",X$277/(X$277+X$276),X$277))</f>
        <v>0.1</v>
      </c>
      <c r="R111">
        <f>Q111*IF(B111="NA",0,((VLOOKUP(B111,SectionGeometry!C:Z,24,FALSE))))</f>
        <v>9181205525958.2324</v>
      </c>
      <c r="S111">
        <f>IF(R111=0,0,Q111*3.3*10^10*P111*10^6*(1/O111)*VLOOKUP(B111,SectionGeometry!C:AA,25,FALSE)*10^-3)</f>
        <v>34538424734905.047</v>
      </c>
      <c r="T111">
        <f t="shared" si="19"/>
        <v>0.92718385456678742</v>
      </c>
      <c r="U111">
        <f>IF(K111="N",E111*35/SIN(RADIANS(J111)),IF(K111="Y",VLOOKUP(A111,Leonard2010!D:U,18,FALSE),IF(C111="NA",VLOOKUP(A111,MSSM_AdaptedSources!B:K,10,FALSE),"CHECK")))</f>
        <v>1971.1000000000001</v>
      </c>
      <c r="V111">
        <v>0.33</v>
      </c>
      <c r="W111">
        <f>V111*(VLOOKUP(A111,FaultGeometry!B:Y,24,FALSE))</f>
        <v>908063973425787.12</v>
      </c>
      <c r="X111">
        <f>V111*3.3*10^10*U111*10^6*(1/T111)*VLOOKUP(A111,FaultGeometry!B:O,14,FALSE)*10^-3</f>
        <v>954949154382845.62</v>
      </c>
      <c r="Y111">
        <f t="shared" si="24"/>
        <v>0.8910065241883679</v>
      </c>
      <c r="Z111">
        <f>IF(C111="NA","NA",VLOOKUP(C111,MSSM_AdaptedSources!B:K,10,FALSE))</f>
        <v>2421</v>
      </c>
      <c r="AA111">
        <f>IF(C111="NA","0",VLOOKUP(C111,MultiFaultGeometry!B:C,2,FALSE)*IF(B111="NA",X$278/(X$278+X$276),X$278))</f>
        <v>0.6</v>
      </c>
      <c r="AB111">
        <f>AA111*IF(C111="NA",0,VLOOKUP(C111,MultiFaultGeometry!B:O,14,FALSE))</f>
        <v>2104600981257574.5</v>
      </c>
      <c r="AC111">
        <f>IF(AB111=0,0,AA111*3.3*10^10*Z111*10^6*(1/Y111)*VLOOKUP(C111,MultiFaultGeometry!B:G,5,FALSE)*10^-3)</f>
        <v>2369993870520674.5</v>
      </c>
      <c r="AE111" s="68">
        <f t="shared" si="20"/>
        <v>908063973425787.12</v>
      </c>
      <c r="AF111" s="68">
        <f t="shared" si="21"/>
        <v>954949154382845.62</v>
      </c>
      <c r="AG111" s="68"/>
    </row>
    <row r="112" spans="1:33" x14ac:dyDescent="0.2">
      <c r="A112" s="68" t="str">
        <f>Leonard2010!D114</f>
        <v>Makanjira</v>
      </c>
      <c r="B112" s="68" t="str">
        <f>Leonard2010!E114</f>
        <v>Makanjira South-1</v>
      </c>
      <c r="C112" s="68" t="str">
        <f>Leonard2010!F114</f>
        <v>NA</v>
      </c>
      <c r="D112">
        <f>IF(B112="NA","NA",VLOOKUP(B112,Leonard2010!E:H,3,FALSE))</f>
        <v>27.6</v>
      </c>
      <c r="E112">
        <f>IF(A112="NA","NA",VLOOKUP(A112,Leonard2010!D:I,6,FALSE))</f>
        <v>123.29999999999998</v>
      </c>
      <c r="F112" t="str">
        <f>IF(C112="NA","NA",VLOOKUP(C112,Leonard2010!F:K,6,FALSE))</f>
        <v>NA</v>
      </c>
      <c r="G112">
        <f>IF(B112="NA","NA",VLOOKUP(B112,Leonard2010!E:H,4,FALSE))</f>
        <v>211</v>
      </c>
      <c r="H112">
        <f>IF(A112="NA","NA",VLOOKUP(A112,Leonard2010!D:J,7,FALSE))</f>
        <v>177</v>
      </c>
      <c r="I112" t="str">
        <f>IF(C112="NA","NA",VLOOKUP(C112,Leonard2010!F:L,7,FALSE))</f>
        <v>NA</v>
      </c>
      <c r="J112">
        <f>IF(A112="NA","NA",VLOOKUP(A112,Leonard2010!D:N,11,FALSE))</f>
        <v>53</v>
      </c>
      <c r="K112" t="s">
        <v>211</v>
      </c>
      <c r="L112">
        <f>VLOOKUP(A112,Leonard2010!D:AJ,32,FALSE)</f>
        <v>46</v>
      </c>
      <c r="M112">
        <f>VLOOKUP($A112,Leonard2010!D:AK,33,FALSE)</f>
        <v>73</v>
      </c>
      <c r="N112">
        <f>VLOOKUP($A112,Leonard2010!D:AL,34,FALSE)</f>
        <v>100</v>
      </c>
      <c r="O112">
        <f t="shared" si="15"/>
        <v>0.66913060635885813</v>
      </c>
      <c r="P112">
        <f t="shared" si="27"/>
        <v>1209.5630457789141</v>
      </c>
      <c r="Q112">
        <f>IF(B112="NA","0",VLOOKUP(B112,SectionGeometry!C:E,3,FALSE)*IF(C112="NA",X$277/(X$277+X$276),X$277))</f>
        <v>0.25</v>
      </c>
      <c r="R112">
        <f>Q112*IF(B112="NA",0,((VLOOKUP(B112,SectionGeometry!C:Z,24,FALSE))))</f>
        <v>990506948404589.88</v>
      </c>
      <c r="S112">
        <f>IF(R112=0,0,Q112*3.3*10^10*P112*10^6*(1/O112)*VLOOKUP(B112,SectionGeometry!C:AA,25,FALSE)*10^-3)</f>
        <v>4298326453763887.5</v>
      </c>
      <c r="T112">
        <f t="shared" si="19"/>
        <v>0.97029572627599647</v>
      </c>
      <c r="U112">
        <f>IF(K112="N",E112*35/SIN(RADIANS(J112)),IF(K112="Y",VLOOKUP(A112,Leonard2010!D:U,18,FALSE),IF(C112="NA",VLOOKUP(A112,MSSM_AdaptedSources!B:K,10,FALSE),"CHECK")))</f>
        <v>5403.5914327731907</v>
      </c>
      <c r="V112">
        <f>(1*VLOOKUP(A112,FaultGeometry!B:C,2,FALSE))-Q112-AA112</f>
        <v>0.75</v>
      </c>
      <c r="W112">
        <f>V112*(VLOOKUP(A112,FaultGeometry!B:Y,24,FALSE))</f>
        <v>5.6199711782289568E+16</v>
      </c>
      <c r="X112">
        <f>V112*3.3*10^10*U112*10^6*(1/T112)*VLOOKUP(A112,FaultGeometry!B:O,14,FALSE)*10^-3</f>
        <v>5.5878065468084704E+16</v>
      </c>
      <c r="Y112" t="str">
        <f t="shared" si="24"/>
        <v>NA</v>
      </c>
      <c r="Z112" t="str">
        <f>IF(C112="NA","NA",VLOOKUP(C112,MSSM_AdaptedSources!B:K,10,FALSE))</f>
        <v>NA</v>
      </c>
      <c r="AA112" t="str">
        <f>IF(C112="NA","0",VLOOKUP(C112,MultiFaultGeometry!B:C,2,FALSE)*IF(B112="NA",X$278/(X$278+X$276),X$278))</f>
        <v>0</v>
      </c>
      <c r="AB112">
        <f>AA112*IF(C112="NA",0,VLOOKUP(C112,MultiFaultGeometry!B:O,14,FALSE))</f>
        <v>0</v>
      </c>
      <c r="AC112">
        <f>IF(AB112=0,0,AA112*3.3*10^10*Z112*10^6*(1/Y112)*VLOOKUP(C112,MultiFaultGeometry!B:G,5,FALSE)*10^-3)</f>
        <v>0</v>
      </c>
      <c r="AE112" s="68">
        <f t="shared" si="20"/>
        <v>0</v>
      </c>
      <c r="AF112" s="68">
        <f t="shared" si="21"/>
        <v>0</v>
      </c>
      <c r="AG112" s="68"/>
    </row>
    <row r="113" spans="1:33" x14ac:dyDescent="0.2">
      <c r="A113" s="68" t="str">
        <f>Leonard2010!D115</f>
        <v>Makanjira</v>
      </c>
      <c r="B113" s="68" t="str">
        <f>Leonard2010!E115</f>
        <v>Makanjira South-2</v>
      </c>
      <c r="C113" s="68" t="str">
        <f>Leonard2010!F115</f>
        <v>NA</v>
      </c>
      <c r="D113">
        <f>IF(B113="NA","NA",VLOOKUP(B113,Leonard2010!E:H,3,FALSE))</f>
        <v>28.5</v>
      </c>
      <c r="E113">
        <f>IF(A113="NA","NA",VLOOKUP(A113,Leonard2010!D:I,6,FALSE))</f>
        <v>123.29999999999998</v>
      </c>
      <c r="F113" t="str">
        <f>IF(C113="NA","NA",VLOOKUP(C113,Leonard2010!F:K,6,FALSE))</f>
        <v>NA</v>
      </c>
      <c r="G113">
        <f>IF(B113="NA","NA",VLOOKUP(B113,Leonard2010!E:H,4,FALSE))</f>
        <v>171</v>
      </c>
      <c r="H113">
        <f>IF(A113="NA","NA",VLOOKUP(A113,Leonard2010!D:J,7,FALSE))</f>
        <v>177</v>
      </c>
      <c r="I113" t="str">
        <f>IF(C113="NA","NA",VLOOKUP(C113,Leonard2010!F:L,7,FALSE))</f>
        <v>NA</v>
      </c>
      <c r="J113">
        <f>IF(A113="NA","NA",VLOOKUP(A113,Leonard2010!D:N,11,FALSE))</f>
        <v>53</v>
      </c>
      <c r="K113" t="s">
        <v>211</v>
      </c>
      <c r="L113">
        <f>VLOOKUP(A113,Leonard2010!D:AJ,32,FALSE)</f>
        <v>46</v>
      </c>
      <c r="M113">
        <f>VLOOKUP($A113,Leonard2010!D:AK,33,FALSE)</f>
        <v>73</v>
      </c>
      <c r="N113">
        <f>VLOOKUP($A113,Leonard2010!D:AL,34,FALSE)</f>
        <v>100</v>
      </c>
      <c r="O113">
        <f t="shared" si="15"/>
        <v>0.94551857559931685</v>
      </c>
      <c r="P113">
        <f t="shared" si="27"/>
        <v>1249.0053190108351</v>
      </c>
      <c r="Q113">
        <f>IF(B113="NA","0",VLOOKUP(B113,SectionGeometry!C:E,3,FALSE)*IF(C113="NA",X$277/(X$277+X$276),X$277))</f>
        <v>0.25</v>
      </c>
      <c r="R113">
        <f>Q113*IF(B113="NA",0,((VLOOKUP(B113,SectionGeometry!C:Z,24,FALSE))))</f>
        <v>1500594282551071.8</v>
      </c>
      <c r="S113">
        <f>IF(R113=0,0,Q113*3.3*10^10*P113*10^6*(1/O113)*VLOOKUP(B113,SectionGeometry!C:AA,25,FALSE)*10^-3)</f>
        <v>4490214259115088.5</v>
      </c>
      <c r="T113">
        <f t="shared" si="19"/>
        <v>0.97029572627599647</v>
      </c>
      <c r="U113">
        <f>IF(K113="N",E113*35/SIN(RADIANS(J113)),IF(K113="Y",VLOOKUP(A113,Leonard2010!D:U,18,FALSE),IF(C113="NA",VLOOKUP(A113,MSSM_AdaptedSources!B:K,10,FALSE),"CHECK")))</f>
        <v>5403.5914327731907</v>
      </c>
      <c r="V113">
        <f>(1*VLOOKUP(A113,FaultGeometry!B:C,2,FALSE))-Q113-AA113</f>
        <v>0.75</v>
      </c>
      <c r="W113">
        <f>V113*(VLOOKUP(A113,FaultGeometry!B:Y,24,FALSE))</f>
        <v>5.6199711782289568E+16</v>
      </c>
      <c r="X113">
        <f>V113*3.3*10^10*U113*10^6*(1/T113)*VLOOKUP(A113,FaultGeometry!B:O,14,FALSE)*10^-3</f>
        <v>5.5878065468084704E+16</v>
      </c>
      <c r="Y113" t="str">
        <f t="shared" si="24"/>
        <v>NA</v>
      </c>
      <c r="Z113" t="str">
        <f>IF(C113="NA","NA",VLOOKUP(C113,MSSM_AdaptedSources!B:K,10,FALSE))</f>
        <v>NA</v>
      </c>
      <c r="AA113" t="str">
        <f>IF(C113="NA","0",VLOOKUP(C113,MultiFaultGeometry!B:C,2,FALSE)*IF(B113="NA",X$278/(X$278+X$276),X$278))</f>
        <v>0</v>
      </c>
      <c r="AB113">
        <f>AA113*IF(C113="NA",0,VLOOKUP(C113,MultiFaultGeometry!B:O,14,FALSE))</f>
        <v>0</v>
      </c>
      <c r="AC113">
        <f>IF(AB113=0,0,AA113*3.3*10^10*Z113*10^6*(1/Y113)*VLOOKUP(C113,MultiFaultGeometry!B:G,5,FALSE)*10^-3)</f>
        <v>0</v>
      </c>
      <c r="AE113" s="68">
        <f t="shared" si="20"/>
        <v>0</v>
      </c>
      <c r="AF113" s="68">
        <f t="shared" si="21"/>
        <v>0</v>
      </c>
      <c r="AG113" s="68"/>
    </row>
    <row r="114" spans="1:33" x14ac:dyDescent="0.2">
      <c r="A114" s="68" t="str">
        <f>Leonard2010!D116</f>
        <v>Makanjira</v>
      </c>
      <c r="B114" s="68" t="str">
        <f>Leonard2010!E116</f>
        <v>Makanjira Link-1</v>
      </c>
      <c r="C114" s="68" t="str">
        <f>Leonard2010!F116</f>
        <v>NA</v>
      </c>
      <c r="D114">
        <f>IF(B114="NA","NA",VLOOKUP(B114,Leonard2010!E:H,3,FALSE))</f>
        <v>1.1000000000000001</v>
      </c>
      <c r="E114">
        <f>IF(A114="NA","NA",VLOOKUP(A114,Leonard2010!D:I,6,FALSE))</f>
        <v>123.29999999999998</v>
      </c>
      <c r="F114" t="str">
        <f>IF(C114="NA","NA",VLOOKUP(C114,Leonard2010!F:K,6,FALSE))</f>
        <v>NA</v>
      </c>
      <c r="G114">
        <f>IF(B114="NA","NA",VLOOKUP(B114,Leonard2010!E:H,4,FALSE))</f>
        <v>247</v>
      </c>
      <c r="H114">
        <f>IF(A114="NA","NA",VLOOKUP(A114,Leonard2010!D:J,7,FALSE))</f>
        <v>177</v>
      </c>
      <c r="I114" t="str">
        <f>IF(C114="NA","NA",VLOOKUP(C114,Leonard2010!F:L,7,FALSE))</f>
        <v>NA</v>
      </c>
      <c r="J114">
        <f>IF(A114="NA","NA",VLOOKUP(A114,Leonard2010!D:N,11,FALSE))</f>
        <v>53</v>
      </c>
      <c r="K114" t="s">
        <v>211</v>
      </c>
      <c r="L114">
        <f>VLOOKUP(A114,Leonard2010!D:AJ,32,FALSE)</f>
        <v>46</v>
      </c>
      <c r="M114">
        <f>VLOOKUP($A114,Leonard2010!D:AK,33,FALSE)</f>
        <v>73</v>
      </c>
      <c r="N114">
        <f>VLOOKUP($A114,Leonard2010!D:AL,34,FALSE)</f>
        <v>100</v>
      </c>
      <c r="O114">
        <f t="shared" si="15"/>
        <v>0.35836794954530038</v>
      </c>
      <c r="P114">
        <f t="shared" si="27"/>
        <v>48.20722283901469</v>
      </c>
      <c r="Q114">
        <f>IF(B114="NA","0",VLOOKUP(B114,SectionGeometry!C:E,3,FALSE)*IF(C114="NA",X$277/(X$277+X$276),X$277))</f>
        <v>0.25</v>
      </c>
      <c r="R114">
        <f>Q114*IF(B114="NA",0,((VLOOKUP(B114,SectionGeometry!C:Z,24,FALSE))))</f>
        <v>0</v>
      </c>
      <c r="S114">
        <f>IF(R114=0,0,Q114*3.3*10^10*P114*10^6*(1/O114)*VLOOKUP(B114,SectionGeometry!C:AA,25,FALSE)*10^-3)</f>
        <v>0</v>
      </c>
      <c r="T114">
        <f t="shared" si="19"/>
        <v>0.97029572627599647</v>
      </c>
      <c r="U114">
        <f>IF(K114="N",E114*35/SIN(RADIANS(J114)),IF(K114="Y",VLOOKUP(A114,Leonard2010!D:U,18,FALSE),IF(C114="NA",VLOOKUP(A114,MSSM_AdaptedSources!B:K,10,FALSE),"CHECK")))</f>
        <v>5403.5914327731907</v>
      </c>
      <c r="V114">
        <f>(1*VLOOKUP(A114,FaultGeometry!B:C,2,FALSE))-Q114-AA114</f>
        <v>0.75</v>
      </c>
      <c r="W114">
        <f>V114*(VLOOKUP(A114,FaultGeometry!B:Y,24,FALSE))</f>
        <v>5.6199711782289568E+16</v>
      </c>
      <c r="X114">
        <f>V114*3.3*10^10*U114*10^6*(1/T114)*VLOOKUP(A114,FaultGeometry!B:O,14,FALSE)*10^-3</f>
        <v>5.5878065468084704E+16</v>
      </c>
      <c r="Y114" t="str">
        <f t="shared" si="24"/>
        <v>NA</v>
      </c>
      <c r="Z114" t="str">
        <f>IF(C114="NA","NA",VLOOKUP(C114,MSSM_AdaptedSources!B:K,10,FALSE))</f>
        <v>NA</v>
      </c>
      <c r="AA114" t="str">
        <f>IF(C114="NA","0",VLOOKUP(C114,MultiFaultGeometry!B:C,2,FALSE)*IF(B114="NA",X$278/(X$278+X$276),X$278))</f>
        <v>0</v>
      </c>
      <c r="AB114">
        <f>AA114*IF(C114="NA",0,VLOOKUP(C114,MultiFaultGeometry!B:O,14,FALSE))</f>
        <v>0</v>
      </c>
      <c r="AC114">
        <f>IF(AB114=0,0,AA114*3.3*10^10*Z114*10^6*(1/Y114)*VLOOKUP(C114,MultiFaultGeometry!B:G,5,FALSE)*10^-3)</f>
        <v>0</v>
      </c>
      <c r="AE114" s="68">
        <f t="shared" si="20"/>
        <v>0</v>
      </c>
      <c r="AF114" s="68">
        <f t="shared" si="21"/>
        <v>0</v>
      </c>
      <c r="AG114" s="68"/>
    </row>
    <row r="115" spans="1:33" x14ac:dyDescent="0.2">
      <c r="A115" s="68" t="str">
        <f>Leonard2010!D117</f>
        <v>Makanjira</v>
      </c>
      <c r="B115" s="68" t="str">
        <f>Leonard2010!E117</f>
        <v>Makanjira Namjola</v>
      </c>
      <c r="C115" s="68" t="str">
        <f>Leonard2010!F117</f>
        <v>NA</v>
      </c>
      <c r="D115">
        <f>IF(B115="NA","NA",VLOOKUP(B115,Leonard2010!E:H,3,FALSE))</f>
        <v>16.399999999999999</v>
      </c>
      <c r="E115">
        <f>IF(A115="NA","NA",VLOOKUP(A115,Leonard2010!D:I,6,FALSE))</f>
        <v>123.29999999999998</v>
      </c>
      <c r="F115" t="str">
        <f>IF(C115="NA","NA",VLOOKUP(C115,Leonard2010!F:K,6,FALSE))</f>
        <v>NA</v>
      </c>
      <c r="G115">
        <f>IF(B115="NA","NA",VLOOKUP(B115,Leonard2010!E:H,4,FALSE))</f>
        <v>156</v>
      </c>
      <c r="H115">
        <f>IF(A115="NA","NA",VLOOKUP(A115,Leonard2010!D:J,7,FALSE))</f>
        <v>177</v>
      </c>
      <c r="I115" t="str">
        <f>IF(C115="NA","NA",VLOOKUP(C115,Leonard2010!F:L,7,FALSE))</f>
        <v>NA</v>
      </c>
      <c r="J115">
        <f>IF(A115="NA","NA",VLOOKUP(A115,Leonard2010!D:N,11,FALSE))</f>
        <v>53</v>
      </c>
      <c r="K115" t="s">
        <v>211</v>
      </c>
      <c r="L115">
        <f>VLOOKUP(A115,Leonard2010!D:AJ,32,FALSE)</f>
        <v>46</v>
      </c>
      <c r="M115">
        <f>VLOOKUP($A115,Leonard2010!D:AK,33,FALSE)</f>
        <v>73</v>
      </c>
      <c r="N115">
        <f>VLOOKUP($A115,Leonard2010!D:AL,34,FALSE)</f>
        <v>100</v>
      </c>
      <c r="O115">
        <f t="shared" si="15"/>
        <v>0.93969262078590843</v>
      </c>
      <c r="P115">
        <f t="shared" si="27"/>
        <v>718.72586778167351</v>
      </c>
      <c r="Q115">
        <f>IF(B115="NA","0",VLOOKUP(B115,SectionGeometry!C:E,3,FALSE)*IF(C115="NA",X$277/(X$277+X$276),X$277))</f>
        <v>0.25</v>
      </c>
      <c r="R115">
        <f>Q115*IF(B115="NA",0,((VLOOKUP(B115,SectionGeometry!C:Z,24,FALSE))))</f>
        <v>603865082594384.88</v>
      </c>
      <c r="S115">
        <f>IF(R115=0,0,Q115*3.3*10^10*P115*10^6*(1/O115)*VLOOKUP(B115,SectionGeometry!C:AA,25,FALSE)*10^-3)</f>
        <v>2624535123250661.5</v>
      </c>
      <c r="T115">
        <f t="shared" si="19"/>
        <v>0.97029572627599647</v>
      </c>
      <c r="U115">
        <f>IF(K115="N",E115*35/SIN(RADIANS(J115)),IF(K115="Y",VLOOKUP(A115,Leonard2010!D:U,18,FALSE),IF(C115="NA",VLOOKUP(A115,MSSM_AdaptedSources!B:K,10,FALSE),"CHECK")))</f>
        <v>5403.5914327731907</v>
      </c>
      <c r="V115">
        <f>(1*VLOOKUP(A115,FaultGeometry!B:C,2,FALSE))-Q115-AA115</f>
        <v>0.75</v>
      </c>
      <c r="W115">
        <f>V115*(VLOOKUP(A115,FaultGeometry!B:Y,24,FALSE))</f>
        <v>5.6199711782289568E+16</v>
      </c>
      <c r="X115">
        <f>V115*3.3*10^10*U115*10^6*(1/T115)*VLOOKUP(A115,FaultGeometry!B:O,14,FALSE)*10^-3</f>
        <v>5.5878065468084704E+16</v>
      </c>
      <c r="Y115" t="str">
        <f t="shared" si="24"/>
        <v>NA</v>
      </c>
      <c r="Z115" t="str">
        <f>IF(C115="NA","NA",VLOOKUP(C115,MSSM_AdaptedSources!B:K,10,FALSE))</f>
        <v>NA</v>
      </c>
      <c r="AA115" t="str">
        <f>IF(C115="NA","0",VLOOKUP(C115,MultiFaultGeometry!B:C,2,FALSE)*IF(B115="NA",X$278/(X$278+X$276),X$278))</f>
        <v>0</v>
      </c>
      <c r="AB115">
        <f>AA115*IF(C115="NA",0,VLOOKUP(C115,MultiFaultGeometry!B:O,14,FALSE))</f>
        <v>0</v>
      </c>
      <c r="AC115">
        <f>IF(AB115=0,0,AA115*3.3*10^10*Z115*10^6*(1/Y115)*VLOOKUP(C115,MultiFaultGeometry!B:G,5,FALSE)*10^-3)</f>
        <v>0</v>
      </c>
      <c r="AE115" s="68">
        <f t="shared" si="20"/>
        <v>0</v>
      </c>
      <c r="AF115" s="68">
        <f t="shared" si="21"/>
        <v>0</v>
      </c>
      <c r="AG115" s="68"/>
    </row>
    <row r="116" spans="1:33" x14ac:dyDescent="0.2">
      <c r="A116" s="68" t="str">
        <f>Leonard2010!D118</f>
        <v>Makanjira</v>
      </c>
      <c r="B116" s="68" t="str">
        <f>Leonard2010!E118</f>
        <v>Makanjira Link-2</v>
      </c>
      <c r="C116" s="68" t="str">
        <f>Leonard2010!F118</f>
        <v>NA</v>
      </c>
      <c r="D116">
        <f>IF(B116="NA","NA",VLOOKUP(B116,Leonard2010!E:H,3,FALSE))</f>
        <v>2.8</v>
      </c>
      <c r="E116">
        <f>IF(A116="NA","NA",VLOOKUP(A116,Leonard2010!D:I,6,FALSE))</f>
        <v>123.29999999999998</v>
      </c>
      <c r="F116" t="str">
        <f>IF(C116="NA","NA",VLOOKUP(C116,Leonard2010!F:K,6,FALSE))</f>
        <v>NA</v>
      </c>
      <c r="G116">
        <f>IF(B116="NA","NA",VLOOKUP(B116,Leonard2010!E:H,4,FALSE))</f>
        <v>246</v>
      </c>
      <c r="H116">
        <f>IF(A116="NA","NA",VLOOKUP(A116,Leonard2010!D:J,7,FALSE))</f>
        <v>177</v>
      </c>
      <c r="I116" t="str">
        <f>IF(C116="NA","NA",VLOOKUP(C116,Leonard2010!F:L,7,FALSE))</f>
        <v>NA</v>
      </c>
      <c r="J116">
        <f>IF(A116="NA","NA",VLOOKUP(A116,Leonard2010!D:N,11,FALSE))</f>
        <v>53</v>
      </c>
      <c r="K116" t="s">
        <v>211</v>
      </c>
      <c r="L116">
        <f>VLOOKUP(A116,Leonard2010!D:AJ,32,FALSE)</f>
        <v>46</v>
      </c>
      <c r="M116">
        <f>VLOOKUP($A116,Leonard2010!D:AK,33,FALSE)</f>
        <v>73</v>
      </c>
      <c r="N116">
        <f>VLOOKUP($A116,Leonard2010!D:AL,34,FALSE)</f>
        <v>100</v>
      </c>
      <c r="O116">
        <f t="shared" si="15"/>
        <v>0.34202014332566899</v>
      </c>
      <c r="P116">
        <f t="shared" si="27"/>
        <v>122.7092944993101</v>
      </c>
      <c r="Q116">
        <f>IF(B116="NA","0",VLOOKUP(B116,SectionGeometry!C:E,3,FALSE)*IF(C116="NA",X$277/(X$277+X$276),X$277))</f>
        <v>0.25</v>
      </c>
      <c r="R116">
        <f>Q116*IF(B116="NA",0,((VLOOKUP(B116,SectionGeometry!C:Z,24,FALSE))))</f>
        <v>0</v>
      </c>
      <c r="S116">
        <f>IF(R116=0,0,Q116*3.3*10^10*P116*10^6*(1/O116)*VLOOKUP(B116,SectionGeometry!C:AA,25,FALSE)*10^-3)</f>
        <v>0</v>
      </c>
      <c r="T116">
        <f t="shared" si="19"/>
        <v>0.97029572627599647</v>
      </c>
      <c r="U116">
        <f>IF(K116="N",E116*35/SIN(RADIANS(J116)),IF(K116="Y",VLOOKUP(A116,Leonard2010!D:U,18,FALSE),IF(C116="NA",VLOOKUP(A116,MSSM_AdaptedSources!B:K,10,FALSE),"CHECK")))</f>
        <v>5403.5914327731907</v>
      </c>
      <c r="V116">
        <f>(1*VLOOKUP(A116,FaultGeometry!B:C,2,FALSE))-Q116-AA116</f>
        <v>0.75</v>
      </c>
      <c r="W116">
        <f>V116*(VLOOKUP(A116,FaultGeometry!B:Y,24,FALSE))</f>
        <v>5.6199711782289568E+16</v>
      </c>
      <c r="X116">
        <f>V116*3.3*10^10*U116*10^6*(1/T116)*VLOOKUP(A116,FaultGeometry!B:O,14,FALSE)*10^-3</f>
        <v>5.5878065468084704E+16</v>
      </c>
      <c r="Y116" t="str">
        <f t="shared" si="24"/>
        <v>NA</v>
      </c>
      <c r="Z116" t="str">
        <f>IF(C116="NA","NA",VLOOKUP(C116,MSSM_AdaptedSources!B:K,10,FALSE))</f>
        <v>NA</v>
      </c>
      <c r="AA116" t="str">
        <f>IF(C116="NA","0",VLOOKUP(C116,MultiFaultGeometry!B:C,2,FALSE)*IF(B116="NA",X$278/(X$278+X$276),X$278))</f>
        <v>0</v>
      </c>
      <c r="AB116">
        <f>AA116*IF(C116="NA",0,VLOOKUP(C116,MultiFaultGeometry!B:O,14,FALSE))</f>
        <v>0</v>
      </c>
      <c r="AC116">
        <f>IF(AB116=0,0,AA116*3.3*10^10*Z116*10^6*(1/Y116)*VLOOKUP(C116,MultiFaultGeometry!B:G,5,FALSE)*10^-3)</f>
        <v>0</v>
      </c>
      <c r="AE116" s="68">
        <f t="shared" si="20"/>
        <v>0</v>
      </c>
      <c r="AF116" s="68">
        <f t="shared" si="21"/>
        <v>0</v>
      </c>
      <c r="AG116" s="68"/>
    </row>
    <row r="117" spans="1:33" x14ac:dyDescent="0.2">
      <c r="A117" s="68" t="str">
        <f>Leonard2010!D119</f>
        <v>Makanjira</v>
      </c>
      <c r="B117" s="68" t="str">
        <f>Leonard2010!E119</f>
        <v>Makanjira Link-3</v>
      </c>
      <c r="C117" s="68" t="str">
        <f>Leonard2010!F119</f>
        <v>NA</v>
      </c>
      <c r="D117">
        <f>IF(B117="NA","NA",VLOOKUP(B117,Leonard2010!E:H,3,FALSE))</f>
        <v>3.6</v>
      </c>
      <c r="E117">
        <f>IF(A117="NA","NA",VLOOKUP(A117,Leonard2010!D:I,6,FALSE))</f>
        <v>123.29999999999998</v>
      </c>
      <c r="F117" t="str">
        <f>IF(C117="NA","NA",VLOOKUP(C117,Leonard2010!F:K,6,FALSE))</f>
        <v>NA</v>
      </c>
      <c r="G117">
        <f>IF(B117="NA","NA",VLOOKUP(B117,Leonard2010!E:H,4,FALSE))</f>
        <v>146</v>
      </c>
      <c r="H117">
        <f>IF(A117="NA","NA",VLOOKUP(A117,Leonard2010!D:J,7,FALSE))</f>
        <v>177</v>
      </c>
      <c r="I117" t="str">
        <f>IF(C117="NA","NA",VLOOKUP(C117,Leonard2010!F:L,7,FALSE))</f>
        <v>NA</v>
      </c>
      <c r="J117">
        <f>IF(A117="NA","NA",VLOOKUP(A117,Leonard2010!D:N,11,FALSE))</f>
        <v>53</v>
      </c>
      <c r="K117" t="s">
        <v>211</v>
      </c>
      <c r="L117">
        <f>VLOOKUP(A117,Leonard2010!D:AJ,32,FALSE)</f>
        <v>46</v>
      </c>
      <c r="M117">
        <f>VLOOKUP($A117,Leonard2010!D:AK,33,FALSE)</f>
        <v>73</v>
      </c>
      <c r="N117">
        <f>VLOOKUP($A117,Leonard2010!D:AL,34,FALSE)</f>
        <v>100</v>
      </c>
      <c r="O117">
        <f t="shared" si="15"/>
        <v>0.95630475596303555</v>
      </c>
      <c r="P117">
        <f t="shared" si="27"/>
        <v>157.76909292768443</v>
      </c>
      <c r="Q117">
        <f>IF(B117="NA","0",VLOOKUP(B117,SectionGeometry!C:E,3,FALSE)*IF(C117="NA",X$277/(X$277+X$276),X$277))</f>
        <v>0.25</v>
      </c>
      <c r="R117">
        <f>Q117*IF(B117="NA",0,((VLOOKUP(B117,SectionGeometry!C:Z,24,FALSE))))</f>
        <v>0</v>
      </c>
      <c r="S117">
        <f>IF(R117=0,0,Q117*3.3*10^10*P117*10^6*(1/O117)*VLOOKUP(B117,SectionGeometry!C:AA,25,FALSE)*10^-3)</f>
        <v>0</v>
      </c>
      <c r="T117">
        <f t="shared" si="19"/>
        <v>0.97029572627599647</v>
      </c>
      <c r="U117">
        <f>IF(K117="N",E117*35/SIN(RADIANS(J117)),IF(K117="Y",VLOOKUP(A117,Leonard2010!D:U,18,FALSE),IF(C117="NA",VLOOKUP(A117,MSSM_AdaptedSources!B:K,10,FALSE),"CHECK")))</f>
        <v>5403.5914327731907</v>
      </c>
      <c r="V117">
        <f>(1*VLOOKUP(A117,FaultGeometry!B:C,2,FALSE))-Q117-AA117</f>
        <v>0.75</v>
      </c>
      <c r="W117">
        <f>V117*(VLOOKUP(A117,FaultGeometry!B:Y,24,FALSE))</f>
        <v>5.6199711782289568E+16</v>
      </c>
      <c r="X117">
        <f>V117*3.3*10^10*U117*10^6*(1/T117)*VLOOKUP(A117,FaultGeometry!B:O,14,FALSE)*10^-3</f>
        <v>5.5878065468084704E+16</v>
      </c>
      <c r="Y117" t="str">
        <f t="shared" si="24"/>
        <v>NA</v>
      </c>
      <c r="Z117" t="str">
        <f>IF(C117="NA","NA",VLOOKUP(C117,MSSM_AdaptedSources!B:K,10,FALSE))</f>
        <v>NA</v>
      </c>
      <c r="AA117" t="str">
        <f>IF(C117="NA","0",VLOOKUP(C117,MultiFaultGeometry!B:C,2,FALSE)*IF(B117="NA",X$278/(X$278+X$276),X$278))</f>
        <v>0</v>
      </c>
      <c r="AB117">
        <f>AA117*IF(C117="NA",0,VLOOKUP(C117,MultiFaultGeometry!B:O,14,FALSE))</f>
        <v>0</v>
      </c>
      <c r="AC117">
        <f>IF(AB117=0,0,AA117*3.3*10^10*Z117*10^6*(1/Y117)*VLOOKUP(C117,MultiFaultGeometry!B:G,5,FALSE)*10^-3)</f>
        <v>0</v>
      </c>
      <c r="AE117" s="68">
        <f t="shared" si="20"/>
        <v>0</v>
      </c>
      <c r="AF117" s="68">
        <f t="shared" si="21"/>
        <v>0</v>
      </c>
      <c r="AG117" s="68"/>
    </row>
    <row r="118" spans="1:33" x14ac:dyDescent="0.2">
      <c r="A118" s="68" t="str">
        <f>Leonard2010!D120</f>
        <v>Makanjira</v>
      </c>
      <c r="B118" s="68" t="str">
        <f>Leonard2010!E120</f>
        <v>Makanjira Chembe</v>
      </c>
      <c r="C118" s="68" t="str">
        <f>Leonard2010!F120</f>
        <v>NA</v>
      </c>
      <c r="D118">
        <f>IF(B118="NA","NA",VLOOKUP(B118,Leonard2010!E:H,3,FALSE))</f>
        <v>12.7</v>
      </c>
      <c r="E118">
        <f>IF(A118="NA","NA",VLOOKUP(A118,Leonard2010!D:I,6,FALSE))</f>
        <v>123.29999999999998</v>
      </c>
      <c r="F118" t="str">
        <f>IF(C118="NA","NA",VLOOKUP(C118,Leonard2010!F:K,6,FALSE))</f>
        <v>NA</v>
      </c>
      <c r="G118">
        <f>IF(B118="NA","NA",VLOOKUP(B118,Leonard2010!E:H,4,FALSE))</f>
        <v>156</v>
      </c>
      <c r="H118">
        <f>IF(A118="NA","NA",VLOOKUP(A118,Leonard2010!D:J,7,FALSE))</f>
        <v>177</v>
      </c>
      <c r="I118" t="str">
        <f>IF(C118="NA","NA",VLOOKUP(C118,Leonard2010!F:L,7,FALSE))</f>
        <v>NA</v>
      </c>
      <c r="J118">
        <f>IF(A118="NA","NA",VLOOKUP(A118,Leonard2010!D:N,11,FALSE))</f>
        <v>53</v>
      </c>
      <c r="K118" t="s">
        <v>211</v>
      </c>
      <c r="L118">
        <f>VLOOKUP(A118,Leonard2010!D:AJ,32,FALSE)</f>
        <v>46</v>
      </c>
      <c r="M118">
        <f>VLOOKUP($A118,Leonard2010!D:AK,33,FALSE)</f>
        <v>73</v>
      </c>
      <c r="N118">
        <f>VLOOKUP($A118,Leonard2010!D:AL,34,FALSE)</f>
        <v>100</v>
      </c>
      <c r="O118">
        <f t="shared" si="15"/>
        <v>0.93969262078590843</v>
      </c>
      <c r="P118">
        <f t="shared" si="27"/>
        <v>556.57430005044228</v>
      </c>
      <c r="Q118">
        <f>IF(B118="NA","0",VLOOKUP(B118,SectionGeometry!C:E,3,FALSE)*IF(C118="NA",X$277/(X$277+X$276),X$277))</f>
        <v>0.25</v>
      </c>
      <c r="R118">
        <f>Q118*IF(B118="NA",0,((VLOOKUP(B118,SectionGeometry!C:Z,24,FALSE))))</f>
        <v>387094247672292.44</v>
      </c>
      <c r="S118">
        <f>IF(R118=0,0,Q118*3.3*10^10*P118*10^6*(1/O118)*VLOOKUP(B118,SectionGeometry!C:AA,25,FALSE)*10^-3)</f>
        <v>2028816351024922</v>
      </c>
      <c r="T118">
        <f t="shared" si="19"/>
        <v>0.97029572627599647</v>
      </c>
      <c r="U118">
        <f>IF(K118="N",E118*35/SIN(RADIANS(J118)),IF(K118="Y",VLOOKUP(A118,Leonard2010!D:U,18,FALSE),IF(C118="NA",VLOOKUP(A118,MSSM_AdaptedSources!B:K,10,FALSE),"CHECK")))</f>
        <v>5403.5914327731907</v>
      </c>
      <c r="V118">
        <f>(1*VLOOKUP(A118,FaultGeometry!B:C,2,FALSE))-Q118-AA118</f>
        <v>0.75</v>
      </c>
      <c r="W118">
        <f>V118*(VLOOKUP(A118,FaultGeometry!B:Y,24,FALSE))</f>
        <v>5.6199711782289568E+16</v>
      </c>
      <c r="X118">
        <f>V118*3.3*10^10*U118*10^6*(1/T118)*VLOOKUP(A118,FaultGeometry!B:O,14,FALSE)*10^-3</f>
        <v>5.5878065468084704E+16</v>
      </c>
      <c r="Y118" t="str">
        <f t="shared" si="24"/>
        <v>NA</v>
      </c>
      <c r="Z118" t="str">
        <f>IF(C118="NA","NA",VLOOKUP(C118,MSSM_AdaptedSources!B:K,10,FALSE))</f>
        <v>NA</v>
      </c>
      <c r="AA118" t="str">
        <f>IF(C118="NA","0",VLOOKUP(C118,MultiFaultGeometry!B:C,2,FALSE)*IF(B118="NA",X$278/(X$278+X$276),X$278))</f>
        <v>0</v>
      </c>
      <c r="AB118">
        <f>AA118*IF(C118="NA",0,VLOOKUP(C118,MultiFaultGeometry!B:O,14,FALSE))</f>
        <v>0</v>
      </c>
      <c r="AC118">
        <f>IF(AB118=0,0,AA118*3.3*10^10*Z118*10^6*(1/Y118)*VLOOKUP(C118,MultiFaultGeometry!B:G,5,FALSE)*10^-3)</f>
        <v>0</v>
      </c>
      <c r="AE118" s="68">
        <f t="shared" si="20"/>
        <v>0</v>
      </c>
      <c r="AF118" s="68">
        <f t="shared" si="21"/>
        <v>0</v>
      </c>
      <c r="AG118" s="68"/>
    </row>
    <row r="119" spans="1:33" x14ac:dyDescent="0.2">
      <c r="A119" s="68" t="str">
        <f>Leonard2010!D121</f>
        <v>Makanjira</v>
      </c>
      <c r="B119" s="68" t="str">
        <f>Leonard2010!E121</f>
        <v>Makanjira Gome</v>
      </c>
      <c r="C119" s="68" t="str">
        <f>Leonard2010!F121</f>
        <v>NA</v>
      </c>
      <c r="D119">
        <f>IF(B119="NA","NA",VLOOKUP(B119,Leonard2010!E:H,3,FALSE))</f>
        <v>8.6999999999999993</v>
      </c>
      <c r="E119">
        <f>IF(A119="NA","NA",VLOOKUP(A119,Leonard2010!D:I,6,FALSE))</f>
        <v>123.29999999999998</v>
      </c>
      <c r="F119" t="str">
        <f>IF(C119="NA","NA",VLOOKUP(C119,Leonard2010!F:K,6,FALSE))</f>
        <v>NA</v>
      </c>
      <c r="G119">
        <f>IF(B119="NA","NA",VLOOKUP(B119,Leonard2010!E:H,4,FALSE))</f>
        <v>146</v>
      </c>
      <c r="H119">
        <f>IF(A119="NA","NA",VLOOKUP(A119,Leonard2010!D:J,7,FALSE))</f>
        <v>177</v>
      </c>
      <c r="I119" t="str">
        <f>IF(C119="NA","NA",VLOOKUP(C119,Leonard2010!F:L,7,FALSE))</f>
        <v>NA</v>
      </c>
      <c r="J119">
        <f>IF(A119="NA","NA",VLOOKUP(A119,Leonard2010!D:N,11,FALSE))</f>
        <v>53</v>
      </c>
      <c r="K119" t="s">
        <v>211</v>
      </c>
      <c r="L119">
        <f>VLOOKUP(A119,Leonard2010!D:AJ,32,FALSE)</f>
        <v>46</v>
      </c>
      <c r="M119">
        <f>VLOOKUP($A119,Leonard2010!D:AK,33,FALSE)</f>
        <v>73</v>
      </c>
      <c r="N119">
        <f>VLOOKUP($A119,Leonard2010!D:AL,34,FALSE)</f>
        <v>100</v>
      </c>
      <c r="O119">
        <f t="shared" si="15"/>
        <v>0.95630475596303555</v>
      </c>
      <c r="P119">
        <f t="shared" si="27"/>
        <v>381.27530790857071</v>
      </c>
      <c r="Q119">
        <f>IF(B119="NA","0",VLOOKUP(B119,SectionGeometry!C:E,3,FALSE)*IF(C119="NA",X$277/(X$277+X$276),X$277))</f>
        <v>0.25</v>
      </c>
      <c r="R119">
        <f>Q119*IF(B119="NA",0,((VLOOKUP(B119,SectionGeometry!C:Z,24,FALSE))))</f>
        <v>200066071764791.84</v>
      </c>
      <c r="S119">
        <f>IF(R119=0,0,Q119*3.3*10^10*P119*10^6*(1/O119)*VLOOKUP(B119,SectionGeometry!C:AA,25,FALSE)*10^-3)</f>
        <v>1322711933686025.5</v>
      </c>
      <c r="T119">
        <f t="shared" si="19"/>
        <v>0.97029572627599647</v>
      </c>
      <c r="U119">
        <f>IF(K119="N",E119*35/SIN(RADIANS(J119)),IF(K119="Y",VLOOKUP(A119,Leonard2010!D:U,18,FALSE),IF(C119="NA",VLOOKUP(A119,MSSM_AdaptedSources!B:K,10,FALSE),"CHECK")))</f>
        <v>5403.5914327731907</v>
      </c>
      <c r="V119">
        <f>(1*VLOOKUP(A119,FaultGeometry!B:C,2,FALSE))-Q119-AA119</f>
        <v>0.75</v>
      </c>
      <c r="W119">
        <f>V119*(VLOOKUP(A119,FaultGeometry!B:Y,24,FALSE))</f>
        <v>5.6199711782289568E+16</v>
      </c>
      <c r="X119">
        <f>V119*3.3*10^10*U119*10^6*(1/T119)*VLOOKUP(A119,FaultGeometry!B:O,14,FALSE)*10^-3</f>
        <v>5.5878065468084704E+16</v>
      </c>
      <c r="Y119" t="str">
        <f t="shared" si="24"/>
        <v>NA</v>
      </c>
      <c r="Z119" t="str">
        <f>IF(C119="NA","NA",VLOOKUP(C119,MSSM_AdaptedSources!B:K,10,FALSE))</f>
        <v>NA</v>
      </c>
      <c r="AA119" t="str">
        <f>IF(C119="NA","0",VLOOKUP(C119,MultiFaultGeometry!B:C,2,FALSE)*IF(B119="NA",X$278/(X$278+X$276),X$278))</f>
        <v>0</v>
      </c>
      <c r="AB119">
        <f>AA119*IF(C119="NA",0,VLOOKUP(C119,MultiFaultGeometry!B:O,14,FALSE))</f>
        <v>0</v>
      </c>
      <c r="AC119">
        <f>IF(AB119=0,0,AA119*3.3*10^10*Z119*10^6*(1/Y119)*VLOOKUP(C119,MultiFaultGeometry!B:G,5,FALSE)*10^-3)</f>
        <v>0</v>
      </c>
      <c r="AE119" s="68">
        <f t="shared" si="20"/>
        <v>0</v>
      </c>
      <c r="AF119" s="68">
        <f t="shared" si="21"/>
        <v>0</v>
      </c>
      <c r="AG119" s="68"/>
    </row>
    <row r="120" spans="1:33" x14ac:dyDescent="0.2">
      <c r="A120" s="68" t="str">
        <f>Leonard2010!D122</f>
        <v>Makanjira</v>
      </c>
      <c r="B120" s="68" t="str">
        <f>Leonard2010!E122</f>
        <v>Makanjira Malindi</v>
      </c>
      <c r="C120" s="68" t="str">
        <f>Leonard2010!F122</f>
        <v>NA</v>
      </c>
      <c r="D120">
        <f>IF(B120="NA","NA",VLOOKUP(B120,Leonard2010!E:H,3,FALSE))</f>
        <v>21.9</v>
      </c>
      <c r="E120">
        <f>IF(A120="NA","NA",VLOOKUP(A120,Leonard2010!D:I,6,FALSE))</f>
        <v>123.29999999999998</v>
      </c>
      <c r="F120" t="str">
        <f>IF(C120="NA","NA",VLOOKUP(C120,Leonard2010!F:K,6,FALSE))</f>
        <v>NA</v>
      </c>
      <c r="G120">
        <f>IF(B120="NA","NA",VLOOKUP(B120,Leonard2010!E:H,4,FALSE))</f>
        <v>176</v>
      </c>
      <c r="H120">
        <f>IF(A120="NA","NA",VLOOKUP(A120,Leonard2010!D:J,7,FALSE))</f>
        <v>177</v>
      </c>
      <c r="I120" t="str">
        <f>IF(C120="NA","NA",VLOOKUP(C120,Leonard2010!F:L,7,FALSE))</f>
        <v>NA</v>
      </c>
      <c r="J120">
        <f>IF(A120="NA","NA",VLOOKUP(A120,Leonard2010!D:N,11,FALSE))</f>
        <v>53</v>
      </c>
      <c r="K120" t="s">
        <v>211</v>
      </c>
      <c r="L120">
        <f>VLOOKUP(A120,Leonard2010!D:AJ,32,FALSE)</f>
        <v>46</v>
      </c>
      <c r="M120">
        <f>VLOOKUP($A120,Leonard2010!D:AK,33,FALSE)</f>
        <v>73</v>
      </c>
      <c r="N120">
        <f>VLOOKUP($A120,Leonard2010!D:AL,34,FALSE)</f>
        <v>100</v>
      </c>
      <c r="O120">
        <f t="shared" si="15"/>
        <v>0.97029572627599647</v>
      </c>
      <c r="P120">
        <f t="shared" si="27"/>
        <v>959.76198197674694</v>
      </c>
      <c r="Q120">
        <f>IF(B120="NA","0",VLOOKUP(B120,SectionGeometry!C:E,3,FALSE)*IF(C120="NA",X$277/(X$277+X$276),X$277))</f>
        <v>0.25</v>
      </c>
      <c r="R120">
        <f>Q120*IF(B120="NA",0,((VLOOKUP(B120,SectionGeometry!C:Z,24,FALSE))))</f>
        <v>960153651181945.5</v>
      </c>
      <c r="S120">
        <f>IF(R120=0,0,Q120*3.3*10^10*P120*10^6*(1/O120)*VLOOKUP(B120,SectionGeometry!C:AA,25,FALSE)*10^-3)</f>
        <v>3321532458684205</v>
      </c>
      <c r="T120">
        <f t="shared" si="19"/>
        <v>0.97029572627599647</v>
      </c>
      <c r="U120">
        <f>IF(K120="N",E120*35/SIN(RADIANS(J120)),IF(K120="Y",VLOOKUP(A120,Leonard2010!D:U,18,FALSE),IF(C120="NA",VLOOKUP(A120,MSSM_AdaptedSources!B:K,10,FALSE),"CHECK")))</f>
        <v>5403.5914327731907</v>
      </c>
      <c r="V120">
        <f>(1*VLOOKUP(A120,FaultGeometry!B:C,2,FALSE))-Q120-AA120</f>
        <v>0.75</v>
      </c>
      <c r="W120">
        <f>V120*(VLOOKUP(A120,FaultGeometry!B:Y,24,FALSE))</f>
        <v>5.6199711782289568E+16</v>
      </c>
      <c r="X120">
        <f>V120*3.3*10^10*U120*10^6*(1/T120)*VLOOKUP(A120,FaultGeometry!B:O,14,FALSE)*10^-3</f>
        <v>5.5878065468084704E+16</v>
      </c>
      <c r="Y120" t="str">
        <f t="shared" si="24"/>
        <v>NA</v>
      </c>
      <c r="Z120" t="str">
        <f>IF(C120="NA","NA",VLOOKUP(C120,MSSM_AdaptedSources!B:K,10,FALSE))</f>
        <v>NA</v>
      </c>
      <c r="AA120" t="str">
        <f>IF(C120="NA","0",VLOOKUP(C120,MultiFaultGeometry!B:C,2,FALSE)*IF(B120="NA",X$278/(X$278+X$276),X$278))</f>
        <v>0</v>
      </c>
      <c r="AB120">
        <f>AA120*IF(C120="NA",0,VLOOKUP(C120,MultiFaultGeometry!B:O,14,FALSE))</f>
        <v>0</v>
      </c>
      <c r="AC120">
        <f>IF(AB120=0,0,AA120*3.3*10^10*Z120*10^6*(1/Y120)*VLOOKUP(C120,MultiFaultGeometry!B:G,5,FALSE)*10^-3)</f>
        <v>0</v>
      </c>
      <c r="AE120" s="68">
        <f t="shared" si="20"/>
        <v>5.6199711782289568E+16</v>
      </c>
      <c r="AF120" s="68">
        <f t="shared" si="21"/>
        <v>5.5878065468084704E+16</v>
      </c>
      <c r="AG120" s="68"/>
    </row>
    <row r="121" spans="1:33" x14ac:dyDescent="0.2">
      <c r="A121" s="68" t="str">
        <f>Leonard2010!D123</f>
        <v>Cassimo</v>
      </c>
      <c r="B121" s="68" t="str">
        <f>Leonard2010!E123</f>
        <v>NA</v>
      </c>
      <c r="C121" s="68" t="str">
        <f>Leonard2010!F123</f>
        <v>NA</v>
      </c>
      <c r="D121" t="str">
        <f>IF(B121="NA","NA",VLOOKUP(B121,Leonard2010!E:H,3,FALSE))</f>
        <v>NA</v>
      </c>
      <c r="E121">
        <f>IF(A121="NA","NA",VLOOKUP(A121,Leonard2010!D:I,6,FALSE))</f>
        <v>17.399999999999999</v>
      </c>
      <c r="F121" t="str">
        <f>IF(C121="NA","NA",VLOOKUP(C121,Leonard2010!F:K,6,FALSE))</f>
        <v>NA</v>
      </c>
      <c r="G121" t="str">
        <f>IF(B121="NA","NA",VLOOKUP(B121,Leonard2010!E:H,4,FALSE))</f>
        <v>NA</v>
      </c>
      <c r="H121">
        <f>IF(A121="NA","NA",VLOOKUP(A121,Leonard2010!D:J,7,FALSE))</f>
        <v>351</v>
      </c>
      <c r="I121" t="str">
        <f>IF(C121="NA","NA",VLOOKUP(C121,Leonard2010!F:L,7,FALSE))</f>
        <v>NA</v>
      </c>
      <c r="J121">
        <f>IF(A121="NA","NA",VLOOKUP(A121,Leonard2010!D:N,11,FALSE))</f>
        <v>53</v>
      </c>
      <c r="K121" t="s">
        <v>308</v>
      </c>
      <c r="L121">
        <f>VLOOKUP(A121,Leonard2010!D:AJ,32,FALSE)</f>
        <v>52</v>
      </c>
      <c r="M121">
        <f>VLOOKUP($A121,Leonard2010!D:AK,33,FALSE)</f>
        <v>74</v>
      </c>
      <c r="N121">
        <f>VLOOKUP($A121,Leonard2010!D:AL,34,FALSE)</f>
        <v>96</v>
      </c>
      <c r="O121" t="str">
        <f t="shared" si="15"/>
        <v>NA</v>
      </c>
      <c r="P121" t="str">
        <f t="shared" si="27"/>
        <v>NA</v>
      </c>
      <c r="Q121" t="str">
        <f>IF(B121="NA","0",VLOOKUP(B121,SectionGeometry!C:E,3,FALSE)*IF(C121="NA",X$277/(X$277+X$276),X$277))</f>
        <v>0</v>
      </c>
      <c r="R121">
        <f>Q121*IF(B121="NA",0,((VLOOKUP(B121,SectionGeometry!C:Z,24,FALSE))))</f>
        <v>0</v>
      </c>
      <c r="S121">
        <f>IF(R121=0,0,Q121*3.3*10^10*P121*10^6*(1/O121)*VLOOKUP(B121,SectionGeometry!C:AA,25,FALSE)*10^-3)</f>
        <v>0</v>
      </c>
      <c r="T121">
        <f t="shared" si="19"/>
        <v>0.96592582628906831</v>
      </c>
      <c r="U121">
        <f>IF(K121="N",E121*35/SIN(RADIANS(J121)),IF(K121="Y",VLOOKUP(A121,Leonard2010!D:U,18,FALSE),IF(C121="NA",VLOOKUP(A121,MSSM_AdaptedSources!B:K,10,FALSE),"CHECK")))</f>
        <v>184</v>
      </c>
      <c r="V121">
        <f>(1*VLOOKUP(A121,FaultGeometry!B:C,2,FALSE))-Q121-AA121</f>
        <v>1</v>
      </c>
      <c r="W121">
        <f>V121*(VLOOKUP(A121,FaultGeometry!B:Y,24,FALSE))</f>
        <v>484349839916351.81</v>
      </c>
      <c r="X121">
        <f>V121*3.3*10^10*U121*10^6*(1/T121)*VLOOKUP(A121,FaultGeometry!B:O,14,FALSE)*10^-3</f>
        <v>500584812868416.25</v>
      </c>
      <c r="Y121" t="str">
        <f t="shared" si="24"/>
        <v>NA</v>
      </c>
      <c r="Z121" t="str">
        <f>IF(C121="NA","NA",VLOOKUP(C121,MSSM_AdaptedSources!B:K,10,FALSE))</f>
        <v>NA</v>
      </c>
      <c r="AA121" t="str">
        <f>IF(C121="NA","0",VLOOKUP(C121,MultiFaultGeometry!B:C,2,FALSE)*IF(B121="NA",X$278/(X$278+X$276),X$278))</f>
        <v>0</v>
      </c>
      <c r="AB121">
        <f>AA121*IF(C121="NA",0,VLOOKUP(C121,MultiFaultGeometry!B:O,14,FALSE))</f>
        <v>0</v>
      </c>
      <c r="AC121">
        <f>IF(AB121=0,0,AA121*3.3*10^10*Z121*10^6*(1/Y121)*VLOOKUP(C121,MultiFaultGeometry!B:G,5,FALSE)*10^-3)</f>
        <v>0</v>
      </c>
      <c r="AE121" s="68">
        <f t="shared" si="20"/>
        <v>484349839916351.81</v>
      </c>
      <c r="AF121" s="68">
        <f t="shared" si="21"/>
        <v>500584812868416.25</v>
      </c>
      <c r="AG121" s="68"/>
    </row>
    <row r="122" spans="1:33" x14ac:dyDescent="0.2">
      <c r="A122" s="68" t="str">
        <f>Leonard2010!D124</f>
        <v>Leopard Bay-1</v>
      </c>
      <c r="B122" s="68" t="str">
        <f>Leonard2010!E124</f>
        <v>NA</v>
      </c>
      <c r="C122" s="68" t="str">
        <f>Leonard2010!F124</f>
        <v>NA</v>
      </c>
      <c r="D122" t="str">
        <f>IF(B122="NA","NA",VLOOKUP(B122,Leonard2010!E:H,3,FALSE))</f>
        <v>NA</v>
      </c>
      <c r="E122">
        <f>IF(A122="NA","NA",VLOOKUP(A122,Leonard2010!D:I,6,FALSE))</f>
        <v>7</v>
      </c>
      <c r="F122" t="str">
        <f>IF(C122="NA","NA",VLOOKUP(C122,Leonard2010!F:K,6,FALSE))</f>
        <v>NA</v>
      </c>
      <c r="G122" t="str">
        <f>IF(B122="NA","NA",VLOOKUP(B122,Leonard2010!E:H,4,FALSE))</f>
        <v>NA</v>
      </c>
      <c r="H122">
        <f>IF(A122="NA","NA",VLOOKUP(A122,Leonard2010!D:J,7,FALSE))</f>
        <v>163</v>
      </c>
      <c r="I122" t="str">
        <f>IF(C122="NA","NA",VLOOKUP(C122,Leonard2010!F:L,7,FALSE))</f>
        <v>NA</v>
      </c>
      <c r="J122">
        <f>IF(A122="NA","NA",VLOOKUP(A122,Leonard2010!D:N,11,FALSE))</f>
        <v>53</v>
      </c>
      <c r="K122" t="s">
        <v>211</v>
      </c>
      <c r="L122">
        <f>VLOOKUP(A122,Leonard2010!D:AJ,32,FALSE)</f>
        <v>52</v>
      </c>
      <c r="M122">
        <f>VLOOKUP($A122,Leonard2010!D:AK,33,FALSE)</f>
        <v>74</v>
      </c>
      <c r="N122">
        <f>VLOOKUP($A122,Leonard2010!D:AL,34,FALSE)</f>
        <v>96</v>
      </c>
      <c r="O122" t="str">
        <f t="shared" si="15"/>
        <v>NA</v>
      </c>
      <c r="P122" t="str">
        <f t="shared" si="27"/>
        <v>NA</v>
      </c>
      <c r="Q122" t="str">
        <f>IF(B122="NA","0",VLOOKUP(B122,SectionGeometry!C:E,3,FALSE)*IF(C122="NA",X$277/(X$277+X$276),X$277))</f>
        <v>0</v>
      </c>
      <c r="R122">
        <f>Q122*IF(B122="NA",0,((VLOOKUP(B122,SectionGeometry!C:Z,24,FALSE))))</f>
        <v>0</v>
      </c>
      <c r="S122">
        <f>IF(R122=0,0,Q122*3.3*10^10*P122*10^6*(1/O122)*VLOOKUP(B122,SectionGeometry!C:AA,25,FALSE)*10^-3)</f>
        <v>0</v>
      </c>
      <c r="T122">
        <f t="shared" si="19"/>
        <v>0.93358042649720163</v>
      </c>
      <c r="U122">
        <f>IF(K122="N",E122*35/SIN(RADIANS(J122)),IF(K122="Y",VLOOKUP(A122,Leonard2010!D:U,18,FALSE),IF(C122="NA",VLOOKUP(A122,MSSM_AdaptedSources!B:K,10,FALSE),"CHECK")))</f>
        <v>306.77323624827528</v>
      </c>
      <c r="V122">
        <f>(1*VLOOKUP(A122,FaultGeometry!B:C,2,FALSE))-Q122-AA122</f>
        <v>1</v>
      </c>
      <c r="W122">
        <f>V122*(VLOOKUP(A122,FaultGeometry!B:Y,24,FALSE))</f>
        <v>118562921917991.12</v>
      </c>
      <c r="X122">
        <f>V122*3.3*10^10*U122*10^6*(1/T122)*VLOOKUP(A122,FaultGeometry!B:O,14,FALSE)*10^-3</f>
        <v>877059024091467.88</v>
      </c>
      <c r="Y122" t="str">
        <f t="shared" si="24"/>
        <v>NA</v>
      </c>
      <c r="Z122" t="str">
        <f>IF(C122="NA","NA",VLOOKUP(C122,MSSM_AdaptedSources!B:K,10,FALSE))</f>
        <v>NA</v>
      </c>
      <c r="AA122" t="str">
        <f>IF(C122="NA","0",VLOOKUP(C122,MultiFaultGeometry!B:C,2,FALSE)*IF(B122="NA",X$278/(X$278+X$276),X$278))</f>
        <v>0</v>
      </c>
      <c r="AB122">
        <f>AA122*IF(C122="NA",0,VLOOKUP(C122,MultiFaultGeometry!B:O,14,FALSE))</f>
        <v>0</v>
      </c>
      <c r="AC122">
        <f>IF(AB122=0,0,AA122*3.3*10^10*Z122*10^6*(1/Y122)*VLOOKUP(C122,MultiFaultGeometry!B:G,5,FALSE)*10^-3)</f>
        <v>0</v>
      </c>
      <c r="AE122" s="68">
        <f t="shared" si="20"/>
        <v>118562921917991.12</v>
      </c>
      <c r="AF122" s="68">
        <f t="shared" si="21"/>
        <v>877059024091467.88</v>
      </c>
      <c r="AG122" s="68"/>
    </row>
    <row r="123" spans="1:33" x14ac:dyDescent="0.2">
      <c r="A123" s="68" t="str">
        <f>Leonard2010!D125</f>
        <v>Metangula-1</v>
      </c>
      <c r="B123" s="68" t="str">
        <f>Leonard2010!E125</f>
        <v>Metangula South-1</v>
      </c>
      <c r="C123" s="68" t="str">
        <f>Leonard2010!F125</f>
        <v>NA</v>
      </c>
      <c r="D123">
        <f>IF(B123="NA","NA",VLOOKUP(B123,Leonard2010!E:H,3,FALSE))</f>
        <v>42.3</v>
      </c>
      <c r="E123">
        <f>IF(A123="NA","NA",VLOOKUP(A123,Leonard2010!D:I,6,FALSE))</f>
        <v>86.5</v>
      </c>
      <c r="F123" t="str">
        <f>IF(C123="NA","NA",VLOOKUP(C123,Leonard2010!F:K,6,FALSE))</f>
        <v>NA</v>
      </c>
      <c r="G123">
        <f>IF(B123="NA","NA",VLOOKUP(B123,Leonard2010!E:H,4,FALSE))</f>
        <v>141</v>
      </c>
      <c r="H123">
        <f>IF(A123="NA","NA",VLOOKUP(A123,Leonard2010!D:J,7,FALSE))</f>
        <v>159</v>
      </c>
      <c r="I123" t="str">
        <f>IF(C123="NA","NA",VLOOKUP(C123,Leonard2010!F:L,7,FALSE))</f>
        <v>NA</v>
      </c>
      <c r="J123">
        <f>IF(A123="NA","NA",VLOOKUP(A123,Leonard2010!D:N,11,FALSE))</f>
        <v>53</v>
      </c>
      <c r="K123" t="s">
        <v>211</v>
      </c>
      <c r="L123">
        <f>VLOOKUP(A123,Leonard2010!D:AJ,32,FALSE)</f>
        <v>52</v>
      </c>
      <c r="M123">
        <f>VLOOKUP($A123,Leonard2010!D:AK,33,FALSE)</f>
        <v>74</v>
      </c>
      <c r="N123">
        <f>VLOOKUP($A123,Leonard2010!D:AL,34,FALSE)</f>
        <v>96</v>
      </c>
      <c r="O123">
        <f t="shared" si="15"/>
        <v>0.92050485345244037</v>
      </c>
      <c r="P123">
        <f t="shared" si="27"/>
        <v>1853.7868419002921</v>
      </c>
      <c r="Q123">
        <f>IF(B123="NA","0",VLOOKUP(B123,SectionGeometry!C:E,3,FALSE)*IF(C123="NA",X$277/(X$277+X$276),X$277))</f>
        <v>0.125</v>
      </c>
      <c r="R123">
        <f>Q123*IF(B123="NA",0,((VLOOKUP(B123,SectionGeometry!C:Z,24,FALSE))))</f>
        <v>849012890852389.75</v>
      </c>
      <c r="S123">
        <f>IF(R123=0,0,Q123*3.3*10^10*P123*10^6*(1/O123)*VLOOKUP(B123,SectionGeometry!C:AA,25,FALSE)*10^-3)</f>
        <v>4044901881625652.5</v>
      </c>
      <c r="T123">
        <f t="shared" si="19"/>
        <v>0.95630475596303544</v>
      </c>
      <c r="U123">
        <f>IF(K123="N",E123*35/SIN(RADIANS(J123)),IF(K123="Y",VLOOKUP(A123,Leonard2010!D:U,18,FALSE),IF(C123="NA",VLOOKUP(A123,MSSM_AdaptedSources!B:K,10,FALSE),"CHECK")))</f>
        <v>3790.8407050679734</v>
      </c>
      <c r="V123">
        <f>(1*VLOOKUP(A123,FaultGeometry!B:C,2,FALSE))-Q123-AA123</f>
        <v>0.375</v>
      </c>
      <c r="W123">
        <f>V123*(VLOOKUP(A123,FaultGeometry!B:Y,24,FALSE))</f>
        <v>9730665286802146</v>
      </c>
      <c r="X123">
        <f>V123*3.3*10^10*U123*10^6*(1/T123)*VLOOKUP(A123,FaultGeometry!B:O,14,FALSE)*10^-3</f>
        <v>2.5761175202732636E+16</v>
      </c>
      <c r="Y123" t="str">
        <f t="shared" si="24"/>
        <v>NA</v>
      </c>
      <c r="Z123" t="str">
        <f>IF(C123="NA","NA",VLOOKUP(C123,MSSM_AdaptedSources!B:K,10,FALSE))</f>
        <v>NA</v>
      </c>
      <c r="AA123" t="str">
        <f>IF(C123="NA","0",VLOOKUP(C123,MultiFaultGeometry!B:C,2,FALSE)*IF(B123="NA",X$278/(X$278+X$276),X$278))</f>
        <v>0</v>
      </c>
      <c r="AB123">
        <f>AA123*IF(C123="NA",0,VLOOKUP(C123,MultiFaultGeometry!B:O,14,FALSE))</f>
        <v>0</v>
      </c>
      <c r="AC123">
        <f>IF(AB123=0,0,AA123*3.3*10^10*Z123*10^6*(1/Y123)*VLOOKUP(C123,MultiFaultGeometry!B:G,5,FALSE)*10^-3)</f>
        <v>0</v>
      </c>
      <c r="AE123" s="68">
        <f t="shared" si="20"/>
        <v>0</v>
      </c>
      <c r="AF123" s="68">
        <f t="shared" si="21"/>
        <v>0</v>
      </c>
      <c r="AG123" s="68"/>
    </row>
    <row r="124" spans="1:33" x14ac:dyDescent="0.2">
      <c r="A124" s="68" t="str">
        <f>Leonard2010!D126</f>
        <v>Metangula-1</v>
      </c>
      <c r="B124" s="68" t="str">
        <f>Leonard2010!E126</f>
        <v>Metangula Link-1a</v>
      </c>
      <c r="C124" s="68" t="str">
        <f>Leonard2010!F126</f>
        <v>NA</v>
      </c>
      <c r="D124">
        <f>IF(B124="NA","NA",VLOOKUP(B124,Leonard2010!E:H,3,FALSE))</f>
        <v>8.1</v>
      </c>
      <c r="E124">
        <f>IF(A124="NA","NA",VLOOKUP(A124,Leonard2010!D:I,6,FALSE))</f>
        <v>86.5</v>
      </c>
      <c r="F124" t="str">
        <f>IF(C124="NA","NA",VLOOKUP(C124,Leonard2010!F:K,6,FALSE))</f>
        <v>NA</v>
      </c>
      <c r="G124">
        <f>IF(B124="NA","NA",VLOOKUP(B124,Leonard2010!E:H,4,FALSE))</f>
        <v>107</v>
      </c>
      <c r="H124">
        <f>IF(A124="NA","NA",VLOOKUP(A124,Leonard2010!D:J,7,FALSE))</f>
        <v>159</v>
      </c>
      <c r="I124" t="str">
        <f>IF(C124="NA","NA",VLOOKUP(C124,Leonard2010!F:L,7,FALSE))</f>
        <v>NA</v>
      </c>
      <c r="J124">
        <f>IF(A124="NA","NA",VLOOKUP(A124,Leonard2010!D:N,11,FALSE))</f>
        <v>53</v>
      </c>
      <c r="K124" t="s">
        <v>211</v>
      </c>
      <c r="L124">
        <f>VLOOKUP(A124,Leonard2010!D:AJ,32,FALSE)</f>
        <v>52</v>
      </c>
      <c r="M124">
        <f>VLOOKUP($A124,Leonard2010!D:AK,33,FALSE)</f>
        <v>74</v>
      </c>
      <c r="N124">
        <f>VLOOKUP($A124,Leonard2010!D:AL,34,FALSE)</f>
        <v>96</v>
      </c>
      <c r="O124">
        <f t="shared" si="15"/>
        <v>0.5446390350150272</v>
      </c>
      <c r="P124">
        <f t="shared" si="27"/>
        <v>354.98045908728994</v>
      </c>
      <c r="Q124">
        <f>IF(B124="NA","0",VLOOKUP(B124,SectionGeometry!C:E,3,FALSE)*IF(C124="NA",X$277/(X$277+X$276),X$277))</f>
        <v>0.125</v>
      </c>
      <c r="R124">
        <f>Q124*IF(B124="NA",0,((VLOOKUP(B124,SectionGeometry!C:Z,24,FALSE))))</f>
        <v>0</v>
      </c>
      <c r="S124">
        <f>IF(R124=0,0,Q124*3.3*10^10*P124*10^6*(1/O124)*VLOOKUP(B124,SectionGeometry!C:AA,25,FALSE)*10^-3)</f>
        <v>0</v>
      </c>
      <c r="T124">
        <f t="shared" si="19"/>
        <v>0.95630475596303544</v>
      </c>
      <c r="U124">
        <f>IF(K124="N",E124*35/SIN(RADIANS(J124)),IF(K124="Y",VLOOKUP(A124,Leonard2010!D:U,18,FALSE),IF(C124="NA",VLOOKUP(A124,MSSM_AdaptedSources!B:K,10,FALSE),"CHECK")))</f>
        <v>3790.8407050679734</v>
      </c>
      <c r="V124">
        <f>(1*VLOOKUP(A124,FaultGeometry!B:C,2,FALSE))-Q124-AA124</f>
        <v>0.375</v>
      </c>
      <c r="W124">
        <f>V124*(VLOOKUP(A124,FaultGeometry!B:Y,24,FALSE))</f>
        <v>9730665286802146</v>
      </c>
      <c r="X124">
        <f>V124*3.3*10^10*U124*10^6*(1/T124)*VLOOKUP(A124,FaultGeometry!B:O,14,FALSE)*10^-3</f>
        <v>2.5761175202732636E+16</v>
      </c>
      <c r="Y124" t="str">
        <f t="shared" si="24"/>
        <v>NA</v>
      </c>
      <c r="Z124" t="str">
        <f>IF(C124="NA","NA",VLOOKUP(C124,MSSM_AdaptedSources!B:K,10,FALSE))</f>
        <v>NA</v>
      </c>
      <c r="AA124" t="str">
        <f>IF(C124="NA","0",VLOOKUP(C124,MultiFaultGeometry!B:C,2,FALSE)*IF(B124="NA",X$278/(X$278+X$276),X$278))</f>
        <v>0</v>
      </c>
      <c r="AB124">
        <f>AA124*IF(C124="NA",0,VLOOKUP(C124,MultiFaultGeometry!B:O,14,FALSE))</f>
        <v>0</v>
      </c>
      <c r="AC124">
        <f>IF(AB124=0,0,AA124*3.3*10^10*Z124*10^6*(1/Y124)*VLOOKUP(C124,MultiFaultGeometry!B:G,5,FALSE)*10^-3)</f>
        <v>0</v>
      </c>
      <c r="AE124" s="68">
        <f t="shared" si="20"/>
        <v>0</v>
      </c>
      <c r="AF124" s="68">
        <f t="shared" si="21"/>
        <v>0</v>
      </c>
      <c r="AG124" s="68"/>
    </row>
    <row r="125" spans="1:33" x14ac:dyDescent="0.2">
      <c r="A125" s="68" t="str">
        <f>Leonard2010!D127</f>
        <v>Metangula-1</v>
      </c>
      <c r="B125" s="68" t="str">
        <f>Leonard2010!E127</f>
        <v>Metangula Lake-1</v>
      </c>
      <c r="C125" s="68" t="str">
        <f>Leonard2010!F127</f>
        <v>NA</v>
      </c>
      <c r="D125">
        <f>IF(B125="NA","NA",VLOOKUP(B125,Leonard2010!E:H,3,FALSE))</f>
        <v>12.4</v>
      </c>
      <c r="E125">
        <f>IF(A125="NA","NA",VLOOKUP(A125,Leonard2010!D:I,6,FALSE))</f>
        <v>86.5</v>
      </c>
      <c r="F125" t="str">
        <f>IF(C125="NA","NA",VLOOKUP(C125,Leonard2010!F:K,6,FALSE))</f>
        <v>NA</v>
      </c>
      <c r="G125">
        <f>IF(B125="NA","NA",VLOOKUP(B125,Leonard2010!E:H,4,FALSE))</f>
        <v>185</v>
      </c>
      <c r="H125">
        <f>IF(A125="NA","NA",VLOOKUP(A125,Leonard2010!D:J,7,FALSE))</f>
        <v>159</v>
      </c>
      <c r="I125" t="str">
        <f>IF(C125="NA","NA",VLOOKUP(C125,Leonard2010!F:L,7,FALSE))</f>
        <v>NA</v>
      </c>
      <c r="J125">
        <f>IF(A125="NA","NA",VLOOKUP(A125,Leonard2010!D:N,11,FALSE))</f>
        <v>53</v>
      </c>
      <c r="K125" t="s">
        <v>211</v>
      </c>
      <c r="L125">
        <f>VLOOKUP(A125,Leonard2010!D:AJ,32,FALSE)</f>
        <v>52</v>
      </c>
      <c r="M125">
        <f>VLOOKUP($A125,Leonard2010!D:AK,33,FALSE)</f>
        <v>74</v>
      </c>
      <c r="N125">
        <f>VLOOKUP($A125,Leonard2010!D:AL,34,FALSE)</f>
        <v>96</v>
      </c>
      <c r="O125">
        <f t="shared" si="15"/>
        <v>0.93358042649720163</v>
      </c>
      <c r="P125">
        <f t="shared" si="27"/>
        <v>543.42687563980201</v>
      </c>
      <c r="Q125">
        <f>IF(B125="NA","0",VLOOKUP(B125,SectionGeometry!C:E,3,FALSE)*IF(C125="NA",X$277/(X$277+X$276),X$277))</f>
        <v>0.125</v>
      </c>
      <c r="R125">
        <f>Q125*IF(B125="NA",0,((VLOOKUP(B125,SectionGeometry!C:Z,24,FALSE))))</f>
        <v>109979304140187.78</v>
      </c>
      <c r="S125">
        <f>IF(R125=0,0,Q125*3.3*10^10*P125*10^6*(1/O125)*VLOOKUP(B125,SectionGeometry!C:AA,25,FALSE)*10^-3)</f>
        <v>1179371295377450.8</v>
      </c>
      <c r="T125">
        <f t="shared" si="19"/>
        <v>0.95630475596303544</v>
      </c>
      <c r="U125">
        <f>IF(K125="N",E125*35/SIN(RADIANS(J125)),IF(K125="Y",VLOOKUP(A125,Leonard2010!D:U,18,FALSE),IF(C125="NA",VLOOKUP(A125,MSSM_AdaptedSources!B:K,10,FALSE),"CHECK")))</f>
        <v>3790.8407050679734</v>
      </c>
      <c r="V125">
        <f>(1*VLOOKUP(A125,FaultGeometry!B:C,2,FALSE))-Q125-AA125</f>
        <v>0.375</v>
      </c>
      <c r="W125">
        <f>V125*(VLOOKUP(A125,FaultGeometry!B:Y,24,FALSE))</f>
        <v>9730665286802146</v>
      </c>
      <c r="X125">
        <f>V125*3.3*10^10*U125*10^6*(1/T125)*VLOOKUP(A125,FaultGeometry!B:O,14,FALSE)*10^-3</f>
        <v>2.5761175202732636E+16</v>
      </c>
      <c r="Y125" t="str">
        <f t="shared" si="24"/>
        <v>NA</v>
      </c>
      <c r="Z125" t="str">
        <f>IF(C125="NA","NA",VLOOKUP(C125,MSSM_AdaptedSources!B:K,10,FALSE))</f>
        <v>NA</v>
      </c>
      <c r="AA125" t="str">
        <f>IF(C125="NA","0",VLOOKUP(C125,MultiFaultGeometry!B:C,2,FALSE)*IF(B125="NA",X$278/(X$278+X$276),X$278))</f>
        <v>0</v>
      </c>
      <c r="AB125">
        <f>AA125*IF(C125="NA",0,VLOOKUP(C125,MultiFaultGeometry!B:O,14,FALSE))</f>
        <v>0</v>
      </c>
      <c r="AC125">
        <f>IF(AB125=0,0,AA125*3.3*10^10*Z125*10^6*(1/Y125)*VLOOKUP(C125,MultiFaultGeometry!B:G,5,FALSE)*10^-3)</f>
        <v>0</v>
      </c>
      <c r="AE125" s="68">
        <f t="shared" si="20"/>
        <v>0</v>
      </c>
      <c r="AF125" s="68">
        <f t="shared" si="21"/>
        <v>0</v>
      </c>
      <c r="AG125" s="68"/>
    </row>
    <row r="126" spans="1:33" x14ac:dyDescent="0.2">
      <c r="A126" s="68" t="str">
        <f>Leonard2010!D128</f>
        <v>Metangula-1</v>
      </c>
      <c r="B126" s="68" t="str">
        <f>Leonard2010!E128</f>
        <v>Metangula Link-1b</v>
      </c>
      <c r="C126" s="68" t="str">
        <f>Leonard2010!F128</f>
        <v>NA</v>
      </c>
      <c r="D126">
        <f>IF(B126="NA","NA",VLOOKUP(B126,Leonard2010!E:H,3,FALSE))</f>
        <v>6.8</v>
      </c>
      <c r="E126">
        <f>IF(A126="NA","NA",VLOOKUP(A126,Leonard2010!D:I,6,FALSE))</f>
        <v>86.5</v>
      </c>
      <c r="F126" t="str">
        <f>IF(C126="NA","NA",VLOOKUP(C126,Leonard2010!F:K,6,FALSE))</f>
        <v>NA</v>
      </c>
      <c r="G126">
        <f>IF(B126="NA","NA",VLOOKUP(B126,Leonard2010!E:H,4,FALSE))</f>
        <v>231</v>
      </c>
      <c r="H126">
        <f>IF(A126="NA","NA",VLOOKUP(A126,Leonard2010!D:J,7,FALSE))</f>
        <v>159</v>
      </c>
      <c r="I126" t="str">
        <f>IF(C126="NA","NA",VLOOKUP(C126,Leonard2010!F:L,7,FALSE))</f>
        <v>NA</v>
      </c>
      <c r="J126">
        <f>IF(A126="NA","NA",VLOOKUP(A126,Leonard2010!D:N,11,FALSE))</f>
        <v>53</v>
      </c>
      <c r="K126" t="s">
        <v>211</v>
      </c>
      <c r="L126">
        <f>VLOOKUP(A126,Leonard2010!D:AJ,32,FALSE)</f>
        <v>52</v>
      </c>
      <c r="M126">
        <f>VLOOKUP($A126,Leonard2010!D:AK,33,FALSE)</f>
        <v>74</v>
      </c>
      <c r="N126">
        <f>VLOOKUP($A126,Leonard2010!D:AL,34,FALSE)</f>
        <v>96</v>
      </c>
      <c r="O126">
        <f t="shared" si="15"/>
        <v>0.39073112848927383</v>
      </c>
      <c r="P126">
        <f t="shared" si="27"/>
        <v>298.00828664118171</v>
      </c>
      <c r="Q126">
        <f>IF(B126="NA","0",VLOOKUP(B126,SectionGeometry!C:E,3,FALSE)*IF(C126="NA",X$277/(X$277+X$276),X$277))</f>
        <v>0.125</v>
      </c>
      <c r="R126">
        <f>Q126*IF(B126="NA",0,((VLOOKUP(B126,SectionGeometry!C:Z,24,FALSE))))</f>
        <v>0</v>
      </c>
      <c r="S126">
        <f>IF(R126=0,0,Q126*3.3*10^10*P126*10^6*(1/O126)*VLOOKUP(B126,SectionGeometry!C:AA,25,FALSE)*10^-3)</f>
        <v>0</v>
      </c>
      <c r="T126">
        <f t="shared" si="19"/>
        <v>0.95630475596303544</v>
      </c>
      <c r="U126">
        <f>IF(K126="N",E126*35/SIN(RADIANS(J126)),IF(K126="Y",VLOOKUP(A126,Leonard2010!D:U,18,FALSE),IF(C126="NA",VLOOKUP(A126,MSSM_AdaptedSources!B:K,10,FALSE),"CHECK")))</f>
        <v>3790.8407050679734</v>
      </c>
      <c r="V126">
        <f>(1*VLOOKUP(A126,FaultGeometry!B:C,2,FALSE))-Q126-AA126</f>
        <v>0.375</v>
      </c>
      <c r="W126">
        <f>V126*(VLOOKUP(A126,FaultGeometry!B:Y,24,FALSE))</f>
        <v>9730665286802146</v>
      </c>
      <c r="X126">
        <f>V126*3.3*10^10*U126*10^6*(1/T126)*VLOOKUP(A126,FaultGeometry!B:O,14,FALSE)*10^-3</f>
        <v>2.5761175202732636E+16</v>
      </c>
      <c r="Y126" t="str">
        <f t="shared" si="24"/>
        <v>NA</v>
      </c>
      <c r="Z126" t="str">
        <f>IF(C126="NA","NA",VLOOKUP(C126,MSSM_AdaptedSources!B:K,10,FALSE))</f>
        <v>NA</v>
      </c>
      <c r="AA126" t="str">
        <f>IF(C126="NA","0",VLOOKUP(C126,MultiFaultGeometry!B:C,2,FALSE)*IF(B126="NA",X$278/(X$278+X$276),X$278))</f>
        <v>0</v>
      </c>
      <c r="AB126">
        <f>AA126*IF(C126="NA",0,VLOOKUP(C126,MultiFaultGeometry!B:O,14,FALSE))</f>
        <v>0</v>
      </c>
      <c r="AC126">
        <f>IF(AB126=0,0,AA126*3.3*10^10*Z126*10^6*(1/Y126)*VLOOKUP(C126,MultiFaultGeometry!B:G,5,FALSE)*10^-3)</f>
        <v>0</v>
      </c>
      <c r="AE126" s="68">
        <f t="shared" si="20"/>
        <v>0</v>
      </c>
      <c r="AF126" s="68">
        <f t="shared" si="21"/>
        <v>0</v>
      </c>
      <c r="AG126" s="68"/>
    </row>
    <row r="127" spans="1:33" x14ac:dyDescent="0.2">
      <c r="A127" s="68" t="str">
        <f>Leonard2010!D129</f>
        <v>Metangula-1</v>
      </c>
      <c r="B127" s="68" t="str">
        <f>Leonard2010!E129</f>
        <v>Metangula North-1</v>
      </c>
      <c r="C127" s="68" t="str">
        <f>Leonard2010!F129</f>
        <v>NA</v>
      </c>
      <c r="D127">
        <f>IF(B127="NA","NA",VLOOKUP(B127,Leonard2010!E:H,3,FALSE))</f>
        <v>16.899999999999999</v>
      </c>
      <c r="E127">
        <f>IF(A127="NA","NA",VLOOKUP(A127,Leonard2010!D:I,6,FALSE))</f>
        <v>86.5</v>
      </c>
      <c r="F127" t="str">
        <f>IF(C127="NA","NA",VLOOKUP(C127,Leonard2010!F:K,6,FALSE))</f>
        <v>NA</v>
      </c>
      <c r="G127">
        <f>IF(B127="NA","NA",VLOOKUP(B127,Leonard2010!E:H,4,FALSE))</f>
        <v>188</v>
      </c>
      <c r="H127">
        <f>IF(A127="NA","NA",VLOOKUP(A127,Leonard2010!D:J,7,FALSE))</f>
        <v>159</v>
      </c>
      <c r="I127" t="str">
        <f>IF(C127="NA","NA",VLOOKUP(C127,Leonard2010!F:L,7,FALSE))</f>
        <v>NA</v>
      </c>
      <c r="J127">
        <f>IF(A127="NA","NA",VLOOKUP(A127,Leonard2010!D:N,11,FALSE))</f>
        <v>53</v>
      </c>
      <c r="K127" t="s">
        <v>211</v>
      </c>
      <c r="L127">
        <f>VLOOKUP(A127,Leonard2010!D:AJ,32,FALSE)</f>
        <v>52</v>
      </c>
      <c r="M127">
        <f>VLOOKUP($A127,Leonard2010!D:AK,33,FALSE)</f>
        <v>74</v>
      </c>
      <c r="N127">
        <f>VLOOKUP($A127,Leonard2010!D:AL,34,FALSE)</f>
        <v>96</v>
      </c>
      <c r="O127">
        <f t="shared" si="15"/>
        <v>0.91354545764260087</v>
      </c>
      <c r="P127">
        <f t="shared" si="27"/>
        <v>740.63824179940741</v>
      </c>
      <c r="Q127">
        <f>IF(B127="NA","0",VLOOKUP(B127,SectionGeometry!C:E,3,FALSE)*IF(C127="NA",X$277/(X$277+X$276),X$277))</f>
        <v>0.125</v>
      </c>
      <c r="R127">
        <f>Q127*IF(B127="NA",0,((VLOOKUP(B127,SectionGeometry!C:Z,24,FALSE))))</f>
        <v>179007186146214.78</v>
      </c>
      <c r="S127">
        <f>IF(R127=0,0,Q127*3.3*10^10*P127*10^6*(1/O127)*VLOOKUP(B127,SectionGeometry!C:AA,25,FALSE)*10^-3)</f>
        <v>1600865229730619.8</v>
      </c>
      <c r="T127">
        <f t="shared" si="19"/>
        <v>0.95630475596303544</v>
      </c>
      <c r="U127">
        <f>IF(K127="N",E127*35/SIN(RADIANS(J127)),IF(K127="Y",VLOOKUP(A127,Leonard2010!D:U,18,FALSE),IF(C127="NA",VLOOKUP(A127,MSSM_AdaptedSources!B:K,10,FALSE),"CHECK")))</f>
        <v>3790.8407050679734</v>
      </c>
      <c r="V127">
        <f>(1*VLOOKUP(A127,FaultGeometry!B:C,2,FALSE))-Q127-AA127</f>
        <v>0.375</v>
      </c>
      <c r="W127">
        <f>V127*(VLOOKUP(A127,FaultGeometry!B:Y,24,FALSE))</f>
        <v>9730665286802146</v>
      </c>
      <c r="X127">
        <f>V127*3.3*10^10*U127*10^6*(1/T127)*VLOOKUP(A127,FaultGeometry!B:O,14,FALSE)*10^-3</f>
        <v>2.5761175202732636E+16</v>
      </c>
      <c r="Y127" t="str">
        <f t="shared" si="24"/>
        <v>NA</v>
      </c>
      <c r="Z127" t="str">
        <f>IF(C127="NA","NA",VLOOKUP(C127,MSSM_AdaptedSources!B:K,10,FALSE))</f>
        <v>NA</v>
      </c>
      <c r="AA127" t="str">
        <f>IF(C127="NA","0",VLOOKUP(C127,MultiFaultGeometry!B:C,2,FALSE)*IF(B127="NA",X$278/(X$278+X$276),X$278))</f>
        <v>0</v>
      </c>
      <c r="AB127">
        <f>AA127*IF(C127="NA",0,VLOOKUP(C127,MultiFaultGeometry!B:O,14,FALSE))</f>
        <v>0</v>
      </c>
      <c r="AC127">
        <f>IF(AB127=0,0,AA127*3.3*10^10*Z127*10^6*(1/Y127)*VLOOKUP(C127,MultiFaultGeometry!B:G,5,FALSE)*10^-3)</f>
        <v>0</v>
      </c>
      <c r="AE127" s="68">
        <f t="shared" si="20"/>
        <v>9730665286802146</v>
      </c>
      <c r="AF127" s="68">
        <f t="shared" si="21"/>
        <v>2.5761175202732636E+16</v>
      </c>
      <c r="AG127" s="68"/>
    </row>
    <row r="128" spans="1:33" x14ac:dyDescent="0.2">
      <c r="A128" s="68" t="str">
        <f>Leonard2010!D130</f>
        <v>Metangula-2</v>
      </c>
      <c r="B128" s="68" t="str">
        <f>Leonard2010!E130</f>
        <v>Metangula South-2</v>
      </c>
      <c r="C128" s="68" t="str">
        <f>Leonard2010!F130</f>
        <v>NA</v>
      </c>
      <c r="D128">
        <f>IF(B128="NA","NA",VLOOKUP(B128,Leonard2010!E:H,3,FALSE))</f>
        <v>42.3</v>
      </c>
      <c r="E128">
        <f>IF(A128="NA","NA",VLOOKUP(A128,Leonard2010!D:I,6,FALSE))</f>
        <v>100.89999999999999</v>
      </c>
      <c r="F128" t="str">
        <f>IF(C128="NA","NA",VLOOKUP(C128,Leonard2010!F:K,6,FALSE))</f>
        <v>NA</v>
      </c>
      <c r="G128">
        <f>IF(B128="NA","NA",VLOOKUP(B128,Leonard2010!E:H,4,FALSE))</f>
        <v>141</v>
      </c>
      <c r="H128">
        <f>IF(A128="NA","NA",VLOOKUP(A128,Leonard2010!D:J,7,FALSE))</f>
        <v>163</v>
      </c>
      <c r="I128" t="str">
        <f>IF(C128="NA","NA",VLOOKUP(C128,Leonard2010!F:L,7,FALSE))</f>
        <v>NA</v>
      </c>
      <c r="J128">
        <f>IF(A128="NA","NA",VLOOKUP(A128,Leonard2010!D:N,11,FALSE))</f>
        <v>53</v>
      </c>
      <c r="K128" t="s">
        <v>211</v>
      </c>
      <c r="L128">
        <f>VLOOKUP(A128,Leonard2010!D:AJ,32,FALSE)</f>
        <v>52</v>
      </c>
      <c r="M128">
        <f>VLOOKUP($A128,Leonard2010!D:AK,33,FALSE)</f>
        <v>74</v>
      </c>
      <c r="N128">
        <f>VLOOKUP($A128,Leonard2010!D:AL,34,FALSE)</f>
        <v>96</v>
      </c>
      <c r="O128">
        <f t="shared" ref="O128:O202" si="29">IF($B128="NA","NA",MEDIAN(ABS(COS(RADIANS($L128-$G128-90))),ABS(COS(RADIANS($M128-$G128-90))),ABS(COS(RADIANS($N128-$G128-90)))))</f>
        <v>0.92050485345244037</v>
      </c>
      <c r="P128">
        <f t="shared" si="27"/>
        <v>1853.7868419002921</v>
      </c>
      <c r="Q128">
        <f>IF(B128="NA","0",VLOOKUP(B128,SectionGeometry!C:E,3,FALSE)*IF(C128="NA",X$277/(X$277+X$276),X$277))</f>
        <v>0.125</v>
      </c>
      <c r="R128">
        <f>Q128*IF(B128="NA",0,((VLOOKUP(B128,SectionGeometry!C:Z,24,FALSE))))</f>
        <v>856161586176445.5</v>
      </c>
      <c r="S128">
        <f>IF(R128=0,0,Q128*3.3*10^10*P128*10^6*(1/O128)*VLOOKUP(B128,SectionGeometry!C:AA,25,FALSE)*10^-3)</f>
        <v>4021304001565474</v>
      </c>
      <c r="T128">
        <f t="shared" si="19"/>
        <v>0.93358042649720163</v>
      </c>
      <c r="U128">
        <f>IF(K128="N",E128*35/SIN(RADIANS(J128)),IF(K128="Y",VLOOKUP(A128,Leonard2010!D:U,18,FALSE),IF(C128="NA",VLOOKUP(A128,MSSM_AdaptedSources!B:K,10,FALSE),"CHECK")))</f>
        <v>4421.91707677871</v>
      </c>
      <c r="V128">
        <f>(1*VLOOKUP(A128,FaultGeometry!B:C,2,FALSE))-Q128-AA128</f>
        <v>0.375</v>
      </c>
      <c r="W128">
        <f>V128*(VLOOKUP(A128,FaultGeometry!B:Y,24,FALSE))</f>
        <v>1.3092049479984434E+16</v>
      </c>
      <c r="X128">
        <f>V128*3.3*10^10*U128*10^6*(1/T128)*VLOOKUP(A128,FaultGeometry!B:O,14,FALSE)*10^-3</f>
        <v>3.0913446085785392E+16</v>
      </c>
      <c r="Y128" t="str">
        <f t="shared" si="24"/>
        <v>NA</v>
      </c>
      <c r="Z128" t="str">
        <f>IF(C128="NA","NA",VLOOKUP(C128,MSSM_AdaptedSources!B:K,10,FALSE))</f>
        <v>NA</v>
      </c>
      <c r="AA128" t="str">
        <f>IF(C128="NA","0",VLOOKUP(C128,MultiFaultGeometry!B:C,2,FALSE)*IF(B128="NA",X$278/(X$278+X$276),X$278))</f>
        <v>0</v>
      </c>
      <c r="AB128">
        <f>AA128*IF(C128="NA",0,VLOOKUP(C128,MultiFaultGeometry!B:O,14,FALSE))</f>
        <v>0</v>
      </c>
      <c r="AC128">
        <f>IF(AB128=0,0,AA128*3.3*10^10*Z128*10^6*(1/Y128)*VLOOKUP(C128,MultiFaultGeometry!B:G,5,FALSE)*10^-3)</f>
        <v>0</v>
      </c>
      <c r="AE128" s="68">
        <f t="shared" si="20"/>
        <v>0</v>
      </c>
      <c r="AF128" s="68">
        <f t="shared" si="21"/>
        <v>0</v>
      </c>
      <c r="AG128" s="68"/>
    </row>
    <row r="129" spans="1:33" x14ac:dyDescent="0.2">
      <c r="A129" s="68" t="str">
        <f>Leonard2010!D131</f>
        <v>Metangula-2</v>
      </c>
      <c r="B129" s="68" t="str">
        <f>Leonard2010!E131</f>
        <v>Metangula Link-2a</v>
      </c>
      <c r="C129" s="68" t="str">
        <f>Leonard2010!F131</f>
        <v>NA</v>
      </c>
      <c r="D129">
        <f>IF(B129="NA","NA",VLOOKUP(B129,Leonard2010!E:H,3,FALSE))</f>
        <v>8.1</v>
      </c>
      <c r="E129">
        <f>IF(A129="NA","NA",VLOOKUP(A129,Leonard2010!D:I,6,FALSE))</f>
        <v>100.89999999999999</v>
      </c>
      <c r="F129" t="str">
        <f>IF(C129="NA","NA",VLOOKUP(C129,Leonard2010!F:K,6,FALSE))</f>
        <v>NA</v>
      </c>
      <c r="G129">
        <f>IF(B129="NA","NA",VLOOKUP(B129,Leonard2010!E:H,4,FALSE))</f>
        <v>107</v>
      </c>
      <c r="H129">
        <f>IF(A129="NA","NA",VLOOKUP(A129,Leonard2010!D:J,7,FALSE))</f>
        <v>163</v>
      </c>
      <c r="I129" t="str">
        <f>IF(C129="NA","NA",VLOOKUP(C129,Leonard2010!F:L,7,FALSE))</f>
        <v>NA</v>
      </c>
      <c r="J129">
        <f>IF(A129="NA","NA",VLOOKUP(A129,Leonard2010!D:N,11,FALSE))</f>
        <v>53</v>
      </c>
      <c r="K129" t="s">
        <v>211</v>
      </c>
      <c r="L129">
        <f>VLOOKUP(A129,Leonard2010!D:AJ,32,FALSE)</f>
        <v>52</v>
      </c>
      <c r="M129">
        <f>VLOOKUP($A129,Leonard2010!D:AK,33,FALSE)</f>
        <v>74</v>
      </c>
      <c r="N129">
        <f>VLOOKUP($A129,Leonard2010!D:AL,34,FALSE)</f>
        <v>96</v>
      </c>
      <c r="O129">
        <f t="shared" si="29"/>
        <v>0.5446390350150272</v>
      </c>
      <c r="P129">
        <f t="shared" si="27"/>
        <v>354.98045908728994</v>
      </c>
      <c r="Q129">
        <f>IF(B129="NA","0",VLOOKUP(B129,SectionGeometry!C:E,3,FALSE)*IF(C129="NA",X$277/(X$277+X$276),X$277))</f>
        <v>0.125</v>
      </c>
      <c r="R129">
        <f>Q129*IF(B129="NA",0,((VLOOKUP(B129,SectionGeometry!C:Z,24,FALSE))))</f>
        <v>0</v>
      </c>
      <c r="S129">
        <f>IF(R129=0,0,Q129*3.3*10^10*P129*10^6*(1/O129)*VLOOKUP(B129,SectionGeometry!C:AA,25,FALSE)*10^-3)</f>
        <v>0</v>
      </c>
      <c r="T129">
        <f t="shared" si="19"/>
        <v>0.93358042649720163</v>
      </c>
      <c r="U129">
        <f>IF(K129="N",E129*35/SIN(RADIANS(J129)),IF(K129="Y",VLOOKUP(A129,Leonard2010!D:U,18,FALSE),IF(C129="NA",VLOOKUP(A129,MSSM_AdaptedSources!B:K,10,FALSE),"CHECK")))</f>
        <v>4421.91707677871</v>
      </c>
      <c r="V129">
        <f>(1*VLOOKUP(A129,FaultGeometry!B:C,2,FALSE))-Q129-AA129</f>
        <v>0.375</v>
      </c>
      <c r="W129">
        <f>V129*(VLOOKUP(A129,FaultGeometry!B:Y,24,FALSE))</f>
        <v>1.3092049479984434E+16</v>
      </c>
      <c r="X129">
        <f>V129*3.3*10^10*U129*10^6*(1/T129)*VLOOKUP(A129,FaultGeometry!B:O,14,FALSE)*10^-3</f>
        <v>3.0913446085785392E+16</v>
      </c>
      <c r="Y129" t="str">
        <f t="shared" si="24"/>
        <v>NA</v>
      </c>
      <c r="Z129" t="str">
        <f>IF(C129="NA","NA",VLOOKUP(C129,MSSM_AdaptedSources!B:K,10,FALSE))</f>
        <v>NA</v>
      </c>
      <c r="AA129" t="str">
        <f>IF(C129="NA","0",VLOOKUP(C129,MultiFaultGeometry!B:C,2,FALSE)*IF(B129="NA",X$278/(X$278+X$276),X$278))</f>
        <v>0</v>
      </c>
      <c r="AB129">
        <f>AA129*IF(C129="NA",0,VLOOKUP(C129,MultiFaultGeometry!B:O,14,FALSE))</f>
        <v>0</v>
      </c>
      <c r="AC129">
        <f>IF(AB129=0,0,AA129*3.3*10^10*Z129*10^6*(1/Y129)*VLOOKUP(C129,MultiFaultGeometry!B:G,5,FALSE)*10^-3)</f>
        <v>0</v>
      </c>
      <c r="AE129" s="68">
        <f t="shared" si="20"/>
        <v>0</v>
      </c>
      <c r="AF129" s="68">
        <f t="shared" si="21"/>
        <v>0</v>
      </c>
      <c r="AG129" s="68"/>
    </row>
    <row r="130" spans="1:33" x14ac:dyDescent="0.2">
      <c r="A130" s="68" t="str">
        <f>Leonard2010!D132</f>
        <v>Metangula-2</v>
      </c>
      <c r="B130" s="68" t="str">
        <f>Leonard2010!E132</f>
        <v>Metangula Lake-2</v>
      </c>
      <c r="C130" s="68" t="str">
        <f>Leonard2010!F132</f>
        <v>NA</v>
      </c>
      <c r="D130">
        <f>IF(B130="NA","NA",VLOOKUP(B130,Leonard2010!E:H,3,FALSE))</f>
        <v>12.4</v>
      </c>
      <c r="E130">
        <f>IF(A130="NA","NA",VLOOKUP(A130,Leonard2010!D:I,6,FALSE))</f>
        <v>100.89999999999999</v>
      </c>
      <c r="F130" t="str">
        <f>IF(C130="NA","NA",VLOOKUP(C130,Leonard2010!F:K,6,FALSE))</f>
        <v>NA</v>
      </c>
      <c r="G130">
        <f>IF(B130="NA","NA",VLOOKUP(B130,Leonard2010!E:H,4,FALSE))</f>
        <v>185</v>
      </c>
      <c r="H130">
        <f>IF(A130="NA","NA",VLOOKUP(A130,Leonard2010!D:J,7,FALSE))</f>
        <v>163</v>
      </c>
      <c r="I130" t="str">
        <f>IF(C130="NA","NA",VLOOKUP(C130,Leonard2010!F:L,7,FALSE))</f>
        <v>NA</v>
      </c>
      <c r="J130">
        <f>IF(A130="NA","NA",VLOOKUP(A130,Leonard2010!D:N,11,FALSE))</f>
        <v>53</v>
      </c>
      <c r="K130" t="s">
        <v>211</v>
      </c>
      <c r="L130">
        <f>VLOOKUP(A130,Leonard2010!D:AJ,32,FALSE)</f>
        <v>52</v>
      </c>
      <c r="M130">
        <f>VLOOKUP($A130,Leonard2010!D:AK,33,FALSE)</f>
        <v>74</v>
      </c>
      <c r="N130">
        <f>VLOOKUP($A130,Leonard2010!D:AL,34,FALSE)</f>
        <v>96</v>
      </c>
      <c r="O130">
        <f t="shared" si="29"/>
        <v>0.93358042649720163</v>
      </c>
      <c r="P130">
        <f t="shared" si="27"/>
        <v>543.42687563980201</v>
      </c>
      <c r="Q130">
        <f>IF(B130="NA","0",VLOOKUP(B130,SectionGeometry!C:E,3,FALSE)*IF(C130="NA",X$277/(X$277+X$276),X$277))</f>
        <v>0.125</v>
      </c>
      <c r="R130">
        <f>Q130*IF(B130="NA",0,((VLOOKUP(B130,SectionGeometry!C:Z,24,FALSE))))</f>
        <v>109672062750263.98</v>
      </c>
      <c r="S130">
        <f>IF(R130=0,0,Q130*3.3*10^10*P130*10^6*(1/O130)*VLOOKUP(B130,SectionGeometry!C:AA,25,FALSE)*10^-3)</f>
        <v>1171779508665008</v>
      </c>
      <c r="T130">
        <f t="shared" si="19"/>
        <v>0.93358042649720163</v>
      </c>
      <c r="U130">
        <f>IF(K130="N",E130*35/SIN(RADIANS(J130)),IF(K130="Y",VLOOKUP(A130,Leonard2010!D:U,18,FALSE),IF(C130="NA",VLOOKUP(A130,MSSM_AdaptedSources!B:K,10,FALSE),"CHECK")))</f>
        <v>4421.91707677871</v>
      </c>
      <c r="V130">
        <f>(1*VLOOKUP(A130,FaultGeometry!B:C,2,FALSE))-Q130-AA130</f>
        <v>0.375</v>
      </c>
      <c r="W130">
        <f>V130*(VLOOKUP(A130,FaultGeometry!B:Y,24,FALSE))</f>
        <v>1.3092049479984434E+16</v>
      </c>
      <c r="X130">
        <f>V130*3.3*10^10*U130*10^6*(1/T130)*VLOOKUP(A130,FaultGeometry!B:O,14,FALSE)*10^-3</f>
        <v>3.0913446085785392E+16</v>
      </c>
      <c r="Y130" t="str">
        <f t="shared" si="24"/>
        <v>NA</v>
      </c>
      <c r="Z130" t="str">
        <f>IF(C130="NA","NA",VLOOKUP(C130,MSSM_AdaptedSources!B:K,10,FALSE))</f>
        <v>NA</v>
      </c>
      <c r="AA130" t="str">
        <f>IF(C130="NA","0",VLOOKUP(C130,MultiFaultGeometry!B:C,2,FALSE)*IF(B130="NA",X$278/(X$278+X$276),X$278))</f>
        <v>0</v>
      </c>
      <c r="AB130">
        <f>AA130*IF(C130="NA",0,VLOOKUP(C130,MultiFaultGeometry!B:O,14,FALSE))</f>
        <v>0</v>
      </c>
      <c r="AC130">
        <f>IF(AB130=0,0,AA130*3.3*10^10*Z130*10^6*(1/Y130)*VLOOKUP(C130,MultiFaultGeometry!B:G,5,FALSE)*10^-3)</f>
        <v>0</v>
      </c>
      <c r="AE130" s="68">
        <f t="shared" ref="AE130:AE193" si="30">IF(MATCH(A131,_xlfn.UNIQUE(A$2:A$272),0)-(MATCH(A130,_xlfn.UNIQUE(A$2:A$272),0))=1,W130,0)</f>
        <v>0</v>
      </c>
      <c r="AF130" s="68">
        <f t="shared" si="21"/>
        <v>0</v>
      </c>
      <c r="AG130" s="68"/>
    </row>
    <row r="131" spans="1:33" x14ac:dyDescent="0.2">
      <c r="A131" s="68" t="str">
        <f>Leonard2010!D133</f>
        <v>Metangula-2</v>
      </c>
      <c r="B131" s="68" t="str">
        <f>Leonard2010!E133</f>
        <v>Metangula Link-2b</v>
      </c>
      <c r="C131" s="68" t="str">
        <f>Leonard2010!F133</f>
        <v>NA</v>
      </c>
      <c r="D131">
        <f>IF(B131="NA","NA",VLOOKUP(B131,Leonard2010!E:H,3,FALSE))</f>
        <v>6.8</v>
      </c>
      <c r="E131">
        <f>IF(A131="NA","NA",VLOOKUP(A131,Leonard2010!D:I,6,FALSE))</f>
        <v>100.89999999999999</v>
      </c>
      <c r="F131" t="str">
        <f>IF(C131="NA","NA",VLOOKUP(C131,Leonard2010!F:K,6,FALSE))</f>
        <v>NA</v>
      </c>
      <c r="G131">
        <f>IF(B131="NA","NA",VLOOKUP(B131,Leonard2010!E:H,4,FALSE))</f>
        <v>231</v>
      </c>
      <c r="H131">
        <f>IF(A131="NA","NA",VLOOKUP(A131,Leonard2010!D:J,7,FALSE))</f>
        <v>163</v>
      </c>
      <c r="I131" t="str">
        <f>IF(C131="NA","NA",VLOOKUP(C131,Leonard2010!F:L,7,FALSE))</f>
        <v>NA</v>
      </c>
      <c r="J131">
        <f>IF(A131="NA","NA",VLOOKUP(A131,Leonard2010!D:N,11,FALSE))</f>
        <v>53</v>
      </c>
      <c r="K131" t="s">
        <v>211</v>
      </c>
      <c r="L131">
        <f>VLOOKUP(A131,Leonard2010!D:AJ,32,FALSE)</f>
        <v>52</v>
      </c>
      <c r="M131">
        <f>VLOOKUP($A131,Leonard2010!D:AK,33,FALSE)</f>
        <v>74</v>
      </c>
      <c r="N131">
        <f>VLOOKUP($A131,Leonard2010!D:AL,34,FALSE)</f>
        <v>96</v>
      </c>
      <c r="O131">
        <f t="shared" si="29"/>
        <v>0.39073112848927383</v>
      </c>
      <c r="P131">
        <f t="shared" si="27"/>
        <v>298.00828664118171</v>
      </c>
      <c r="Q131">
        <f>IF(B131="NA","0",VLOOKUP(B131,SectionGeometry!C:E,3,FALSE)*IF(C131="NA",X$277/(X$277+X$276),X$277))</f>
        <v>0.125</v>
      </c>
      <c r="R131">
        <f>Q131*IF(B131="NA",0,((VLOOKUP(B131,SectionGeometry!C:Z,24,FALSE))))</f>
        <v>0</v>
      </c>
      <c r="S131">
        <f>IF(R131=0,0,Q131*3.3*10^10*P131*10^6*(1/O131)*VLOOKUP(B131,SectionGeometry!C:AA,25,FALSE)*10^-3)</f>
        <v>0</v>
      </c>
      <c r="T131">
        <f t="shared" ref="T131:T194" si="31">IF($A131="NA","NA",MEDIAN(ABS(COS(RADIANS($L131-$H131-90))),ABS(COS(RADIANS($M131-$H131-90))),ABS(COS(RADIANS($N131-$H131-90)))))</f>
        <v>0.93358042649720163</v>
      </c>
      <c r="U131">
        <f>IF(K131="N",E131*35/SIN(RADIANS(J131)),IF(K131="Y",VLOOKUP(A131,Leonard2010!D:U,18,FALSE),IF(C131="NA",VLOOKUP(A131,MSSM_AdaptedSources!B:K,10,FALSE),"CHECK")))</f>
        <v>4421.91707677871</v>
      </c>
      <c r="V131">
        <f>(1*VLOOKUP(A131,FaultGeometry!B:C,2,FALSE))-Q131-AA131</f>
        <v>0.375</v>
      </c>
      <c r="W131">
        <f>V131*(VLOOKUP(A131,FaultGeometry!B:Y,24,FALSE))</f>
        <v>1.3092049479984434E+16</v>
      </c>
      <c r="X131">
        <f>V131*3.3*10^10*U131*10^6*(1/T131)*VLOOKUP(A131,FaultGeometry!B:O,14,FALSE)*10^-3</f>
        <v>3.0913446085785392E+16</v>
      </c>
      <c r="Y131" t="str">
        <f t="shared" si="24"/>
        <v>NA</v>
      </c>
      <c r="Z131" t="str">
        <f>IF(C131="NA","NA",VLOOKUP(C131,MSSM_AdaptedSources!B:K,10,FALSE))</f>
        <v>NA</v>
      </c>
      <c r="AA131" t="str">
        <f>IF(C131="NA","0",VLOOKUP(C131,MultiFaultGeometry!B:C,2,FALSE)*IF(B131="NA",X$278/(X$278+X$276),X$278))</f>
        <v>0</v>
      </c>
      <c r="AB131">
        <f>AA131*IF(C131="NA",0,VLOOKUP(C131,MultiFaultGeometry!B:O,14,FALSE))</f>
        <v>0</v>
      </c>
      <c r="AC131">
        <f>IF(AB131=0,0,AA131*3.3*10^10*Z131*10^6*(1/Y131)*VLOOKUP(C131,MultiFaultGeometry!B:G,5,FALSE)*10^-3)</f>
        <v>0</v>
      </c>
      <c r="AE131" s="68">
        <f t="shared" si="30"/>
        <v>0</v>
      </c>
      <c r="AF131" s="68">
        <f t="shared" ref="AF131:AF194" si="32">IF(AE131=0,0,X131)</f>
        <v>0</v>
      </c>
      <c r="AG131" s="68"/>
    </row>
    <row r="132" spans="1:33" x14ac:dyDescent="0.2">
      <c r="A132" s="68" t="str">
        <f>Leonard2010!D134</f>
        <v>Metangula-2</v>
      </c>
      <c r="B132" s="68" t="str">
        <f>Leonard2010!E134</f>
        <v>Metangula North-2a</v>
      </c>
      <c r="C132" s="68" t="str">
        <f>Leonard2010!F134</f>
        <v>NA</v>
      </c>
      <c r="D132">
        <f>IF(B132="NA","NA",VLOOKUP(B132,Leonard2010!E:H,3,FALSE))</f>
        <v>14</v>
      </c>
      <c r="E132">
        <f>IF(A132="NA","NA",VLOOKUP(A132,Leonard2010!D:I,6,FALSE))</f>
        <v>100.89999999999999</v>
      </c>
      <c r="F132" t="str">
        <f>IF(C132="NA","NA",VLOOKUP(C132,Leonard2010!F:K,6,FALSE))</f>
        <v>NA</v>
      </c>
      <c r="G132">
        <f>IF(B132="NA","NA",VLOOKUP(B132,Leonard2010!E:H,4,FALSE))</f>
        <v>205</v>
      </c>
      <c r="H132">
        <f>IF(A132="NA","NA",VLOOKUP(A132,Leonard2010!D:J,7,FALSE))</f>
        <v>163</v>
      </c>
      <c r="I132" t="str">
        <f>IF(C132="NA","NA",VLOOKUP(C132,Leonard2010!F:L,7,FALSE))</f>
        <v>NA</v>
      </c>
      <c r="J132">
        <f>IF(A132="NA","NA",VLOOKUP(A132,Leonard2010!D:N,11,FALSE))</f>
        <v>53</v>
      </c>
      <c r="K132" t="s">
        <v>211</v>
      </c>
      <c r="L132">
        <f>VLOOKUP(A132,Leonard2010!D:AJ,32,FALSE)</f>
        <v>52</v>
      </c>
      <c r="M132">
        <f>VLOOKUP($A132,Leonard2010!D:AK,33,FALSE)</f>
        <v>74</v>
      </c>
      <c r="N132">
        <f>VLOOKUP($A132,Leonard2010!D:AL,34,FALSE)</f>
        <v>96</v>
      </c>
      <c r="O132">
        <f t="shared" si="29"/>
        <v>0.75470958022277213</v>
      </c>
      <c r="P132">
        <f t="shared" si="27"/>
        <v>613.54647249655056</v>
      </c>
      <c r="Q132">
        <f>IF(B132="NA","0",VLOOKUP(B132,SectionGeometry!C:E,3,FALSE)*IF(C132="NA",X$277/(X$277+X$276),X$277))</f>
        <v>0.125</v>
      </c>
      <c r="R132">
        <f>Q132*IF(B132="NA",0,((VLOOKUP(B132,SectionGeometry!C:Z,24,FALSE))))</f>
        <v>111082216832841.2</v>
      </c>
      <c r="S132">
        <f>IF(R132=0,0,Q132*3.3*10^10*P132*10^6*(1/O132)*VLOOKUP(B132,SectionGeometry!C:AA,25,FALSE)*10^-3)</f>
        <v>1336461977409744</v>
      </c>
      <c r="T132">
        <f t="shared" si="31"/>
        <v>0.93358042649720163</v>
      </c>
      <c r="U132">
        <f>IF(K132="N",E132*35/SIN(RADIANS(J132)),IF(K132="Y",VLOOKUP(A132,Leonard2010!D:U,18,FALSE),IF(C132="NA",VLOOKUP(A132,MSSM_AdaptedSources!B:K,10,FALSE),"CHECK")))</f>
        <v>4421.91707677871</v>
      </c>
      <c r="V132">
        <f>(1*VLOOKUP(A132,FaultGeometry!B:C,2,FALSE))-Q132-AA132</f>
        <v>0.375</v>
      </c>
      <c r="W132">
        <f>V132*(VLOOKUP(A132,FaultGeometry!B:Y,24,FALSE))</f>
        <v>1.3092049479984434E+16</v>
      </c>
      <c r="X132">
        <f>V132*3.3*10^10*U132*10^6*(1/T132)*VLOOKUP(A132,FaultGeometry!B:O,14,FALSE)*10^-3</f>
        <v>3.0913446085785392E+16</v>
      </c>
      <c r="Y132" t="str">
        <f t="shared" si="24"/>
        <v>NA</v>
      </c>
      <c r="Z132" t="str">
        <f>IF(C132="NA","NA",VLOOKUP(C132,MSSM_AdaptedSources!B:K,10,FALSE))</f>
        <v>NA</v>
      </c>
      <c r="AA132" t="str">
        <f>IF(C132="NA","0",VLOOKUP(C132,MultiFaultGeometry!B:C,2,FALSE)*IF(B132="NA",X$278/(X$278+X$276),X$278))</f>
        <v>0</v>
      </c>
      <c r="AB132">
        <f>AA132*IF(C132="NA",0,VLOOKUP(C132,MultiFaultGeometry!B:O,14,FALSE))</f>
        <v>0</v>
      </c>
      <c r="AC132">
        <f>IF(AB132=0,0,AA132*3.3*10^10*Z132*10^6*(1/Y132)*VLOOKUP(C132,MultiFaultGeometry!B:G,5,FALSE)*10^-3)</f>
        <v>0</v>
      </c>
      <c r="AE132" s="68">
        <f t="shared" si="30"/>
        <v>0</v>
      </c>
      <c r="AF132" s="68">
        <f t="shared" si="32"/>
        <v>0</v>
      </c>
      <c r="AG132" s="68"/>
    </row>
    <row r="133" spans="1:33" x14ac:dyDescent="0.2">
      <c r="A133" s="68" t="str">
        <f>Leonard2010!D135</f>
        <v>Metangula-2</v>
      </c>
      <c r="B133" s="68" t="str">
        <f>Leonard2010!E135</f>
        <v>Metangula Link-2c</v>
      </c>
      <c r="C133" s="68" t="str">
        <f>Leonard2010!F135</f>
        <v>NA</v>
      </c>
      <c r="D133">
        <f>IF(B133="NA","NA",VLOOKUP(B133,Leonard2010!E:H,3,FALSE))</f>
        <v>2.8</v>
      </c>
      <c r="E133">
        <f>IF(A133="NA","NA",VLOOKUP(A133,Leonard2010!D:I,6,FALSE))</f>
        <v>100.89999999999999</v>
      </c>
      <c r="F133" t="str">
        <f>IF(C133="NA","NA",VLOOKUP(C133,Leonard2010!F:K,6,FALSE))</f>
        <v>NA</v>
      </c>
      <c r="G133">
        <f>IF(B133="NA","NA",VLOOKUP(B133,Leonard2010!E:H,4,FALSE))</f>
        <v>95</v>
      </c>
      <c r="H133">
        <f>IF(A133="NA","NA",VLOOKUP(A133,Leonard2010!D:J,7,FALSE))</f>
        <v>163</v>
      </c>
      <c r="I133" t="str">
        <f>IF(C133="NA","NA",VLOOKUP(C133,Leonard2010!F:L,7,FALSE))</f>
        <v>NA</v>
      </c>
      <c r="J133">
        <f>IF(A133="NA","NA",VLOOKUP(A133,Leonard2010!D:N,11,FALSE))</f>
        <v>53</v>
      </c>
      <c r="K133" t="s">
        <v>211</v>
      </c>
      <c r="L133">
        <f>VLOOKUP(A133,Leonard2010!D:AJ,32,FALSE)</f>
        <v>52</v>
      </c>
      <c r="M133">
        <f>VLOOKUP($A133,Leonard2010!D:AK,33,FALSE)</f>
        <v>74</v>
      </c>
      <c r="N133">
        <f>VLOOKUP($A133,Leonard2010!D:AL,34,FALSE)</f>
        <v>96</v>
      </c>
      <c r="O133">
        <f t="shared" si="29"/>
        <v>0.35836794954530027</v>
      </c>
      <c r="P133">
        <f t="shared" si="27"/>
        <v>122.7092944993101</v>
      </c>
      <c r="Q133">
        <f>IF(B133="NA","0",VLOOKUP(B133,SectionGeometry!C:E,3,FALSE)*IF(C133="NA",X$277/(X$277+X$276),X$277))</f>
        <v>0.125</v>
      </c>
      <c r="R133">
        <f>Q133*IF(B133="NA",0,((VLOOKUP(B133,SectionGeometry!C:Z,24,FALSE))))</f>
        <v>0</v>
      </c>
      <c r="S133">
        <f>IF(R133=0,0,Q133*3.3*10^10*P133*10^6*(1/O133)*VLOOKUP(B133,SectionGeometry!C:AA,25,FALSE)*10^-3)</f>
        <v>0</v>
      </c>
      <c r="T133">
        <f t="shared" si="31"/>
        <v>0.93358042649720163</v>
      </c>
      <c r="U133">
        <f>IF(K133="N",E133*35/SIN(RADIANS(J133)),IF(K133="Y",VLOOKUP(A133,Leonard2010!D:U,18,FALSE),IF(C133="NA",VLOOKUP(A133,MSSM_AdaptedSources!B:K,10,FALSE),"CHECK")))</f>
        <v>4421.91707677871</v>
      </c>
      <c r="V133">
        <f>(1*VLOOKUP(A133,FaultGeometry!B:C,2,FALSE))-Q133-AA133</f>
        <v>0.375</v>
      </c>
      <c r="W133">
        <f>V133*(VLOOKUP(A133,FaultGeometry!B:Y,24,FALSE))</f>
        <v>1.3092049479984434E+16</v>
      </c>
      <c r="X133">
        <f>V133*3.3*10^10*U133*10^6*(1/T133)*VLOOKUP(A133,FaultGeometry!B:O,14,FALSE)*10^-3</f>
        <v>3.0913446085785392E+16</v>
      </c>
      <c r="Y133" t="str">
        <f t="shared" si="24"/>
        <v>NA</v>
      </c>
      <c r="Z133" t="str">
        <f>IF(C133="NA","NA",VLOOKUP(C133,MSSM_AdaptedSources!B:K,10,FALSE))</f>
        <v>NA</v>
      </c>
      <c r="AA133" t="str">
        <f>IF(C133="NA","0",VLOOKUP(C133,MultiFaultGeometry!B:C,2,FALSE)*IF(B133="NA",X$278/(X$278+X$276),X$278))</f>
        <v>0</v>
      </c>
      <c r="AB133">
        <f>AA133*IF(C133="NA",0,VLOOKUP(C133,MultiFaultGeometry!B:O,14,FALSE))</f>
        <v>0</v>
      </c>
      <c r="AC133">
        <f>IF(AB133=0,0,AA133*3.3*10^10*Z133*10^6*(1/Y133)*VLOOKUP(C133,MultiFaultGeometry!B:G,5,FALSE)*10^-3)</f>
        <v>0</v>
      </c>
      <c r="AE133" s="68">
        <f t="shared" si="30"/>
        <v>0</v>
      </c>
      <c r="AF133" s="68">
        <f t="shared" si="32"/>
        <v>0</v>
      </c>
      <c r="AG133" s="68"/>
    </row>
    <row r="134" spans="1:33" x14ac:dyDescent="0.2">
      <c r="A134" s="68" t="str">
        <f>Leonard2010!D136</f>
        <v>Metangula-2</v>
      </c>
      <c r="B134" s="68" t="str">
        <f>Leonard2010!E136</f>
        <v>Metangula North-2b</v>
      </c>
      <c r="C134" s="68" t="str">
        <f>Leonard2010!F136</f>
        <v>NA</v>
      </c>
      <c r="D134">
        <f>IF(B134="NA","NA",VLOOKUP(B134,Leonard2010!E:H,3,FALSE))</f>
        <v>14.5</v>
      </c>
      <c r="E134">
        <f>IF(A134="NA","NA",VLOOKUP(A134,Leonard2010!D:I,6,FALSE))</f>
        <v>100.89999999999999</v>
      </c>
      <c r="F134" t="str">
        <f>IF(C134="NA","NA",VLOOKUP(C134,Leonard2010!F:K,6,FALSE))</f>
        <v>NA</v>
      </c>
      <c r="G134">
        <f>IF(B134="NA","NA",VLOOKUP(B134,Leonard2010!E:H,4,FALSE))</f>
        <v>185</v>
      </c>
      <c r="H134">
        <f>IF(A134="NA","NA",VLOOKUP(A134,Leonard2010!D:J,7,FALSE))</f>
        <v>163</v>
      </c>
      <c r="I134" t="str">
        <f>IF(C134="NA","NA",VLOOKUP(C134,Leonard2010!F:L,7,FALSE))</f>
        <v>NA</v>
      </c>
      <c r="J134">
        <f>IF(A134="NA","NA",VLOOKUP(A134,Leonard2010!D:N,11,FALSE))</f>
        <v>53</v>
      </c>
      <c r="K134" t="s">
        <v>211</v>
      </c>
      <c r="L134">
        <f>VLOOKUP(A134,Leonard2010!D:AJ,32,FALSE)</f>
        <v>52</v>
      </c>
      <c r="M134">
        <f>VLOOKUP($A134,Leonard2010!D:AK,33,FALSE)</f>
        <v>74</v>
      </c>
      <c r="N134">
        <f>VLOOKUP($A134,Leonard2010!D:AL,34,FALSE)</f>
        <v>96</v>
      </c>
      <c r="O134">
        <f t="shared" si="29"/>
        <v>0.93358042649720163</v>
      </c>
      <c r="P134">
        <f t="shared" si="27"/>
        <v>635.45884651428457</v>
      </c>
      <c r="Q134">
        <f>IF(B134="NA","0",VLOOKUP(B134,SectionGeometry!C:E,3,FALSE)*IF(C134="NA",X$277/(X$277+X$276),X$277))</f>
        <v>0.125</v>
      </c>
      <c r="R134">
        <f>Q134*IF(B134="NA",0,((VLOOKUP(B134,SectionGeometry!C:Z,24,FALSE))))</f>
        <v>142818613876910.22</v>
      </c>
      <c r="S134">
        <f>IF(R134=0,0,Q134*3.3*10^10*P134*10^6*(1/O134)*VLOOKUP(B134,SectionGeometry!C:AA,25,FALSE)*10^-3)</f>
        <v>1373811071735288.5</v>
      </c>
      <c r="T134">
        <f t="shared" si="31"/>
        <v>0.93358042649720163</v>
      </c>
      <c r="U134">
        <f>IF(K134="N",E134*35/SIN(RADIANS(J134)),IF(K134="Y",VLOOKUP(A134,Leonard2010!D:U,18,FALSE),IF(C134="NA",VLOOKUP(A134,MSSM_AdaptedSources!B:K,10,FALSE),"CHECK")))</f>
        <v>4421.91707677871</v>
      </c>
      <c r="V134">
        <f>(1*VLOOKUP(A134,FaultGeometry!B:C,2,FALSE))-Q134-AA134</f>
        <v>0.375</v>
      </c>
      <c r="W134">
        <f>V134*(VLOOKUP(A134,FaultGeometry!B:Y,24,FALSE))</f>
        <v>1.3092049479984434E+16</v>
      </c>
      <c r="X134">
        <f>V134*3.3*10^10*U134*10^6*(1/T134)*VLOOKUP(A134,FaultGeometry!B:O,14,FALSE)*10^-3</f>
        <v>3.0913446085785392E+16</v>
      </c>
      <c r="Y134" t="str">
        <f t="shared" si="24"/>
        <v>NA</v>
      </c>
      <c r="Z134" t="str">
        <f>IF(C134="NA","NA",VLOOKUP(C134,MSSM_AdaptedSources!B:K,10,FALSE))</f>
        <v>NA</v>
      </c>
      <c r="AA134" t="str">
        <f>IF(C134="NA","0",VLOOKUP(C134,MultiFaultGeometry!B:C,2,FALSE)*IF(B134="NA",X$278/(X$278+X$276),X$278))</f>
        <v>0</v>
      </c>
      <c r="AB134">
        <f>AA134*IF(C134="NA",0,VLOOKUP(C134,MultiFaultGeometry!B:O,14,FALSE))</f>
        <v>0</v>
      </c>
      <c r="AC134">
        <f>IF(AB134=0,0,AA134*3.3*10^10*Z134*10^6*(1/Y134)*VLOOKUP(C134,MultiFaultGeometry!B:G,5,FALSE)*10^-3)</f>
        <v>0</v>
      </c>
      <c r="AE134" s="68">
        <f t="shared" si="30"/>
        <v>1.3092049479984434E+16</v>
      </c>
      <c r="AF134" s="68">
        <f t="shared" si="32"/>
        <v>3.0913446085785392E+16</v>
      </c>
      <c r="AG134" s="68"/>
    </row>
    <row r="135" spans="1:33" x14ac:dyDescent="0.2">
      <c r="A135" s="68" t="str">
        <f>Leonard2010!D137</f>
        <v>Liwaladzi</v>
      </c>
      <c r="B135" s="68" t="str">
        <f>Leonard2010!E137</f>
        <v>NA</v>
      </c>
      <c r="C135" s="68" t="str">
        <f>Leonard2010!F137</f>
        <v>NA</v>
      </c>
      <c r="D135" t="str">
        <f>IF(B135="NA","NA",VLOOKUP(B135,Leonard2010!E:H,3,FALSE))</f>
        <v>NA</v>
      </c>
      <c r="E135">
        <f>IF(A135="NA","NA",VLOOKUP(A135,Leonard2010!D:I,6,FALSE))</f>
        <v>18.100000000000001</v>
      </c>
      <c r="F135" t="str">
        <f>IF(C135="NA","NA",VLOOKUP(C135,Leonard2010!F:K,6,FALSE))</f>
        <v>NA</v>
      </c>
      <c r="G135" t="str">
        <f>IF(B135="NA","NA",VLOOKUP(B135,Leonard2010!E:H,4,FALSE))</f>
        <v>NA</v>
      </c>
      <c r="H135">
        <f>IF(A135="NA","NA",VLOOKUP(A135,Leonard2010!D:J,7,FALSE))</f>
        <v>338</v>
      </c>
      <c r="I135" t="str">
        <f>IF(C135="NA","NA",VLOOKUP(C135,Leonard2010!F:L,7,FALSE))</f>
        <v>NA</v>
      </c>
      <c r="J135">
        <f>IF(A135="NA","NA",VLOOKUP(A135,Leonard2010!D:N,11,FALSE))</f>
        <v>53</v>
      </c>
      <c r="K135" t="s">
        <v>552</v>
      </c>
      <c r="L135">
        <f>VLOOKUP(A135,Leonard2010!D:AJ,32,FALSE)</f>
        <v>52</v>
      </c>
      <c r="M135">
        <f>VLOOKUP($A135,Leonard2010!D:AK,33,FALSE)</f>
        <v>74</v>
      </c>
      <c r="N135">
        <f>VLOOKUP($A135,Leonard2010!D:AL,34,FALSE)</f>
        <v>96</v>
      </c>
      <c r="O135" t="str">
        <f t="shared" si="29"/>
        <v>NA</v>
      </c>
      <c r="P135" t="str">
        <f t="shared" si="27"/>
        <v>NA</v>
      </c>
      <c r="Q135" t="str">
        <f>IF(B135="NA","0",VLOOKUP(B135,SectionGeometry!C:E,3,FALSE)*IF(C135="NA",X$277/(X$277+X$276),X$277))</f>
        <v>0</v>
      </c>
      <c r="R135">
        <f>Q135*IF(B135="NA",0,((VLOOKUP(B135,SectionGeometry!C:Z,24,FALSE))))</f>
        <v>0</v>
      </c>
      <c r="S135">
        <f>IF(R135=0,0,Q135*3.3*10^10*P135*10^6*(1/O135)*VLOOKUP(B135,SectionGeometry!C:AA,25,FALSE)*10^-3)</f>
        <v>0</v>
      </c>
      <c r="T135">
        <f t="shared" si="31"/>
        <v>0.96126169593831878</v>
      </c>
      <c r="U135">
        <f>IF(K135="N",E135*35/SIN(RADIANS(J135)),IF(K135="Y",VLOOKUP(A135,Leonard2010!D:U,18,FALSE),IF(C135="NA",VLOOKUP(A135,MSSM_AdaptedSources!B:K,10,FALSE),"CHECK")))</f>
        <v>414</v>
      </c>
      <c r="V135">
        <f>(1*VLOOKUP(A135,FaultGeometry!B:C,2,FALSE))-Q135-AA135</f>
        <v>1</v>
      </c>
      <c r="W135">
        <f>V135*(VLOOKUP(A135,FaultGeometry!B:Y,24,FALSE))</f>
        <v>598082495091984.12</v>
      </c>
      <c r="X135">
        <f>V135*3.3*10^10*U135*10^6*(1/T135)*VLOOKUP(A135,FaultGeometry!B:O,14,FALSE)*10^-3</f>
        <v>1147222240076626</v>
      </c>
      <c r="Y135" t="str">
        <f t="shared" si="24"/>
        <v>NA</v>
      </c>
      <c r="Z135" t="str">
        <f>IF(C135="NA","NA",VLOOKUP(C135,MSSM_AdaptedSources!B:K,10,FALSE))</f>
        <v>NA</v>
      </c>
      <c r="AA135" t="str">
        <f>IF(C135="NA","0",VLOOKUP(C135,MultiFaultGeometry!B:C,2,FALSE)*IF(B135="NA",X$278/(X$278+X$276),X$278))</f>
        <v>0</v>
      </c>
      <c r="AB135">
        <f>AA135*IF(C135="NA",0,VLOOKUP(C135,MultiFaultGeometry!B:O,14,FALSE))</f>
        <v>0</v>
      </c>
      <c r="AC135">
        <f>IF(AB135=0,0,AA135*3.3*10^10*Z135*10^6*(1/Y135)*VLOOKUP(C135,MultiFaultGeometry!B:G,5,FALSE)*10^-3)</f>
        <v>0</v>
      </c>
      <c r="AE135" s="68">
        <f t="shared" si="30"/>
        <v>598082495091984.12</v>
      </c>
      <c r="AF135" s="68">
        <f t="shared" si="32"/>
        <v>1147222240076626</v>
      </c>
      <c r="AG135" s="68"/>
    </row>
    <row r="136" spans="1:33" x14ac:dyDescent="0.2">
      <c r="A136" s="68" t="str">
        <f>Leonard2010!D138</f>
        <v>Sani</v>
      </c>
      <c r="B136" s="68" t="str">
        <f>Leonard2010!E138</f>
        <v>Sani South</v>
      </c>
      <c r="C136" s="68" t="str">
        <f>Leonard2010!F138</f>
        <v>Sani-Chombo-Nkhotakota</v>
      </c>
      <c r="D136">
        <f>IF(B136="NA","NA",VLOOKUP(B136,Leonard2010!E:H,3,FALSE))</f>
        <v>11.9</v>
      </c>
      <c r="E136">
        <f>IF(A136="NA","NA",VLOOKUP(A136,Leonard2010!D:I,6,FALSE))</f>
        <v>30.7</v>
      </c>
      <c r="F136">
        <f>IF(C136="NA","NA",VLOOKUP(C136,Leonard2010!F:K,6,FALSE))</f>
        <v>50.5</v>
      </c>
      <c r="G136">
        <f>IF(B136="NA","NA",VLOOKUP(B136,Leonard2010!E:H,4,FALSE))</f>
        <v>174</v>
      </c>
      <c r="H136">
        <f>IF(A136="NA","NA",VLOOKUP(A136,Leonard2010!D:J,7,FALSE))</f>
        <v>170</v>
      </c>
      <c r="I136">
        <f>IF(C136="NA","NA",VLOOKUP(C136,Leonard2010!F:L,7,FALSE))</f>
        <v>166</v>
      </c>
      <c r="J136">
        <f>IF(A136="NA","NA",VLOOKUP(A136,Leonard2010!D:N,11,FALSE))</f>
        <v>53</v>
      </c>
      <c r="K136" t="s">
        <v>211</v>
      </c>
      <c r="L136">
        <f>VLOOKUP(A136,Leonard2010!D:AJ,32,FALSE)</f>
        <v>52</v>
      </c>
      <c r="M136">
        <f>VLOOKUP($A136,Leonard2010!D:AK,33,FALSE)</f>
        <v>74</v>
      </c>
      <c r="N136">
        <f>VLOOKUP($A136,Leonard2010!D:AL,34,FALSE)</f>
        <v>96</v>
      </c>
      <c r="O136">
        <f t="shared" si="29"/>
        <v>0.97814760073380569</v>
      </c>
      <c r="P136">
        <f t="shared" si="27"/>
        <v>521.514501622068</v>
      </c>
      <c r="Q136">
        <f>IF(B136="NA","0",VLOOKUP(B136,SectionGeometry!C:E,3,FALSE)*IF(C136="NA",X$277/(X$277+X$276),X$277))</f>
        <v>0.1</v>
      </c>
      <c r="R136">
        <f>Q136*IF(B136="NA",0,((VLOOKUP(B136,SectionGeometry!C:Z,24,FALSE))))</f>
        <v>27182829869201.062</v>
      </c>
      <c r="S136">
        <f>IF(R136=0,0,Q136*3.3*10^10*P136*10^6*(1/O136)*VLOOKUP(B136,SectionGeometry!C:AA,25,FALSE)*10^-3)</f>
        <v>141903823808986.34</v>
      </c>
      <c r="T136">
        <f t="shared" si="31"/>
        <v>0.96126169593831889</v>
      </c>
      <c r="U136">
        <f>IF(K136="N",E136*35/SIN(RADIANS(J136)),IF(K136="Y",VLOOKUP(A136,Leonard2010!D:U,18,FALSE),IF(C136="NA",VLOOKUP(A136,MSSM_AdaptedSources!B:K,10,FALSE),"CHECK")))</f>
        <v>1345.4197646888645</v>
      </c>
      <c r="V136">
        <f>(1*VLOOKUP(A136,FaultGeometry!B:C,2,FALSE))-Q136-AA136</f>
        <v>0.30000000000000004</v>
      </c>
      <c r="W136">
        <f>V136*(VLOOKUP(A136,FaultGeometry!B:Y,24,FALSE))</f>
        <v>438198789174766.69</v>
      </c>
      <c r="X136">
        <f>V136*3.3*10^10*U136*10^6*(1/T136)*VLOOKUP(A136,FaultGeometry!B:O,14,FALSE)*10^-3</f>
        <v>1118709986190394.8</v>
      </c>
      <c r="Y136">
        <f t="shared" si="24"/>
        <v>0.93969262078590832</v>
      </c>
      <c r="Z136">
        <f>IF(C136="NA","NA",VLOOKUP(C136,MSSM_AdaptedSources!B:K,10,FALSE))</f>
        <v>2213.1497757911288</v>
      </c>
      <c r="AA136">
        <f>IF(C136="NA","0",VLOOKUP(C136,MultiFaultGeometry!B:C,2,FALSE)*IF(B136="NA",X$278/(X$278+X$276),X$278))</f>
        <v>0.6</v>
      </c>
      <c r="AB136">
        <f>AA136*IF(C136="NA",0,VLOOKUP(C136,MultiFaultGeometry!B:O,14,FALSE))</f>
        <v>2001909771207350.2</v>
      </c>
      <c r="AC136">
        <f>IF(AB136=0,0,AA136*3.3*10^10*Z136*10^6*(1/Y136)*VLOOKUP(C136,MultiFaultGeometry!B:G,5,FALSE)*10^-3)</f>
        <v>3740072809627981.5</v>
      </c>
      <c r="AE136" s="68">
        <f t="shared" si="30"/>
        <v>0</v>
      </c>
      <c r="AF136" s="68">
        <f t="shared" si="32"/>
        <v>0</v>
      </c>
      <c r="AG136" s="68"/>
    </row>
    <row r="137" spans="1:33" x14ac:dyDescent="0.2">
      <c r="A137" s="68" t="str">
        <f>Leonard2010!D139</f>
        <v>Sani</v>
      </c>
      <c r="B137" s="68" t="str">
        <f>Leonard2010!E139</f>
        <v>Sani Central</v>
      </c>
      <c r="C137" s="68" t="str">
        <f>Leonard2010!F139</f>
        <v>Sani-Chombo-Nkhotakota</v>
      </c>
      <c r="D137">
        <f>IF(B137="NA","NA",VLOOKUP(B137,Leonard2010!E:H,3,FALSE))</f>
        <v>8.6</v>
      </c>
      <c r="E137">
        <f>IF(A137="NA","NA",VLOOKUP(A137,Leonard2010!D:I,6,FALSE))</f>
        <v>30.7</v>
      </c>
      <c r="F137">
        <f>IF(C137="NA","NA",VLOOKUP(C137,Leonard2010!F:K,6,FALSE))</f>
        <v>50.5</v>
      </c>
      <c r="G137">
        <f>IF(B137="NA","NA",VLOOKUP(B137,Leonard2010!E:H,4,FALSE))</f>
        <v>172</v>
      </c>
      <c r="H137">
        <f>IF(A137="NA","NA",VLOOKUP(A137,Leonard2010!D:J,7,FALSE))</f>
        <v>170</v>
      </c>
      <c r="I137">
        <f>IF(C137="NA","NA",VLOOKUP(C137,Leonard2010!F:L,7,FALSE))</f>
        <v>166</v>
      </c>
      <c r="J137">
        <f>IF(A137="NA","NA",VLOOKUP(A137,Leonard2010!D:N,11,FALSE))</f>
        <v>53</v>
      </c>
      <c r="K137" t="s">
        <v>211</v>
      </c>
      <c r="L137">
        <f>VLOOKUP(A137,Leonard2010!D:AJ,32,FALSE)</f>
        <v>52</v>
      </c>
      <c r="M137">
        <f>VLOOKUP($A137,Leonard2010!D:AK,33,FALSE)</f>
        <v>74</v>
      </c>
      <c r="N137">
        <f>VLOOKUP($A137,Leonard2010!D:AL,34,FALSE)</f>
        <v>96</v>
      </c>
      <c r="O137">
        <f t="shared" si="29"/>
        <v>0.97029572627599647</v>
      </c>
      <c r="P137">
        <f t="shared" si="27"/>
        <v>376.8928331050239</v>
      </c>
      <c r="Q137">
        <f>IF(B137="NA","0",VLOOKUP(B137,SectionGeometry!C:E,3,FALSE)*IF(C137="NA",X$277/(X$277+X$276),X$277))</f>
        <v>0.1</v>
      </c>
      <c r="R137">
        <f>Q137*IF(B137="NA",0,((VLOOKUP(B137,SectionGeometry!C:Z,24,FALSE))))</f>
        <v>15861407466168.057</v>
      </c>
      <c r="S137">
        <f>IF(R137=0,0,Q137*3.3*10^10*P137*10^6*(1/O137)*VLOOKUP(B137,SectionGeometry!C:AA,25,FALSE)*10^-3)</f>
        <v>102362961349643.17</v>
      </c>
      <c r="T137">
        <f t="shared" si="31"/>
        <v>0.96126169593831889</v>
      </c>
      <c r="U137">
        <f>IF(K137="N",E137*35/SIN(RADIANS(J137)),IF(K137="Y",VLOOKUP(A137,Leonard2010!D:U,18,FALSE),IF(C137="NA",VLOOKUP(A137,MSSM_AdaptedSources!B:K,10,FALSE),"CHECK")))</f>
        <v>1345.4197646888645</v>
      </c>
      <c r="V137">
        <f>(1*VLOOKUP(A137,FaultGeometry!B:C,2,FALSE))-Q137-AA137</f>
        <v>0.30000000000000004</v>
      </c>
      <c r="W137">
        <f>V137*(VLOOKUP(A137,FaultGeometry!B:Y,24,FALSE))</f>
        <v>438198789174766.69</v>
      </c>
      <c r="X137">
        <f>V137*3.3*10^10*U137*10^6*(1/T137)*VLOOKUP(A137,FaultGeometry!B:O,14,FALSE)*10^-3</f>
        <v>1118709986190394.8</v>
      </c>
      <c r="Y137">
        <f t="shared" si="24"/>
        <v>0.93969262078590832</v>
      </c>
      <c r="Z137">
        <f>IF(C137="NA","NA",VLOOKUP(C137,MSSM_AdaptedSources!B:K,10,FALSE))</f>
        <v>2213.1497757911288</v>
      </c>
      <c r="AA137">
        <f>IF(C137="NA","0",VLOOKUP(C137,MultiFaultGeometry!B:C,2,FALSE)*IF(B137="NA",X$278/(X$278+X$276),X$278))</f>
        <v>0.6</v>
      </c>
      <c r="AB137">
        <f>AA137*IF(C137="NA",0,VLOOKUP(C137,MultiFaultGeometry!B:O,14,FALSE))</f>
        <v>2001909771207350.2</v>
      </c>
      <c r="AC137">
        <f>IF(AB137=0,0,AA137*3.3*10^10*Z137*10^6*(1/Y137)*VLOOKUP(C137,MultiFaultGeometry!B:G,5,FALSE)*10^-3)</f>
        <v>3740072809627981.5</v>
      </c>
      <c r="AE137" s="68">
        <f t="shared" si="30"/>
        <v>0</v>
      </c>
      <c r="AF137" s="68">
        <f t="shared" si="32"/>
        <v>0</v>
      </c>
      <c r="AG137" s="68"/>
    </row>
    <row r="138" spans="1:33" x14ac:dyDescent="0.2">
      <c r="A138" s="68" t="str">
        <f>Leonard2010!D140</f>
        <v>Sani</v>
      </c>
      <c r="B138" s="68" t="str">
        <f>Leonard2010!E140</f>
        <v>Sani North</v>
      </c>
      <c r="C138" s="68" t="str">
        <f>Leonard2010!F140</f>
        <v>Sani-Chombo-Nkhotakota</v>
      </c>
      <c r="D138">
        <f>IF(B138="NA","NA",VLOOKUP(B138,Leonard2010!E:H,3,FALSE))</f>
        <v>10.199999999999999</v>
      </c>
      <c r="E138">
        <f>IF(A138="NA","NA",VLOOKUP(A138,Leonard2010!D:I,6,FALSE))</f>
        <v>30.7</v>
      </c>
      <c r="F138">
        <f>IF(C138="NA","NA",VLOOKUP(C138,Leonard2010!F:K,6,FALSE))</f>
        <v>50.5</v>
      </c>
      <c r="G138">
        <f>IF(B138="NA","NA",VLOOKUP(B138,Leonard2010!E:H,4,FALSE))</f>
        <v>163</v>
      </c>
      <c r="H138">
        <f>IF(A138="NA","NA",VLOOKUP(A138,Leonard2010!D:J,7,FALSE))</f>
        <v>170</v>
      </c>
      <c r="I138">
        <f>IF(C138="NA","NA",VLOOKUP(C138,Leonard2010!F:L,7,FALSE))</f>
        <v>166</v>
      </c>
      <c r="J138">
        <f>IF(A138="NA","NA",VLOOKUP(A138,Leonard2010!D:N,11,FALSE))</f>
        <v>53</v>
      </c>
      <c r="K138" t="s">
        <v>211</v>
      </c>
      <c r="L138">
        <f>VLOOKUP(A138,Leonard2010!D:AJ,32,FALSE)</f>
        <v>52</v>
      </c>
      <c r="M138">
        <f>VLOOKUP($A138,Leonard2010!D:AK,33,FALSE)</f>
        <v>74</v>
      </c>
      <c r="N138">
        <f>VLOOKUP($A138,Leonard2010!D:AL,34,FALSE)</f>
        <v>96</v>
      </c>
      <c r="O138">
        <f t="shared" si="29"/>
        <v>0.93358042649720163</v>
      </c>
      <c r="P138">
        <f t="shared" si="27"/>
        <v>447.01242996177251</v>
      </c>
      <c r="Q138">
        <f>IF(B138="NA","0",VLOOKUP(B138,SectionGeometry!C:E,3,FALSE)*IF(C138="NA",X$277/(X$277+X$276),X$277))</f>
        <v>0.1</v>
      </c>
      <c r="R138">
        <f>Q138*IF(B138="NA",0,((VLOOKUP(B138,SectionGeometry!C:Z,24,FALSE))))</f>
        <v>21391177239218.078</v>
      </c>
      <c r="S138">
        <f>IF(R138=0,0,Q138*3.3*10^10*P138*10^6*(1/O138)*VLOOKUP(B138,SectionGeometry!C:AA,25,FALSE)*10^-3)</f>
        <v>128036398288663.36</v>
      </c>
      <c r="T138">
        <f t="shared" si="31"/>
        <v>0.96126169593831889</v>
      </c>
      <c r="U138">
        <f>IF(K138="N",E138*35/SIN(RADIANS(J138)),IF(K138="Y",VLOOKUP(A138,Leonard2010!D:U,18,FALSE),IF(C138="NA",VLOOKUP(A138,MSSM_AdaptedSources!B:K,10,FALSE),"CHECK")))</f>
        <v>1345.4197646888645</v>
      </c>
      <c r="V138">
        <f>(1*VLOOKUP(A138,FaultGeometry!B:C,2,FALSE))-Q138-AA138</f>
        <v>0.30000000000000004</v>
      </c>
      <c r="W138">
        <f>V138*(VLOOKUP(A138,FaultGeometry!B:Y,24,FALSE))</f>
        <v>438198789174766.69</v>
      </c>
      <c r="X138">
        <f>V138*3.3*10^10*U138*10^6*(1/T138)*VLOOKUP(A138,FaultGeometry!B:O,14,FALSE)*10^-3</f>
        <v>1118709986190394.8</v>
      </c>
      <c r="Y138">
        <f t="shared" si="24"/>
        <v>0.93969262078590832</v>
      </c>
      <c r="Z138">
        <f>IF(C138="NA","NA",VLOOKUP(C138,MSSM_AdaptedSources!B:K,10,FALSE))</f>
        <v>2213.1497757911288</v>
      </c>
      <c r="AA138">
        <f>IF(C138="NA","0",VLOOKUP(C138,MultiFaultGeometry!B:C,2,FALSE)*IF(B138="NA",X$278/(X$278+X$276),X$278))</f>
        <v>0.6</v>
      </c>
      <c r="AB138">
        <f>AA138*IF(C138="NA",0,VLOOKUP(C138,MultiFaultGeometry!B:O,14,FALSE))</f>
        <v>2001909771207350.2</v>
      </c>
      <c r="AC138">
        <f>IF(AB138=0,0,AA138*3.3*10^10*Z138*10^6*(1/Y138)*VLOOKUP(C138,MultiFaultGeometry!B:G,5,FALSE)*10^-3)</f>
        <v>3740072809627981.5</v>
      </c>
      <c r="AE138" s="68">
        <f t="shared" si="30"/>
        <v>438198789174766.69</v>
      </c>
      <c r="AF138" s="68">
        <f t="shared" si="32"/>
        <v>1118709986190394.8</v>
      </c>
      <c r="AG138" s="68"/>
    </row>
    <row r="139" spans="1:33" x14ac:dyDescent="0.2">
      <c r="A139" s="68" t="str">
        <f>Leonard2010!D141</f>
        <v>Nkhotakota</v>
      </c>
      <c r="B139" s="68" t="str">
        <f>Leonard2010!E141</f>
        <v>NA</v>
      </c>
      <c r="C139" s="68" t="str">
        <f>Leonard2010!F141</f>
        <v>Sani-Chombo-Nkhotakota</v>
      </c>
      <c r="D139" t="str">
        <f>IF(B139="NA","NA",VLOOKUP(B139,Leonard2010!E:H,3,FALSE))</f>
        <v>NA</v>
      </c>
      <c r="E139">
        <f>IF(A139="NA","NA",VLOOKUP(A139,Leonard2010!D:I,6,FALSE))</f>
        <v>9.3000000000000007</v>
      </c>
      <c r="F139">
        <f>IF(C139="NA","NA",VLOOKUP(C139,Leonard2010!F:K,6,FALSE))</f>
        <v>50.5</v>
      </c>
      <c r="G139" t="str">
        <f>IF(B139="NA","NA",VLOOKUP(B139,Leonard2010!E:H,4,FALSE))</f>
        <v>NA</v>
      </c>
      <c r="H139">
        <f>IF(A139="NA","NA",VLOOKUP(A139,Leonard2010!D:J,7,FALSE))</f>
        <v>180</v>
      </c>
      <c r="I139">
        <f>IF(C139="NA","NA",VLOOKUP(C139,Leonard2010!F:L,7,FALSE))</f>
        <v>166</v>
      </c>
      <c r="J139">
        <f>IF(A139="NA","NA",VLOOKUP(A139,Leonard2010!D:N,11,FALSE))</f>
        <v>53</v>
      </c>
      <c r="K139" t="s">
        <v>211</v>
      </c>
      <c r="L139">
        <f>VLOOKUP(A139,Leonard2010!D:AJ,32,FALSE)</f>
        <v>52</v>
      </c>
      <c r="M139">
        <f>VLOOKUP($A139,Leonard2010!D:AK,33,FALSE)</f>
        <v>74</v>
      </c>
      <c r="N139">
        <f>VLOOKUP($A139,Leonard2010!D:AL,34,FALSE)</f>
        <v>96</v>
      </c>
      <c r="O139" t="str">
        <f t="shared" si="29"/>
        <v>NA</v>
      </c>
      <c r="P139" t="str">
        <f t="shared" si="27"/>
        <v>NA</v>
      </c>
      <c r="Q139" t="str">
        <f>IF(B139="NA","0",VLOOKUP(B139,SectionGeometry!C:E,3,FALSE)*IF(C139="NA",X$277/(X$277+X$276),X$277))</f>
        <v>0</v>
      </c>
      <c r="R139">
        <f>Q139*IF(B139="NA",0,((VLOOKUP(B139,SectionGeometry!C:Z,24,FALSE))))</f>
        <v>0</v>
      </c>
      <c r="S139">
        <f>IF(R139=0,0,Q139*3.3*10^10*P139*10^6*(1/O139)*VLOOKUP(B139,SectionGeometry!C:AA,25,FALSE)*10^-3)</f>
        <v>0</v>
      </c>
      <c r="T139">
        <f t="shared" si="31"/>
        <v>0.96126169593831889</v>
      </c>
      <c r="U139">
        <f>IF(K139="N",E139*35/SIN(RADIANS(J139)),IF(K139="Y",VLOOKUP(A139,Leonard2010!D:U,18,FALSE),IF(C139="NA",VLOOKUP(A139,MSSM_AdaptedSources!B:K,10,FALSE),"CHECK")))</f>
        <v>407.57015672985148</v>
      </c>
      <c r="V139">
        <f>(1*VLOOKUP(A139,FaultGeometry!B:C,2,FALSE))-Q139-AA139</f>
        <v>0.33333333333333326</v>
      </c>
      <c r="W139">
        <f>V139*(VLOOKUP(A139,FaultGeometry!B:Y,24,FALSE))</f>
        <v>64023593175232.297</v>
      </c>
      <c r="X139">
        <f>V139*3.3*10^10*U139*10^6*(1/T139)*VLOOKUP(A139,FaultGeometry!B:O,14,FALSE)*10^-3</f>
        <v>364636785333108.81</v>
      </c>
      <c r="Y139">
        <f t="shared" si="24"/>
        <v>0.93969262078590832</v>
      </c>
      <c r="Z139">
        <f>IF(C139="NA","NA",VLOOKUP(C139,MSSM_AdaptedSources!B:K,10,FALSE))</f>
        <v>2213.1497757911288</v>
      </c>
      <c r="AA139">
        <f>IF(C139="NA","0",VLOOKUP(C139,MultiFaultGeometry!B:C,2,FALSE)*IF(B139="NA",X$278/(X$278+X$276),X$278))</f>
        <v>0.66666666666666674</v>
      </c>
      <c r="AB139">
        <f>AA139*IF(C139="NA",0,VLOOKUP(C139,MultiFaultGeometry!B:O,14,FALSE))</f>
        <v>2224344190230389.5</v>
      </c>
      <c r="AC139">
        <f>IF(AB139=0,0,AA139*3.3*10^10*Z139*10^6*(1/Y139)*VLOOKUP(C139,MultiFaultGeometry!B:G,5,FALSE)*10^-3)</f>
        <v>4155636455142203</v>
      </c>
      <c r="AE139" s="68">
        <f t="shared" si="30"/>
        <v>64023593175232.297</v>
      </c>
      <c r="AF139" s="68">
        <f t="shared" si="32"/>
        <v>364636785333108.81</v>
      </c>
      <c r="AG139" s="68"/>
    </row>
    <row r="140" spans="1:33" x14ac:dyDescent="0.2">
      <c r="A140" s="68" t="str">
        <f>Leonard2010!D142</f>
        <v>Chombo</v>
      </c>
      <c r="B140" s="68" t="str">
        <f>Leonard2010!E142</f>
        <v>NA</v>
      </c>
      <c r="C140" s="68" t="str">
        <f>Leonard2010!F142</f>
        <v>Sani-Chombo-Nkhotakota</v>
      </c>
      <c r="D140" t="str">
        <f>IF(B140="NA","NA",VLOOKUP(B140,Leonard2010!E:H,3,FALSE))</f>
        <v>NA</v>
      </c>
      <c r="E140">
        <f>IF(A140="NA","NA",VLOOKUP(A140,Leonard2010!D:I,6,FALSE))</f>
        <v>10.5</v>
      </c>
      <c r="F140">
        <f>IF(C140="NA","NA",VLOOKUP(C140,Leonard2010!F:K,6,FALSE))</f>
        <v>50.5</v>
      </c>
      <c r="G140" t="str">
        <f>IF(B140="NA","NA",VLOOKUP(B140,Leonard2010!E:H,4,FALSE))</f>
        <v>NA</v>
      </c>
      <c r="H140">
        <f>IF(A140="NA","NA",VLOOKUP(A140,Leonard2010!D:J,7,FALSE))</f>
        <v>148</v>
      </c>
      <c r="I140">
        <f>IF(C140="NA","NA",VLOOKUP(C140,Leonard2010!F:L,7,FALSE))</f>
        <v>166</v>
      </c>
      <c r="J140">
        <f>IF(A140="NA","NA",VLOOKUP(A140,Leonard2010!D:N,11,FALSE))</f>
        <v>53</v>
      </c>
      <c r="K140" t="s">
        <v>211</v>
      </c>
      <c r="L140">
        <f>VLOOKUP(A140,Leonard2010!D:AJ,32,FALSE)</f>
        <v>52</v>
      </c>
      <c r="M140">
        <f>VLOOKUP($A140,Leonard2010!D:AK,33,FALSE)</f>
        <v>74</v>
      </c>
      <c r="N140">
        <f>VLOOKUP($A140,Leonard2010!D:AL,34,FALSE)</f>
        <v>96</v>
      </c>
      <c r="O140" t="str">
        <f t="shared" si="29"/>
        <v>NA</v>
      </c>
      <c r="P140" t="str">
        <f t="shared" si="27"/>
        <v>NA</v>
      </c>
      <c r="Q140" t="str">
        <f>IF(B140="NA","0",VLOOKUP(B140,SectionGeometry!C:E,3,FALSE)*IF(C140="NA",X$277/(X$277+X$276),X$277))</f>
        <v>0</v>
      </c>
      <c r="R140">
        <f>Q140*IF(B140="NA",0,((VLOOKUP(B140,SectionGeometry!C:Z,24,FALSE))))</f>
        <v>0</v>
      </c>
      <c r="S140">
        <f>IF(R140=0,0,Q140*3.3*10^10*P140*10^6*(1/O140)*VLOOKUP(B140,SectionGeometry!C:AA,25,FALSE)*10^-3)</f>
        <v>0</v>
      </c>
      <c r="T140">
        <f t="shared" si="31"/>
        <v>0.96126169593831889</v>
      </c>
      <c r="U140">
        <f>IF(K140="N",E140*35/SIN(RADIANS(J140)),IF(K140="Y",VLOOKUP(A140,Leonard2010!D:U,18,FALSE),IF(C140="NA",VLOOKUP(A140,MSSM_AdaptedSources!B:K,10,FALSE),"CHECK")))</f>
        <v>460.15985437241295</v>
      </c>
      <c r="V140">
        <f>(1*VLOOKUP(A140,FaultGeometry!B:C,2,FALSE))-Q140-AA140</f>
        <v>0.33333333333333326</v>
      </c>
      <c r="W140">
        <f>V140*(VLOOKUP(A140,FaultGeometry!B:Y,24,FALSE))</f>
        <v>77440823145042.844</v>
      </c>
      <c r="X140">
        <f>V140*3.3*10^10*U140*10^6*(1/T140)*VLOOKUP(A140,FaultGeometry!B:O,14,FALSE)*10^-3</f>
        <v>422702512989330.31</v>
      </c>
      <c r="Y140">
        <f t="shared" si="24"/>
        <v>0.93969262078590832</v>
      </c>
      <c r="Z140">
        <f>IF(C140="NA","NA",VLOOKUP(C140,MSSM_AdaptedSources!B:K,10,FALSE))</f>
        <v>2213.1497757911288</v>
      </c>
      <c r="AA140">
        <f>IF(C140="NA","0",VLOOKUP(C140,MultiFaultGeometry!B:C,2,FALSE)*IF(B140="NA",X$278/(X$278+X$276),X$278))</f>
        <v>0.66666666666666674</v>
      </c>
      <c r="AB140">
        <f>AA140*IF(C140="NA",0,VLOOKUP(C140,MultiFaultGeometry!B:O,14,FALSE))</f>
        <v>2224344190230389.5</v>
      </c>
      <c r="AC140">
        <f>IF(AB140=0,0,AA140*3.3*10^10*Z140*10^6*(1/Y140)*VLOOKUP(C140,MultiFaultGeometry!B:G,5,FALSE)*10^-3)</f>
        <v>4155636455142203</v>
      </c>
      <c r="AE140" s="68">
        <f t="shared" si="30"/>
        <v>77440823145042.844</v>
      </c>
      <c r="AF140" s="68">
        <f t="shared" si="32"/>
        <v>422702512989330.31</v>
      </c>
      <c r="AG140" s="68"/>
    </row>
    <row r="141" spans="1:33" x14ac:dyDescent="0.2">
      <c r="A141" s="68" t="str">
        <f>Leonard2010!D143</f>
        <v>Kaungozi</v>
      </c>
      <c r="B141" s="68" t="str">
        <f>Leonard2010!E143</f>
        <v>NA</v>
      </c>
      <c r="C141" s="68" t="str">
        <f>Leonard2010!F143</f>
        <v>NA</v>
      </c>
      <c r="D141" t="str">
        <f>IF(B141="NA","NA",VLOOKUP(B141,Leonard2010!E:H,3,FALSE))</f>
        <v>NA</v>
      </c>
      <c r="E141">
        <f>IF(A141="NA","NA",VLOOKUP(A141,Leonard2010!D:I,6,FALSE))</f>
        <v>24.7</v>
      </c>
      <c r="F141" t="str">
        <f>IF(C141="NA","NA",VLOOKUP(C141,Leonard2010!F:K,6,FALSE))</f>
        <v>NA</v>
      </c>
      <c r="G141" t="str">
        <f>IF(B141="NA","NA",VLOOKUP(B141,Leonard2010!E:H,4,FALSE))</f>
        <v>NA</v>
      </c>
      <c r="H141">
        <f>IF(A141="NA","NA",VLOOKUP(A141,Leonard2010!D:J,7,FALSE))</f>
        <v>169</v>
      </c>
      <c r="I141" t="str">
        <f>IF(C141="NA","NA",VLOOKUP(C141,Leonard2010!F:L,7,FALSE))</f>
        <v>NA</v>
      </c>
      <c r="J141">
        <f>IF(A141="NA","NA",VLOOKUP(A141,Leonard2010!D:N,11,FALSE))</f>
        <v>53</v>
      </c>
      <c r="K141" t="s">
        <v>211</v>
      </c>
      <c r="L141">
        <f>VLOOKUP(A141,Leonard2010!D:AJ,32,FALSE)</f>
        <v>52</v>
      </c>
      <c r="M141">
        <f>VLOOKUP($A141,Leonard2010!D:AK,33,FALSE)</f>
        <v>74</v>
      </c>
      <c r="N141">
        <f>VLOOKUP($A141,Leonard2010!D:AL,34,FALSE)</f>
        <v>96</v>
      </c>
      <c r="O141" t="str">
        <f t="shared" si="29"/>
        <v>NA</v>
      </c>
      <c r="P141" t="str">
        <f t="shared" si="27"/>
        <v>NA</v>
      </c>
      <c r="Q141" t="str">
        <f>IF(B141="NA","0",VLOOKUP(B141,SectionGeometry!C:E,3,FALSE)*IF(C141="NA",X$277/(X$277+X$276),X$277))</f>
        <v>0</v>
      </c>
      <c r="R141">
        <f>Q141*IF(B141="NA",0,((VLOOKUP(B141,SectionGeometry!C:Z,24,FALSE))))</f>
        <v>0</v>
      </c>
      <c r="S141">
        <f>IF(R141=0,0,Q141*3.3*10^10*P141*10^6*(1/O141)*VLOOKUP(B141,SectionGeometry!C:AA,25,FALSE)*10^-3)</f>
        <v>0</v>
      </c>
      <c r="T141">
        <f t="shared" si="31"/>
        <v>0.95630475596303555</v>
      </c>
      <c r="U141">
        <f>IF(K141="N",E141*35/SIN(RADIANS(J141)),IF(K141="Y",VLOOKUP(A141,Leonard2010!D:U,18,FALSE),IF(C141="NA",VLOOKUP(A141,MSSM_AdaptedSources!B:K,10,FALSE),"CHECK")))</f>
        <v>1082.471276476057</v>
      </c>
      <c r="V141">
        <f>(1*VLOOKUP(A141,FaultGeometry!B:C,2,FALSE))-Q141-AA141</f>
        <v>1</v>
      </c>
      <c r="W141">
        <f>V141*(VLOOKUP(A141,FaultGeometry!B:Y,24,FALSE))</f>
        <v>997018403979290.12</v>
      </c>
      <c r="X141">
        <f>V141*3.3*10^10*U141*10^6*(1/T141)*VLOOKUP(A141,FaultGeometry!B:O,14,FALSE)*10^-3</f>
        <v>3009443315314066.5</v>
      </c>
      <c r="Y141" t="str">
        <f t="shared" si="24"/>
        <v>NA</v>
      </c>
      <c r="Z141" t="str">
        <f>IF(C141="NA","NA",VLOOKUP(C141,MSSM_AdaptedSources!B:K,10,FALSE))</f>
        <v>NA</v>
      </c>
      <c r="AA141" t="str">
        <f>IF(C141="NA","0",VLOOKUP(C141,MultiFaultGeometry!B:C,2,FALSE)*IF(B141="NA",X$278/(X$278+X$276),X$278))</f>
        <v>0</v>
      </c>
      <c r="AB141">
        <f>AA141*IF(C141="NA",0,VLOOKUP(C141,MultiFaultGeometry!B:O,14,FALSE))</f>
        <v>0</v>
      </c>
      <c r="AC141">
        <f>IF(AB141=0,0,AA141*3.3*10^10*Z141*10^6*(1/Y141)*VLOOKUP(C141,MultiFaultGeometry!B:G,5,FALSE)*10^-3)</f>
        <v>0</v>
      </c>
      <c r="AE141" s="68">
        <f t="shared" si="30"/>
        <v>997018403979290.12</v>
      </c>
      <c r="AF141" s="68">
        <f t="shared" si="32"/>
        <v>3009443315314066.5</v>
      </c>
      <c r="AG141" s="68"/>
    </row>
    <row r="142" spans="1:33" x14ac:dyDescent="0.2">
      <c r="A142" s="68" t="str">
        <f>Leonard2010!D144</f>
        <v>Phirilanyama-1</v>
      </c>
      <c r="B142" s="68" t="str">
        <f>Leonard2010!E144</f>
        <v>NA</v>
      </c>
      <c r="C142" s="68" t="str">
        <f>Leonard2010!F144</f>
        <v>NA</v>
      </c>
      <c r="D142" t="str">
        <f>IF(B142="NA","NA",VLOOKUP(B142,Leonard2010!E:H,3,FALSE))</f>
        <v>NA</v>
      </c>
      <c r="E142">
        <f>IF(A142="NA","NA",VLOOKUP(A142,Leonard2010!D:I,6,FALSE))</f>
        <v>21.4</v>
      </c>
      <c r="F142" t="str">
        <f>IF(C142="NA","NA",VLOOKUP(C142,Leonard2010!F:K,6,FALSE))</f>
        <v>NA</v>
      </c>
      <c r="G142" t="str">
        <f>IF(B142="NA","NA",VLOOKUP(B142,Leonard2010!E:H,4,FALSE))</f>
        <v>NA</v>
      </c>
      <c r="H142">
        <f>IF(A142="NA","NA",VLOOKUP(A142,Leonard2010!D:J,7,FALSE))</f>
        <v>359</v>
      </c>
      <c r="I142" t="str">
        <f>IF(C142="NA","NA",VLOOKUP(C142,Leonard2010!F:L,7,FALSE))</f>
        <v>NA</v>
      </c>
      <c r="J142">
        <f>IF(A142="NA","NA",VLOOKUP(A142,Leonard2010!D:N,11,FALSE))</f>
        <v>53</v>
      </c>
      <c r="K142" t="s">
        <v>552</v>
      </c>
      <c r="L142">
        <f>VLOOKUP(A142,Leonard2010!D:AJ,32,FALSE)</f>
        <v>52</v>
      </c>
      <c r="M142">
        <f>VLOOKUP($A142,Leonard2010!D:AK,33,FALSE)</f>
        <v>74</v>
      </c>
      <c r="N142">
        <f>VLOOKUP($A142,Leonard2010!D:AL,34,FALSE)</f>
        <v>96</v>
      </c>
      <c r="O142" t="str">
        <f t="shared" si="29"/>
        <v>NA</v>
      </c>
      <c r="P142" t="str">
        <f t="shared" si="27"/>
        <v>NA</v>
      </c>
      <c r="Q142" t="str">
        <f>IF(B142="NA","0",VLOOKUP(B142,SectionGeometry!C:E,3,FALSE)*IF(C142="NA",X$277/(X$277+X$276),X$277))</f>
        <v>0</v>
      </c>
      <c r="R142">
        <f>Q142*IF(B142="NA",0,((VLOOKUP(B142,SectionGeometry!C:Z,24,FALSE))))</f>
        <v>0</v>
      </c>
      <c r="S142">
        <f>IF(R142=0,0,Q142*3.3*10^10*P142*10^6*(1/O142)*VLOOKUP(B142,SectionGeometry!C:AA,25,FALSE)*10^-3)</f>
        <v>0</v>
      </c>
      <c r="T142">
        <f t="shared" si="31"/>
        <v>0.96592582628906842</v>
      </c>
      <c r="U142">
        <f>IF(K142="N",E142*35/SIN(RADIANS(J142)),IF(K142="Y",VLOOKUP(A142,Leonard2010!D:U,18,FALSE),IF(C142="NA",VLOOKUP(A142,MSSM_AdaptedSources!B:K,10,FALSE),"CHECK")))</f>
        <v>612</v>
      </c>
      <c r="V142">
        <f>(1*VLOOKUP(A142,FaultGeometry!B:C,2,FALSE))-Q142-AA142</f>
        <v>0.5</v>
      </c>
      <c r="W142">
        <f>V142*(VLOOKUP(A142,FaultGeometry!B:Y,24,FALSE))</f>
        <v>191463415035032.91</v>
      </c>
      <c r="X142">
        <f>V142*3.3*10^10*U142*10^6*(1/T142)*VLOOKUP(A142,FaultGeometry!B:O,14,FALSE)*10^-3</f>
        <v>820880895610331.75</v>
      </c>
      <c r="Y142" t="str">
        <f t="shared" si="24"/>
        <v>NA</v>
      </c>
      <c r="Z142" t="str">
        <f>IF(C142="NA","NA",VLOOKUP(C142,MSSM_AdaptedSources!B:K,10,FALSE))</f>
        <v>NA</v>
      </c>
      <c r="AA142" t="str">
        <f>IF(C142="NA","0",VLOOKUP(C142,MultiFaultGeometry!B:C,2,FALSE)*IF(B142="NA",X$278/(X$278+X$276),X$278))</f>
        <v>0</v>
      </c>
      <c r="AB142">
        <f>AA142*IF(C142="NA",0,VLOOKUP(C142,MultiFaultGeometry!B:O,14,FALSE))</f>
        <v>0</v>
      </c>
      <c r="AC142">
        <f>IF(AB142=0,0,AA142*3.3*10^10*Z142*10^6*(1/Y142)*VLOOKUP(C142,MultiFaultGeometry!B:G,5,FALSE)*10^-3)</f>
        <v>0</v>
      </c>
      <c r="AE142" s="68">
        <f t="shared" si="30"/>
        <v>191463415035032.91</v>
      </c>
      <c r="AF142" s="68">
        <f t="shared" si="32"/>
        <v>820880895610331.75</v>
      </c>
      <c r="AG142" s="68"/>
    </row>
    <row r="143" spans="1:33" x14ac:dyDescent="0.2">
      <c r="A143" s="68" t="str">
        <f>Leonard2010!D145</f>
        <v>Phirilanyama-2</v>
      </c>
      <c r="B143" s="68" t="str">
        <f>Leonard2010!E145</f>
        <v>Phirilanyama-2 North</v>
      </c>
      <c r="C143" s="68" t="str">
        <f>Leonard2010!F145</f>
        <v>NA</v>
      </c>
      <c r="D143">
        <f>IF(B143="NA","NA",VLOOKUP(B143,Leonard2010!E:H,3,FALSE))</f>
        <v>13</v>
      </c>
      <c r="E143">
        <f>IF(A143="NA","NA",VLOOKUP(A143,Leonard2010!D:I,6,FALSE))</f>
        <v>22.1</v>
      </c>
      <c r="F143" t="str">
        <f>IF(C143="NA","NA",VLOOKUP(C143,Leonard2010!F:K,6,FALSE))</f>
        <v>NA</v>
      </c>
      <c r="G143">
        <f>IF(B143="NA","NA",VLOOKUP(B143,Leonard2010!E:H,4,FALSE))</f>
        <v>4</v>
      </c>
      <c r="H143">
        <f>IF(A143="NA","NA",VLOOKUP(A143,Leonard2010!D:J,7,FALSE))</f>
        <v>348</v>
      </c>
      <c r="I143" t="str">
        <f>IF(C143="NA","NA",VLOOKUP(C143,Leonard2010!F:L,7,FALSE))</f>
        <v>NA</v>
      </c>
      <c r="J143">
        <f>IF(A143="NA","NA",VLOOKUP(A143,Leonard2010!D:N,11,FALSE))</f>
        <v>53</v>
      </c>
      <c r="K143" t="s">
        <v>552</v>
      </c>
      <c r="L143">
        <f>VLOOKUP(A143,Leonard2010!D:AJ,32,FALSE)</f>
        <v>52</v>
      </c>
      <c r="M143">
        <f>VLOOKUP($A143,Leonard2010!D:AK,33,FALSE)</f>
        <v>74</v>
      </c>
      <c r="N143">
        <f>VLOOKUP($A143,Leonard2010!D:AL,34,FALSE)</f>
        <v>96</v>
      </c>
      <c r="O143">
        <f t="shared" si="29"/>
        <v>0.93969262078590843</v>
      </c>
      <c r="P143">
        <f>D143*(597/E143)</f>
        <v>351.1764705882353</v>
      </c>
      <c r="Q143">
        <f>IF(B143="NA","0",VLOOKUP(B143,SectionGeometry!C:E,3,FALSE)*IF(C143="NA",X$277/(X$277+X$276),X$277))</f>
        <v>0.125</v>
      </c>
      <c r="R143">
        <f>Q143*IF(B143="NA",0,((VLOOKUP(B143,SectionGeometry!C:Z,24,FALSE))))</f>
        <v>19143707532551.035</v>
      </c>
      <c r="S143">
        <f>IF(R143=0,0,Q143*3.3*10^10*P143*10^6*(1/O143)*VLOOKUP(B143,SectionGeometry!C:AA,25,FALSE)*10^-3)</f>
        <v>118306482191073.55</v>
      </c>
      <c r="T143">
        <f t="shared" si="31"/>
        <v>0.95105651629515353</v>
      </c>
      <c r="U143">
        <f>IF(K143="N",E143*35/SIN(RADIANS(J143)),IF(K143="Y",VLOOKUP(A143,Leonard2010!D:U,18,FALSE),IF(C143="NA",VLOOKUP(A143,MSSM_AdaptedSources!B:K,10,FALSE),"CHECK")))</f>
        <v>597</v>
      </c>
      <c r="V143">
        <f>(1*VLOOKUP(A143,FaultGeometry!B:C,2,FALSE))-Q143-AA143</f>
        <v>0.375</v>
      </c>
      <c r="W143">
        <f>V143*(VLOOKUP(A143,FaultGeometry!B:Y,24,FALSE))</f>
        <v>154601221165254.84</v>
      </c>
      <c r="X143">
        <f>V143*3.3*10^10*U143*10^6*(1/T143)*VLOOKUP(A143,FaultGeometry!B:O,14,FALSE)*10^-3</f>
        <v>636919335209038.12</v>
      </c>
      <c r="Y143" t="str">
        <f t="shared" si="24"/>
        <v>NA</v>
      </c>
      <c r="Z143" t="str">
        <f>IF(C143="NA","NA",VLOOKUP(C143,MSSM_AdaptedSources!B:K,10,FALSE))</f>
        <v>NA</v>
      </c>
      <c r="AA143" t="str">
        <f>IF(C143="NA","0",VLOOKUP(C143,MultiFaultGeometry!B:C,2,FALSE)*IF(B143="NA",X$278/(X$278+X$276),X$278))</f>
        <v>0</v>
      </c>
      <c r="AB143">
        <f>AA143*IF(C143="NA",0,VLOOKUP(C143,MultiFaultGeometry!B:O,14,FALSE))</f>
        <v>0</v>
      </c>
      <c r="AC143">
        <f>IF(AB143=0,0,AA143*3.3*10^10*Z143*10^6*(1/Y143)*VLOOKUP(C143,MultiFaultGeometry!B:G,5,FALSE)*10^-3)</f>
        <v>0</v>
      </c>
      <c r="AE143" s="68">
        <f t="shared" si="30"/>
        <v>0</v>
      </c>
      <c r="AF143" s="68">
        <f t="shared" si="32"/>
        <v>0</v>
      </c>
      <c r="AG143" s="68"/>
    </row>
    <row r="144" spans="1:33" x14ac:dyDescent="0.2">
      <c r="A144" s="68" t="str">
        <f>Leonard2010!D146</f>
        <v>Phirilanyama-2</v>
      </c>
      <c r="B144" s="68" t="str">
        <f>Leonard2010!E146</f>
        <v>Phirilanyama-2 South</v>
      </c>
      <c r="C144" s="68" t="str">
        <f>Leonard2010!F146</f>
        <v>NA</v>
      </c>
      <c r="D144">
        <f>IF(B144="NA","NA",VLOOKUP(B144,Leonard2010!E:H,3,FALSE))</f>
        <v>9.1</v>
      </c>
      <c r="E144">
        <f>IF(A144="NA","NA",VLOOKUP(A144,Leonard2010!D:I,6,FALSE))</f>
        <v>22.1</v>
      </c>
      <c r="F144" t="str">
        <f>IF(C144="NA","NA",VLOOKUP(C144,Leonard2010!F:K,6,FALSE))</f>
        <v>NA</v>
      </c>
      <c r="G144">
        <f>IF(B144="NA","NA",VLOOKUP(B144,Leonard2010!E:H,4,FALSE))</f>
        <v>325</v>
      </c>
      <c r="H144">
        <f>IF(A144="NA","NA",VLOOKUP(A144,Leonard2010!D:J,7,FALSE))</f>
        <v>348</v>
      </c>
      <c r="I144" t="str">
        <f>IF(C144="NA","NA",VLOOKUP(C144,Leonard2010!F:L,7,FALSE))</f>
        <v>NA</v>
      </c>
      <c r="J144">
        <f>IF(A144="NA","NA",VLOOKUP(A144,Leonard2010!D:N,11,FALSE))</f>
        <v>53</v>
      </c>
      <c r="K144" t="s">
        <v>552</v>
      </c>
      <c r="L144">
        <f>VLOOKUP(A144,Leonard2010!D:AJ,32,FALSE)</f>
        <v>52</v>
      </c>
      <c r="M144">
        <f>VLOOKUP($A144,Leonard2010!D:AK,33,FALSE)</f>
        <v>74</v>
      </c>
      <c r="N144">
        <f>VLOOKUP($A144,Leonard2010!D:AL,34,FALSE)</f>
        <v>96</v>
      </c>
      <c r="O144">
        <f t="shared" si="29"/>
        <v>0.94551857559931685</v>
      </c>
      <c r="P144">
        <f>D144*(597/E144)</f>
        <v>245.8235294117647</v>
      </c>
      <c r="Q144">
        <f>IF(B144="NA","0",VLOOKUP(B144,SectionGeometry!C:E,3,FALSE)*IF(C144="NA",X$277/(X$277+X$276),X$277))</f>
        <v>0.125</v>
      </c>
      <c r="R144">
        <f>Q144*IF(B144="NA",0,((VLOOKUP(B144,SectionGeometry!C:Z,24,FALSE))))</f>
        <v>10478385645342.693</v>
      </c>
      <c r="S144">
        <f>IF(R144=0,0,Q144*3.3*10^10*P144*10^6*(1/O144)*VLOOKUP(B144,SectionGeometry!C:AA,25,FALSE)*10^-3)</f>
        <v>82690864343501.703</v>
      </c>
      <c r="T144">
        <f t="shared" si="31"/>
        <v>0.95105651629515353</v>
      </c>
      <c r="U144">
        <f>IF(K144="N",E144*35/SIN(RADIANS(J144)),IF(K144="Y",VLOOKUP(A144,Leonard2010!D:U,18,FALSE),IF(C144="NA",VLOOKUP(A144,MSSM_AdaptedSources!B:K,10,FALSE),"CHECK")))</f>
        <v>597</v>
      </c>
      <c r="V144">
        <f>(1*VLOOKUP(A144,FaultGeometry!B:C,2,FALSE))-Q144-AA144</f>
        <v>0.375</v>
      </c>
      <c r="W144">
        <f>V144*(VLOOKUP(A144,FaultGeometry!B:Y,24,FALSE))</f>
        <v>154601221165254.84</v>
      </c>
      <c r="X144">
        <f>V144*3.3*10^10*U144*10^6*(1/T144)*VLOOKUP(A144,FaultGeometry!B:O,14,FALSE)*10^-3</f>
        <v>636919335209038.12</v>
      </c>
      <c r="Y144" t="str">
        <f t="shared" si="24"/>
        <v>NA</v>
      </c>
      <c r="Z144" t="str">
        <f>IF(C144="NA","NA",VLOOKUP(C144,MSSM_AdaptedSources!B:K,10,FALSE))</f>
        <v>NA</v>
      </c>
      <c r="AA144" t="str">
        <f>IF(C144="NA","0",VLOOKUP(C144,MultiFaultGeometry!B:C,2,FALSE)*IF(B144="NA",X$278/(X$278+X$276),X$278))</f>
        <v>0</v>
      </c>
      <c r="AB144">
        <f>AA144*IF(C144="NA",0,VLOOKUP(C144,MultiFaultGeometry!B:O,14,FALSE))</f>
        <v>0</v>
      </c>
      <c r="AC144">
        <f>IF(AB144=0,0,AA144*3.3*10^10*Z144*10^6*(1/Y144)*VLOOKUP(C144,MultiFaultGeometry!B:G,5,FALSE)*10^-3)</f>
        <v>0</v>
      </c>
      <c r="AE144" s="68">
        <f t="shared" si="30"/>
        <v>154601221165254.84</v>
      </c>
      <c r="AF144" s="68">
        <f t="shared" si="32"/>
        <v>636919335209038.12</v>
      </c>
      <c r="AG144" s="68"/>
    </row>
    <row r="145" spans="1:33" x14ac:dyDescent="0.2">
      <c r="A145" s="68" t="str">
        <f>Leonard2010!D147</f>
        <v>Chilingali</v>
      </c>
      <c r="B145" s="68" t="str">
        <f>Leonard2010!E147</f>
        <v>Chilingali South</v>
      </c>
      <c r="C145" s="68" t="str">
        <f>Leonard2010!F147</f>
        <v>NA</v>
      </c>
      <c r="D145">
        <f>IF(B145="NA","NA",VLOOKUP(B145,Leonard2010!E:H,3,FALSE))</f>
        <v>10</v>
      </c>
      <c r="E145">
        <f>IF(A145="NA","NA",VLOOKUP(A145,Leonard2010!D:I,6,FALSE))</f>
        <v>30.4</v>
      </c>
      <c r="F145" t="str">
        <f>IF(C145="NA","NA",VLOOKUP(C145,Leonard2010!F:K,6,FALSE))</f>
        <v>NA</v>
      </c>
      <c r="G145">
        <f>IF(B145="NA","NA",VLOOKUP(B145,Leonard2010!E:H,4,FALSE))</f>
        <v>175</v>
      </c>
      <c r="H145">
        <f>IF(A145="NA","NA",VLOOKUP(A145,Leonard2010!D:J,7,FALSE))</f>
        <v>183</v>
      </c>
      <c r="I145" t="str">
        <f>IF(C145="NA","NA",VLOOKUP(C145,Leonard2010!F:L,7,FALSE))</f>
        <v>NA</v>
      </c>
      <c r="J145">
        <f>IF(A145="NA","NA",VLOOKUP(A145,Leonard2010!D:N,11,FALSE))</f>
        <v>53</v>
      </c>
      <c r="K145" t="s">
        <v>211</v>
      </c>
      <c r="L145">
        <f>VLOOKUP(A145,Leonard2010!D:AJ,32,FALSE)</f>
        <v>52</v>
      </c>
      <c r="M145">
        <f>VLOOKUP($A145,Leonard2010!D:AK,33,FALSE)</f>
        <v>74</v>
      </c>
      <c r="N145">
        <f>VLOOKUP($A145,Leonard2010!D:AL,34,FALSE)</f>
        <v>96</v>
      </c>
      <c r="O145">
        <f t="shared" si="29"/>
        <v>0.98162718344766386</v>
      </c>
      <c r="P145">
        <f t="shared" ref="P145:P149" si="33">IF(B145="NA","NA",IF(K145="N",D145*(35/SIN(RADIANS(J145))),"CHECK"))</f>
        <v>438.247480354679</v>
      </c>
      <c r="Q145">
        <f>IF(B145="NA","0",VLOOKUP(B145,SectionGeometry!C:E,3,FALSE)*IF(C145="NA",X$277/(X$277+X$276),X$277))</f>
        <v>0.25</v>
      </c>
      <c r="R145">
        <f>Q145*IF(B145="NA",0,((VLOOKUP(B145,SectionGeometry!C:Z,24,FALSE))))</f>
        <v>50911135160812.273</v>
      </c>
      <c r="S145">
        <f>IF(R145=0,0,Q145*3.3*10^10*P145*10^6*(1/O145)*VLOOKUP(B145,SectionGeometry!C:AA,25,FALSE)*10^-3)</f>
        <v>296214017904124.5</v>
      </c>
      <c r="T145">
        <f t="shared" si="31"/>
        <v>0.94551857559931674</v>
      </c>
      <c r="U145">
        <f>IF(K145="N",E145*35/SIN(RADIANS(J145)),IF(K145="Y",VLOOKUP(A145,Leonard2010!D:U,18,FALSE),IF(C145="NA",VLOOKUP(A145,MSSM_AdaptedSources!B:K,10,FALSE),"CHECK")))</f>
        <v>1332.2723402782242</v>
      </c>
      <c r="V145">
        <f>(1*VLOOKUP(A145,FaultGeometry!B:C,2,FALSE))-Q145-AA145</f>
        <v>0.75</v>
      </c>
      <c r="W145">
        <f>V145*(VLOOKUP(A145,FaultGeometry!B:Y,24,FALSE))</f>
        <v>1032605333119345.2</v>
      </c>
      <c r="X145">
        <f>V145*3.3*10^10*U145*10^6*(1/T145)*VLOOKUP(A145,FaultGeometry!B:O,14,FALSE)*10^-3</f>
        <v>2681192377182081</v>
      </c>
      <c r="Y145" t="str">
        <f t="shared" si="24"/>
        <v>NA</v>
      </c>
      <c r="Z145" t="str">
        <f>IF(C145="NA","NA",VLOOKUP(C145,MSSM_AdaptedSources!B:K,10,FALSE))</f>
        <v>NA</v>
      </c>
      <c r="AA145" t="str">
        <f>IF(C145="NA","0",VLOOKUP(C145,MultiFaultGeometry!B:C,2,FALSE)*IF(B145="NA",X$278/(X$278+X$276),X$278))</f>
        <v>0</v>
      </c>
      <c r="AB145">
        <f>AA145*IF(C145="NA",0,VLOOKUP(C145,MultiFaultGeometry!B:O,14,FALSE))</f>
        <v>0</v>
      </c>
      <c r="AC145">
        <f>IF(AB145=0,0,AA145*3.3*10^10*Z145*10^6*(1/Y145)*VLOOKUP(C145,MultiFaultGeometry!B:G,5,FALSE)*10^-3)</f>
        <v>0</v>
      </c>
      <c r="AE145" s="68">
        <f t="shared" si="30"/>
        <v>0</v>
      </c>
      <c r="AF145" s="68">
        <f t="shared" si="32"/>
        <v>0</v>
      </c>
      <c r="AG145" s="68"/>
    </row>
    <row r="146" spans="1:33" x14ac:dyDescent="0.2">
      <c r="A146" s="68" t="str">
        <f>Leonard2010!D148</f>
        <v>Chilingali</v>
      </c>
      <c r="B146" s="68" t="str">
        <f>Leonard2010!E148</f>
        <v>Chilingali Central</v>
      </c>
      <c r="C146" s="68" t="str">
        <f>Leonard2010!F148</f>
        <v>NA</v>
      </c>
      <c r="D146">
        <f>IF(B146="NA","NA",VLOOKUP(B146,Leonard2010!E:H,3,FALSE))</f>
        <v>11.2</v>
      </c>
      <c r="E146">
        <f>IF(A146="NA","NA",VLOOKUP(A146,Leonard2010!D:I,6,FALSE))</f>
        <v>30.4</v>
      </c>
      <c r="F146" t="str">
        <f>IF(C146="NA","NA",VLOOKUP(C146,Leonard2010!F:K,6,FALSE))</f>
        <v>NA</v>
      </c>
      <c r="G146">
        <f>IF(B146="NA","NA",VLOOKUP(B146,Leonard2010!E:H,4,FALSE))</f>
        <v>195</v>
      </c>
      <c r="H146">
        <f>IF(A146="NA","NA",VLOOKUP(A146,Leonard2010!D:J,7,FALSE))</f>
        <v>183</v>
      </c>
      <c r="I146" t="str">
        <f>IF(C146="NA","NA",VLOOKUP(C146,Leonard2010!F:L,7,FALSE))</f>
        <v>NA</v>
      </c>
      <c r="J146">
        <f>IF(A146="NA","NA",VLOOKUP(A146,Leonard2010!D:N,11,FALSE))</f>
        <v>53</v>
      </c>
      <c r="K146" t="s">
        <v>211</v>
      </c>
      <c r="L146">
        <f>VLOOKUP(A146,Leonard2010!D:AJ,32,FALSE)</f>
        <v>52</v>
      </c>
      <c r="M146">
        <f>VLOOKUP($A146,Leonard2010!D:AK,33,FALSE)</f>
        <v>74</v>
      </c>
      <c r="N146">
        <f>VLOOKUP($A146,Leonard2010!D:AL,34,FALSE)</f>
        <v>96</v>
      </c>
      <c r="O146">
        <f t="shared" si="29"/>
        <v>0.85716730070211233</v>
      </c>
      <c r="P146">
        <f t="shared" si="33"/>
        <v>490.83717799724042</v>
      </c>
      <c r="Q146">
        <f>IF(B146="NA","0",VLOOKUP(B146,SectionGeometry!C:E,3,FALSE)*IF(C146="NA",X$277/(X$277+X$276),X$277))</f>
        <v>0.25</v>
      </c>
      <c r="R146">
        <f>Q146*IF(B146="NA",0,((VLOOKUP(B146,SectionGeometry!C:Z,24,FALSE))))</f>
        <v>53139964486275.492</v>
      </c>
      <c r="S146">
        <f>IF(R146=0,0,Q146*3.3*10^10*P146*10^6*(1/O146)*VLOOKUP(B146,SectionGeometry!C:AA,25,FALSE)*10^-3)</f>
        <v>330197290027572.12</v>
      </c>
      <c r="T146">
        <f t="shared" si="31"/>
        <v>0.94551857559931674</v>
      </c>
      <c r="U146">
        <f>IF(K146="N",E146*35/SIN(RADIANS(J146)),IF(K146="Y",VLOOKUP(A146,Leonard2010!D:U,18,FALSE),IF(C146="NA",VLOOKUP(A146,MSSM_AdaptedSources!B:K,10,FALSE),"CHECK")))</f>
        <v>1332.2723402782242</v>
      </c>
      <c r="V146">
        <f>(1*VLOOKUP(A146,FaultGeometry!B:C,2,FALSE))-Q146-AA146</f>
        <v>0.75</v>
      </c>
      <c r="W146">
        <f>V146*(VLOOKUP(A146,FaultGeometry!B:Y,24,FALSE))</f>
        <v>1032605333119345.2</v>
      </c>
      <c r="X146">
        <f>V146*3.3*10^10*U146*10^6*(1/T146)*VLOOKUP(A146,FaultGeometry!B:O,14,FALSE)*10^-3</f>
        <v>2681192377182081</v>
      </c>
      <c r="Y146" t="str">
        <f t="shared" si="24"/>
        <v>NA</v>
      </c>
      <c r="Z146" t="str">
        <f>IF(C146="NA","NA",VLOOKUP(C146,MSSM_AdaptedSources!B:K,10,FALSE))</f>
        <v>NA</v>
      </c>
      <c r="AA146" t="str">
        <f>IF(C146="NA","0",VLOOKUP(C146,MultiFaultGeometry!B:C,2,FALSE)*IF(B146="NA",X$278/(X$278+X$276),X$278))</f>
        <v>0</v>
      </c>
      <c r="AB146">
        <f>AA146*IF(C146="NA",0,VLOOKUP(C146,MultiFaultGeometry!B:O,14,FALSE))</f>
        <v>0</v>
      </c>
      <c r="AC146">
        <f>IF(AB146=0,0,AA146*3.3*10^10*Z146*10^6*(1/Y146)*VLOOKUP(C146,MultiFaultGeometry!B:G,5,FALSE)*10^-3)</f>
        <v>0</v>
      </c>
      <c r="AE146" s="68">
        <f t="shared" si="30"/>
        <v>0</v>
      </c>
      <c r="AF146" s="68">
        <f t="shared" si="32"/>
        <v>0</v>
      </c>
      <c r="AG146" s="68"/>
    </row>
    <row r="147" spans="1:33" x14ac:dyDescent="0.2">
      <c r="A147" s="68" t="str">
        <f>Leonard2010!D149</f>
        <v>Chilingali</v>
      </c>
      <c r="B147" s="68" t="str">
        <f>Leonard2010!E149</f>
        <v>Chilingali North</v>
      </c>
      <c r="C147" s="68" t="str">
        <f>Leonard2010!F149</f>
        <v>NA</v>
      </c>
      <c r="D147">
        <f>IF(B147="NA","NA",VLOOKUP(B147,Leonard2010!E:H,3,FALSE))</f>
        <v>9.1999999999999993</v>
      </c>
      <c r="E147">
        <f>IF(A147="NA","NA",VLOOKUP(A147,Leonard2010!D:I,6,FALSE))</f>
        <v>30.4</v>
      </c>
      <c r="F147" t="str">
        <f>IF(C147="NA","NA",VLOOKUP(C147,Leonard2010!F:K,6,FALSE))</f>
        <v>NA</v>
      </c>
      <c r="G147">
        <f>IF(B147="NA","NA",VLOOKUP(B147,Leonard2010!E:H,4,FALSE))</f>
        <v>177</v>
      </c>
      <c r="H147">
        <f>IF(A147="NA","NA",VLOOKUP(A147,Leonard2010!D:J,7,FALSE))</f>
        <v>183</v>
      </c>
      <c r="I147" t="str">
        <f>IF(C147="NA","NA",VLOOKUP(C147,Leonard2010!F:L,7,FALSE))</f>
        <v>NA</v>
      </c>
      <c r="J147">
        <f>IF(A147="NA","NA",VLOOKUP(A147,Leonard2010!D:N,11,FALSE))</f>
        <v>53</v>
      </c>
      <c r="K147" t="s">
        <v>211</v>
      </c>
      <c r="L147">
        <f>VLOOKUP(A147,Leonard2010!D:AJ,32,FALSE)</f>
        <v>52</v>
      </c>
      <c r="M147">
        <f>VLOOKUP($A147,Leonard2010!D:AK,33,FALSE)</f>
        <v>74</v>
      </c>
      <c r="N147">
        <f>VLOOKUP($A147,Leonard2010!D:AL,34,FALSE)</f>
        <v>96</v>
      </c>
      <c r="O147">
        <f t="shared" si="29"/>
        <v>0.97437006478523525</v>
      </c>
      <c r="P147">
        <f t="shared" si="33"/>
        <v>403.18768192630466</v>
      </c>
      <c r="Q147">
        <f>IF(B147="NA","0",VLOOKUP(B147,SectionGeometry!C:E,3,FALSE)*IF(C147="NA",X$277/(X$277+X$276),X$277))</f>
        <v>0.25</v>
      </c>
      <c r="R147">
        <f>Q147*IF(B147="NA",0,((VLOOKUP(B147,SectionGeometry!C:Z,24,FALSE))))</f>
        <v>43077334637973.703</v>
      </c>
      <c r="S147">
        <f>IF(R147=0,0,Q147*3.3*10^10*P147*10^6*(1/O147)*VLOOKUP(B147,SectionGeometry!C:AA,25,FALSE)*10^-3)</f>
        <v>267317088233239.84</v>
      </c>
      <c r="T147">
        <f t="shared" si="31"/>
        <v>0.94551857559931674</v>
      </c>
      <c r="U147">
        <f>IF(K147="N",E147*35/SIN(RADIANS(J147)),IF(K147="Y",VLOOKUP(A147,Leonard2010!D:U,18,FALSE),IF(C147="NA",VLOOKUP(A147,MSSM_AdaptedSources!B:K,10,FALSE),"CHECK")))</f>
        <v>1332.2723402782242</v>
      </c>
      <c r="V147">
        <f>(1*VLOOKUP(A147,FaultGeometry!B:C,2,FALSE))-Q147-AA147</f>
        <v>0.75</v>
      </c>
      <c r="W147">
        <f>V147*(VLOOKUP(A147,FaultGeometry!B:Y,24,FALSE))</f>
        <v>1032605333119345.2</v>
      </c>
      <c r="X147">
        <f>V147*3.3*10^10*U147*10^6*(1/T147)*VLOOKUP(A147,FaultGeometry!B:O,14,FALSE)*10^-3</f>
        <v>2681192377182081</v>
      </c>
      <c r="Y147" t="str">
        <f t="shared" si="24"/>
        <v>NA</v>
      </c>
      <c r="Z147" t="str">
        <f>IF(C147="NA","NA",VLOOKUP(C147,MSSM_AdaptedSources!B:K,10,FALSE))</f>
        <v>NA</v>
      </c>
      <c r="AA147" t="str">
        <f>IF(C147="NA","0",VLOOKUP(C147,MultiFaultGeometry!B:C,2,FALSE)*IF(B147="NA",X$278/(X$278+X$276),X$278))</f>
        <v>0</v>
      </c>
      <c r="AB147">
        <f>AA147*IF(C147="NA",0,VLOOKUP(C147,MultiFaultGeometry!B:O,14,FALSE))</f>
        <v>0</v>
      </c>
      <c r="AC147">
        <f>IF(AB147=0,0,AA147*3.3*10^10*Z147*10^6*(1/Y147)*VLOOKUP(C147,MultiFaultGeometry!B:G,5,FALSE)*10^-3)</f>
        <v>0</v>
      </c>
      <c r="AE147" s="68">
        <f t="shared" si="30"/>
        <v>1032605333119345.2</v>
      </c>
      <c r="AF147" s="68">
        <f t="shared" si="32"/>
        <v>2681192377182081</v>
      </c>
      <c r="AG147" s="68"/>
    </row>
    <row r="148" spans="1:33" x14ac:dyDescent="0.2">
      <c r="A148" s="68" t="str">
        <f>Leonard2010!D150</f>
        <v>South Basin Fault 2a</v>
      </c>
      <c r="B148" s="68" t="str">
        <f>Leonard2010!E150</f>
        <v>NA</v>
      </c>
      <c r="C148" s="68" t="str">
        <f>Leonard2010!F150</f>
        <v>South Basin Fault 2a-11</v>
      </c>
      <c r="D148" t="str">
        <f>IF(B148="NA","NA",VLOOKUP(B148,Leonard2010!E:H,3,FALSE))</f>
        <v>NA</v>
      </c>
      <c r="E148">
        <f>IF(A148="NA","NA",VLOOKUP(A148,Leonard2010!D:I,6,FALSE))</f>
        <v>47</v>
      </c>
      <c r="F148">
        <f>IF(C148="NA","NA",VLOOKUP(C148,Leonard2010!F:K,6,FALSE))</f>
        <v>108.1</v>
      </c>
      <c r="G148" t="str">
        <f>IF(B148="NA","NA",VLOOKUP(B148,Leonard2010!E:H,4,FALSE))</f>
        <v>NA</v>
      </c>
      <c r="H148">
        <f>IF(A148="NA","NA",VLOOKUP(A148,Leonard2010!D:J,7,FALSE))</f>
        <v>175</v>
      </c>
      <c r="I148">
        <f>IF(C148="NA","NA",VLOOKUP(C148,Leonard2010!F:L,7,FALSE))</f>
        <v>182</v>
      </c>
      <c r="J148">
        <f>IF(A148="NA","NA",VLOOKUP(A148,Leonard2010!D:N,11,FALSE))</f>
        <v>53</v>
      </c>
      <c r="K148" t="s">
        <v>211</v>
      </c>
      <c r="L148">
        <f>VLOOKUP(A148,Leonard2010!D:AJ,32,FALSE)</f>
        <v>52</v>
      </c>
      <c r="M148">
        <f>VLOOKUP($A148,Leonard2010!D:AK,33,FALSE)</f>
        <v>74</v>
      </c>
      <c r="N148">
        <f>VLOOKUP($A148,Leonard2010!D:AL,34,FALSE)</f>
        <v>96</v>
      </c>
      <c r="O148" t="str">
        <f t="shared" si="29"/>
        <v>NA</v>
      </c>
      <c r="P148" t="str">
        <f t="shared" si="33"/>
        <v>NA</v>
      </c>
      <c r="Q148" t="str">
        <f>IF(B148="NA","0",VLOOKUP(B148,SectionGeometry!C:E,3,FALSE)*IF(C148="NA",X$277/(X$277+X$276),X$277))</f>
        <v>0</v>
      </c>
      <c r="R148">
        <f>Q148*IF(B148="NA",0,((VLOOKUP(B148,SectionGeometry!C:Z,24,FALSE))))</f>
        <v>0</v>
      </c>
      <c r="S148">
        <f>IF(R148=0,0,Q148*3.3*10^10*P148*10^6*(1/O148)*VLOOKUP(B148,SectionGeometry!C:AA,25,FALSE)*10^-3)</f>
        <v>0</v>
      </c>
      <c r="T148">
        <f t="shared" si="31"/>
        <v>0.98162718344766386</v>
      </c>
      <c r="U148">
        <f>IF(K148="N",E148*35/SIN(RADIANS(J148)),IF(K148="Y",VLOOKUP(A148,Leonard2010!D:U,18,FALSE),IF(C148="NA",VLOOKUP(A148,MSSM_AdaptedSources!B:K,10,FALSE),"CHECK")))</f>
        <v>2059.7631576669914</v>
      </c>
      <c r="V148">
        <f>(1*VLOOKUP(A148,FaultGeometry!B:C,2,FALSE))-Q148-AA148</f>
        <v>0.16666666666666663</v>
      </c>
      <c r="W148">
        <f>V148*(VLOOKUP(A148,FaultGeometry!B:Y,24,FALSE))</f>
        <v>246372654134120.91</v>
      </c>
      <c r="X148">
        <f>V148*3.3*10^10*U148*10^6*(1/T148)*VLOOKUP(A148,FaultGeometry!B:O,14,FALSE)*10^-3</f>
        <v>927504322885743.38</v>
      </c>
      <c r="Y148">
        <f t="shared" si="24"/>
        <v>0.95105651629515364</v>
      </c>
      <c r="Z148">
        <f>IF(C148="NA","NA",VLOOKUP(C148,MSSM_AdaptedSources!B:K,10,FALSE))</f>
        <v>3374</v>
      </c>
      <c r="AA148">
        <f>IF(C148="NA","0",VLOOKUP(C148,MultiFaultGeometry!B:C,2,FALSE)*IF(B148="NA",X$278/(X$278+X$276),X$278))</f>
        <v>0.33333333333333337</v>
      </c>
      <c r="AB148">
        <f>AA148*IF(C148="NA",0,VLOOKUP(C148,MultiFaultGeometry!B:O,14,FALSE))</f>
        <v>1350928409377077.2</v>
      </c>
      <c r="AC148">
        <f>IF(AB148=0,0,AA148*3.3*10^10*Z148*10^6*(1/Y148)*VLOOKUP(C148,MultiFaultGeometry!B:G,5,FALSE)*10^-3)</f>
        <v>2991410049921073</v>
      </c>
      <c r="AE148" s="68">
        <f t="shared" si="30"/>
        <v>246372654134120.91</v>
      </c>
      <c r="AF148" s="68">
        <f t="shared" si="32"/>
        <v>927504322885743.38</v>
      </c>
      <c r="AG148" s="68"/>
    </row>
    <row r="149" spans="1:33" x14ac:dyDescent="0.2">
      <c r="A149" s="68" t="str">
        <f>Leonard2010!D151</f>
        <v>South Basin Fault 2b</v>
      </c>
      <c r="B149" s="68" t="str">
        <f>Leonard2010!E151</f>
        <v>NA</v>
      </c>
      <c r="C149" s="68" t="str">
        <f>Leonard2010!F151</f>
        <v>South Basin Fault 2b-11</v>
      </c>
      <c r="D149" t="str">
        <f>IF(B149="NA","NA",VLOOKUP(B149,Leonard2010!E:H,3,FALSE))</f>
        <v>NA</v>
      </c>
      <c r="E149">
        <f>IF(A149="NA","NA",VLOOKUP(A149,Leonard2010!D:I,6,FALSE))</f>
        <v>47</v>
      </c>
      <c r="F149">
        <f>IF(C149="NA","NA",VLOOKUP(C149,Leonard2010!F:K,6,FALSE))</f>
        <v>108.1</v>
      </c>
      <c r="G149" t="str">
        <f>IF(B149="NA","NA",VLOOKUP(B149,Leonard2010!E:H,4,FALSE))</f>
        <v>NA</v>
      </c>
      <c r="H149">
        <f>IF(A149="NA","NA",VLOOKUP(A149,Leonard2010!D:J,7,FALSE))</f>
        <v>179</v>
      </c>
      <c r="I149">
        <f>IF(C149="NA","NA",VLOOKUP(C149,Leonard2010!F:L,7,FALSE))</f>
        <v>3</v>
      </c>
      <c r="J149">
        <f>IF(A149="NA","NA",VLOOKUP(A149,Leonard2010!D:N,11,FALSE))</f>
        <v>53</v>
      </c>
      <c r="K149" t="s">
        <v>211</v>
      </c>
      <c r="L149">
        <f>VLOOKUP(A149,Leonard2010!D:AJ,32,FALSE)</f>
        <v>52</v>
      </c>
      <c r="M149">
        <f>VLOOKUP($A149,Leonard2010!D:AK,33,FALSE)</f>
        <v>74</v>
      </c>
      <c r="N149">
        <f>VLOOKUP($A149,Leonard2010!D:AL,34,FALSE)</f>
        <v>96</v>
      </c>
      <c r="O149" t="str">
        <f t="shared" si="29"/>
        <v>NA</v>
      </c>
      <c r="P149" t="str">
        <f t="shared" si="33"/>
        <v>NA</v>
      </c>
      <c r="Q149" t="str">
        <f>IF(B149="NA","0",VLOOKUP(B149,SectionGeometry!C:E,3,FALSE)*IF(C149="NA",X$277/(X$277+X$276),X$277))</f>
        <v>0</v>
      </c>
      <c r="R149">
        <f>Q149*IF(B149="NA",0,((VLOOKUP(B149,SectionGeometry!C:Z,24,FALSE))))</f>
        <v>0</v>
      </c>
      <c r="S149">
        <f>IF(R149=0,0,Q149*3.3*10^10*P149*10^6*(1/O149)*VLOOKUP(B149,SectionGeometry!C:AA,25,FALSE)*10^-3)</f>
        <v>0</v>
      </c>
      <c r="T149">
        <f t="shared" si="31"/>
        <v>0.96592582628906831</v>
      </c>
      <c r="U149">
        <f>IF(K149="N",E149*35/SIN(RADIANS(J149)),IF(K149="Y",VLOOKUP(A149,Leonard2010!D:U,18,FALSE),IF(C149="NA",VLOOKUP(A149,MSSM_AdaptedSources!B:K,10,FALSE),"CHECK")))</f>
        <v>2059.7631576669914</v>
      </c>
      <c r="V149">
        <f>(1*VLOOKUP(A149,FaultGeometry!B:C,2,FALSE))-Q149-AA149</f>
        <v>0.16666666666666663</v>
      </c>
      <c r="W149">
        <f>V149*(VLOOKUP(A149,FaultGeometry!B:Y,24,FALSE))</f>
        <v>240642664872333.31</v>
      </c>
      <c r="X149">
        <f>V149*3.3*10^10*U149*10^6*(1/T149)*VLOOKUP(A149,FaultGeometry!B:O,14,FALSE)*10^-3</f>
        <v>913439020555558.62</v>
      </c>
      <c r="Y149">
        <f t="shared" si="24"/>
        <v>0.94551857559931685</v>
      </c>
      <c r="Z149">
        <f>IF(C149="NA","NA",VLOOKUP(C149,MSSM_AdaptedSources!B:K,10,FALSE))</f>
        <v>3374</v>
      </c>
      <c r="AA149">
        <f>IF(C149="NA","0",VLOOKUP(C149,MultiFaultGeometry!B:C,2,FALSE)*IF(B149="NA",X$278/(X$278+X$276),X$278))</f>
        <v>0.33333333333333337</v>
      </c>
      <c r="AB149">
        <f>AA149*IF(C149="NA",0,VLOOKUP(C149,MultiFaultGeometry!B:O,14,FALSE))</f>
        <v>1326646772957032.5</v>
      </c>
      <c r="AC149">
        <f>IF(AB149=0,0,AA149*3.3*10^10*Z149*10^6*(1/Y149)*VLOOKUP(C149,MultiFaultGeometry!B:G,5,FALSE)*10^-3)</f>
        <v>3008347627037781.5</v>
      </c>
      <c r="AE149" s="68">
        <f t="shared" si="30"/>
        <v>240642664872333.31</v>
      </c>
      <c r="AF149" s="68">
        <f t="shared" si="32"/>
        <v>913439020555558.62</v>
      </c>
      <c r="AG149" s="68"/>
    </row>
    <row r="150" spans="1:33" x14ac:dyDescent="0.2">
      <c r="A150" s="68" t="str">
        <f>Leonard2010!D152</f>
        <v>South Basin Fault 11a</v>
      </c>
      <c r="B150" s="68" t="str">
        <f>Leonard2010!E152</f>
        <v>South Basin Fault 11a North</v>
      </c>
      <c r="C150" s="68" t="str">
        <f>Leonard2010!F152</f>
        <v>South Basin Fault 2a-11</v>
      </c>
      <c r="D150">
        <f>IF(B150="NA","NA",VLOOKUP(B150,Leonard2010!E:H,3,FALSE))</f>
        <v>31.8</v>
      </c>
      <c r="E150">
        <f>IF(A150="NA","NA",VLOOKUP(A150,Leonard2010!D:I,6,FALSE))</f>
        <v>61.1</v>
      </c>
      <c r="F150">
        <f>IF(C150="NA","NA",VLOOKUP(C150,Leonard2010!F:K,6,FALSE))</f>
        <v>108.1</v>
      </c>
      <c r="G150">
        <f>IF(B150="NA","NA",VLOOKUP(B150,Leonard2010!E:H,4,FALSE))</f>
        <v>17</v>
      </c>
      <c r="H150">
        <f>IF(A150="NA","NA",VLOOKUP(A150,Leonard2010!D:J,7,FALSE))</f>
        <v>14</v>
      </c>
      <c r="I150">
        <f>IF(C150="NA","NA",VLOOKUP(C150,Leonard2010!F:L,7,FALSE))</f>
        <v>182</v>
      </c>
      <c r="J150">
        <f>IF(A150="NA","NA",VLOOKUP(A150,Leonard2010!D:N,11,FALSE))</f>
        <v>53</v>
      </c>
      <c r="K150" t="s">
        <v>308</v>
      </c>
      <c r="L150">
        <f>VLOOKUP(A150,Leonard2010!D:AJ,32,FALSE)</f>
        <v>52</v>
      </c>
      <c r="M150">
        <f>VLOOKUP($A150,Leonard2010!D:AK,33,FALSE)</f>
        <v>74</v>
      </c>
      <c r="N150">
        <f>VLOOKUP($A150,Leonard2010!D:AL,34,FALSE)</f>
        <v>96</v>
      </c>
      <c r="O150">
        <f t="shared" si="29"/>
        <v>0.83867056794542405</v>
      </c>
      <c r="P150">
        <f>D150*(1345/E150)</f>
        <v>700.01636661211137</v>
      </c>
      <c r="Q150">
        <f>IF(B150="NA","0",VLOOKUP(B150,SectionGeometry!C:E,3,FALSE)*IF(C150="NA",X$277/(X$277+X$276),X$277))</f>
        <v>0.05</v>
      </c>
      <c r="R150">
        <f>Q150*IF(B150="NA",0,((VLOOKUP(B150,SectionGeometry!C:Z,24,FALSE))))</f>
        <v>29853843227028.953</v>
      </c>
      <c r="S150">
        <f>IF(R150=0,0,Q150*3.3*10^10*P150*10^6*(1/O150)*VLOOKUP(B150,SectionGeometry!C:AA,25,FALSE)*10^-3)</f>
        <v>94721860641127.203</v>
      </c>
      <c r="T150">
        <f t="shared" si="31"/>
        <v>0.86602540378443871</v>
      </c>
      <c r="U150">
        <f>IF(K150="N",E150*35/SIN(RADIANS(J150)),IF(K150="Y",VLOOKUP(A150,Leonard2010!D:U,18,FALSE),IF(C150="NA",VLOOKUP(A150,MSSM_AdaptedSources!B:K,10,FALSE),"CHECK")))</f>
        <v>1345</v>
      </c>
      <c r="V150">
        <f>(1*VLOOKUP(A150,FaultGeometry!B:C,2,FALSE))-Q150-AA150</f>
        <v>0.15000000000000002</v>
      </c>
      <c r="W150">
        <f>V150*(VLOOKUP(A150,FaultGeometry!B:Y,24,FALSE))</f>
        <v>238985957243675.06</v>
      </c>
      <c r="X150">
        <f>V150*3.3*10^10*U150*10^6*(1/T150)*VLOOKUP(A150,FaultGeometry!B:O,14,FALSE)*10^-3</f>
        <v>546610808292565.81</v>
      </c>
      <c r="Y150">
        <f t="shared" si="24"/>
        <v>0.95105651629515364</v>
      </c>
      <c r="Z150">
        <f>IF(C150="NA","NA",VLOOKUP(C150,MSSM_AdaptedSources!B:K,10,FALSE))</f>
        <v>3374</v>
      </c>
      <c r="AA150">
        <f>IF(C150="NA","0",VLOOKUP(C150,MultiFaultGeometry!B:C,2,FALSE)*IF(B150="NA",X$278/(X$278+X$276),X$278))</f>
        <v>0.3</v>
      </c>
      <c r="AB150">
        <f>AA150*IF(C150="NA",0,VLOOKUP(C150,MultiFaultGeometry!B:O,14,FALSE))</f>
        <v>1215835568439369.5</v>
      </c>
      <c r="AC150">
        <f>IF(AB150=0,0,AA150*3.3*10^10*Z150*10^6*(1/Y150)*VLOOKUP(C150,MultiFaultGeometry!B:G,5,FALSE)*10^-3)</f>
        <v>2692269044928965</v>
      </c>
      <c r="AE150" s="68">
        <f t="shared" si="30"/>
        <v>0</v>
      </c>
      <c r="AF150" s="68">
        <f t="shared" si="32"/>
        <v>0</v>
      </c>
      <c r="AG150" s="68"/>
    </row>
    <row r="151" spans="1:33" x14ac:dyDescent="0.2">
      <c r="A151" s="68" t="str">
        <f>Leonard2010!D153</f>
        <v>South Basin Fault 11a</v>
      </c>
      <c r="B151" s="68" t="str">
        <f>Leonard2010!E153</f>
        <v>South Basin Fault 11a South</v>
      </c>
      <c r="C151" s="68" t="str">
        <f>Leonard2010!F153</f>
        <v>South Basin Fault 2a-11</v>
      </c>
      <c r="D151">
        <f>IF(B151="NA","NA",VLOOKUP(B151,Leonard2010!E:H,3,FALSE))</f>
        <v>29.3</v>
      </c>
      <c r="E151">
        <f>IF(A151="NA","NA",VLOOKUP(A151,Leonard2010!D:I,6,FALSE))</f>
        <v>61.1</v>
      </c>
      <c r="F151">
        <f>IF(C151="NA","NA",VLOOKUP(C151,Leonard2010!F:K,6,FALSE))</f>
        <v>108.1</v>
      </c>
      <c r="G151">
        <f>IF(B151="NA","NA",VLOOKUP(B151,Leonard2010!E:H,4,FALSE))</f>
        <v>10</v>
      </c>
      <c r="H151">
        <f>IF(A151="NA","NA",VLOOKUP(A151,Leonard2010!D:J,7,FALSE))</f>
        <v>14</v>
      </c>
      <c r="I151">
        <f>IF(C151="NA","NA",VLOOKUP(C151,Leonard2010!F:L,7,FALSE))</f>
        <v>182</v>
      </c>
      <c r="J151">
        <f>IF(A151="NA","NA",VLOOKUP(A151,Leonard2010!D:N,11,FALSE))</f>
        <v>53</v>
      </c>
      <c r="K151" t="s">
        <v>308</v>
      </c>
      <c r="L151">
        <f>VLOOKUP(A151,Leonard2010!D:AJ,32,FALSE)</f>
        <v>52</v>
      </c>
      <c r="M151">
        <f>VLOOKUP($A151,Leonard2010!D:AK,33,FALSE)</f>
        <v>74</v>
      </c>
      <c r="N151">
        <f>VLOOKUP($A151,Leonard2010!D:AL,34,FALSE)</f>
        <v>96</v>
      </c>
      <c r="O151">
        <f t="shared" si="29"/>
        <v>0.89879404629916704</v>
      </c>
      <c r="P151">
        <f t="shared" ref="P151:P152" si="34">D151*(1345/E151)</f>
        <v>644.98363338788874</v>
      </c>
      <c r="Q151">
        <f>IF(B151="NA","0",VLOOKUP(B151,SectionGeometry!C:E,3,FALSE)*IF(C151="NA",X$277/(X$277+X$276),X$277))</f>
        <v>0.05</v>
      </c>
      <c r="R151">
        <f>Q151*IF(B151="NA",0,((VLOOKUP(B151,SectionGeometry!C:Z,24,FALSE))))</f>
        <v>27887716764605.438</v>
      </c>
      <c r="S151">
        <f>IF(R151=0,0,Q151*3.3*10^10*P151*10^6*(1/O151)*VLOOKUP(B151,SectionGeometry!C:AA,25,FALSE)*10^-3)</f>
        <v>86483898833272.484</v>
      </c>
      <c r="T151">
        <f t="shared" si="31"/>
        <v>0.86602540378443871</v>
      </c>
      <c r="U151">
        <f>IF(K151="N",E151*35/SIN(RADIANS(J151)),IF(K151="Y",VLOOKUP(A151,Leonard2010!D:U,18,FALSE),IF(C151="NA",VLOOKUP(A151,MSSM_AdaptedSources!B:K,10,FALSE),"CHECK")))</f>
        <v>1345</v>
      </c>
      <c r="V151">
        <f>(1*VLOOKUP(A151,FaultGeometry!B:C,2,FALSE))-Q151-AA151</f>
        <v>0.15000000000000002</v>
      </c>
      <c r="W151">
        <f>V151*(VLOOKUP(A151,FaultGeometry!B:Y,24,FALSE))</f>
        <v>238985957243675.06</v>
      </c>
      <c r="X151">
        <f>V151*3.3*10^10*U151*10^6*(1/T151)*VLOOKUP(A151,FaultGeometry!B:O,14,FALSE)*10^-3</f>
        <v>546610808292565.81</v>
      </c>
      <c r="Y151">
        <f t="shared" si="24"/>
        <v>0.95105651629515364</v>
      </c>
      <c r="Z151">
        <f>IF(C151="NA","NA",VLOOKUP(C151,MSSM_AdaptedSources!B:K,10,FALSE))</f>
        <v>3374</v>
      </c>
      <c r="AA151">
        <f>IF(C151="NA","0",VLOOKUP(C151,MultiFaultGeometry!B:C,2,FALSE)*IF(B151="NA",X$278/(X$278+X$276),X$278))</f>
        <v>0.3</v>
      </c>
      <c r="AB151">
        <f>AA151*IF(C151="NA",0,VLOOKUP(C151,MultiFaultGeometry!B:O,14,FALSE))</f>
        <v>1215835568439369.5</v>
      </c>
      <c r="AC151">
        <f>IF(AB151=0,0,AA151*3.3*10^10*Z151*10^6*(1/Y151)*VLOOKUP(C151,MultiFaultGeometry!B:G,5,FALSE)*10^-3)</f>
        <v>2692269044928965</v>
      </c>
      <c r="AE151" s="68">
        <f t="shared" si="30"/>
        <v>238985957243675.06</v>
      </c>
      <c r="AF151" s="68">
        <f t="shared" si="32"/>
        <v>546610808292565.81</v>
      </c>
      <c r="AG151" s="68"/>
    </row>
    <row r="152" spans="1:33" x14ac:dyDescent="0.2">
      <c r="A152" s="68" t="str">
        <f>Leonard2010!D154</f>
        <v>South Basin Fault 11b</v>
      </c>
      <c r="B152" s="68" t="str">
        <f>Leonard2010!E154</f>
        <v>South Basin Fault 11b North</v>
      </c>
      <c r="C152" s="68" t="str">
        <f>Leonard2010!F154</f>
        <v>South Basin Fault 2b-11</v>
      </c>
      <c r="D152">
        <f>IF(B152="NA","NA",VLOOKUP(B152,Leonard2010!E:H,3,FALSE))</f>
        <v>31.8</v>
      </c>
      <c r="E152">
        <f>IF(A152="NA","NA",VLOOKUP(A152,Leonard2010!D:I,6,FALSE))</f>
        <v>61.1</v>
      </c>
      <c r="F152">
        <f>IF(C152="NA","NA",VLOOKUP(C152,Leonard2010!F:K,6,FALSE))</f>
        <v>108.1</v>
      </c>
      <c r="G152">
        <f>IF(B152="NA","NA",VLOOKUP(B152,Leonard2010!E:H,4,FALSE))</f>
        <v>17</v>
      </c>
      <c r="H152">
        <f>IF(A152="NA","NA",VLOOKUP(A152,Leonard2010!D:J,7,FALSE))</f>
        <v>14</v>
      </c>
      <c r="I152">
        <f>IF(C152="NA","NA",VLOOKUP(C152,Leonard2010!F:L,7,FALSE))</f>
        <v>3</v>
      </c>
      <c r="J152">
        <f>IF(A152="NA","NA",VLOOKUP(A152,Leonard2010!D:N,11,FALSE))</f>
        <v>53</v>
      </c>
      <c r="K152" t="s">
        <v>308</v>
      </c>
      <c r="L152">
        <f>VLOOKUP(A152,Leonard2010!D:AJ,32,FALSE)</f>
        <v>52</v>
      </c>
      <c r="M152">
        <f>VLOOKUP($A152,Leonard2010!D:AK,33,FALSE)</f>
        <v>74</v>
      </c>
      <c r="N152">
        <f>VLOOKUP($A152,Leonard2010!D:AL,34,FALSE)</f>
        <v>96</v>
      </c>
      <c r="O152">
        <f t="shared" si="29"/>
        <v>0.83867056794542405</v>
      </c>
      <c r="P152">
        <f t="shared" si="34"/>
        <v>700.01636661211137</v>
      </c>
      <c r="Q152">
        <f>IF(B152="NA","0",VLOOKUP(B152,SectionGeometry!C:E,3,FALSE)*IF(C152="NA",X$277/(X$277+X$276),X$277))</f>
        <v>0.05</v>
      </c>
      <c r="R152">
        <f>Q152*IF(B152="NA",0,((VLOOKUP(B152,SectionGeometry!C:Z,24,FALSE))))</f>
        <v>28936518074539.945</v>
      </c>
      <c r="S152">
        <f>IF(R152=0,0,Q152*3.3*10^10*P152*10^6*(1/O152)*VLOOKUP(B152,SectionGeometry!C:AA,25,FALSE)*10^-3)</f>
        <v>92549788887317.734</v>
      </c>
      <c r="T152">
        <f t="shared" si="31"/>
        <v>0.86602540378443871</v>
      </c>
      <c r="U152">
        <f>IF(K152="N",E152*35/SIN(RADIANS(J152)),IF(K152="Y",VLOOKUP(A152,Leonard2010!D:U,18,FALSE),IF(C152="NA",VLOOKUP(A152,MSSM_AdaptedSources!B:K,10,FALSE),"CHECK")))</f>
        <v>1345</v>
      </c>
      <c r="V152">
        <f>(1*VLOOKUP(A152,FaultGeometry!B:C,2,FALSE))-Q152-AA152</f>
        <v>0.15000000000000002</v>
      </c>
      <c r="W152">
        <f>V152*(VLOOKUP(A152,FaultGeometry!B:Y,24,FALSE))</f>
        <v>235532919080819.41</v>
      </c>
      <c r="X152">
        <f>V152*3.3*10^10*U152*10^6*(1/T152)*VLOOKUP(A152,FaultGeometry!B:O,14,FALSE)*10^-3</f>
        <v>544780443513982.88</v>
      </c>
      <c r="Y152">
        <f t="shared" ref="Y152:Y225" si="35">IF($C152="NA","NA",MEDIAN(ABS(COS(RADIANS($L152-$I152-90))),ABS(COS(RADIANS($M152-$I152-90))),ABS(COS(RADIANS($N152-$I152-90)))))</f>
        <v>0.94551857559931685</v>
      </c>
      <c r="Z152">
        <f>IF(C152="NA","NA",VLOOKUP(C152,MSSM_AdaptedSources!B:K,10,FALSE))</f>
        <v>3374</v>
      </c>
      <c r="AA152">
        <f>IF(C152="NA","0",VLOOKUP(C152,MultiFaultGeometry!B:C,2,FALSE)*IF(B152="NA",X$278/(X$278+X$276),X$278))</f>
        <v>0.3</v>
      </c>
      <c r="AB152">
        <f>AA152*IF(C152="NA",0,VLOOKUP(C152,MultiFaultGeometry!B:O,14,FALSE))</f>
        <v>1193982095661329</v>
      </c>
      <c r="AC152">
        <f>IF(AB152=0,0,AA152*3.3*10^10*Z152*10^6*(1/Y152)*VLOOKUP(C152,MultiFaultGeometry!B:G,5,FALSE)*10^-3)</f>
        <v>2707512864334002.5</v>
      </c>
      <c r="AE152" s="68">
        <f t="shared" si="30"/>
        <v>0</v>
      </c>
      <c r="AF152" s="68">
        <f t="shared" si="32"/>
        <v>0</v>
      </c>
      <c r="AG152" s="68"/>
    </row>
    <row r="153" spans="1:33" x14ac:dyDescent="0.2">
      <c r="A153" s="68" t="str">
        <f>Leonard2010!D155</f>
        <v>South Basin Fault 11b</v>
      </c>
      <c r="B153" s="68" t="str">
        <f>Leonard2010!E155</f>
        <v>South Basin Fault 11b South</v>
      </c>
      <c r="C153" s="68" t="str">
        <f>Leonard2010!F155</f>
        <v>South Basin Fault 2b-11</v>
      </c>
      <c r="D153">
        <f>IF(B153="NA","NA",VLOOKUP(B153,Leonard2010!E:H,3,FALSE))</f>
        <v>29.3</v>
      </c>
      <c r="E153">
        <f>IF(A153="NA","NA",VLOOKUP(A153,Leonard2010!D:I,6,FALSE))</f>
        <v>61.1</v>
      </c>
      <c r="F153">
        <f>IF(C153="NA","NA",VLOOKUP(C153,Leonard2010!F:K,6,FALSE))</f>
        <v>108.1</v>
      </c>
      <c r="G153">
        <f>IF(B153="NA","NA",VLOOKUP(B153,Leonard2010!E:H,4,FALSE))</f>
        <v>10</v>
      </c>
      <c r="H153">
        <f>IF(A153="NA","NA",VLOOKUP(A153,Leonard2010!D:J,7,FALSE))</f>
        <v>14</v>
      </c>
      <c r="I153">
        <f>IF(C153="NA","NA",VLOOKUP(C153,Leonard2010!F:L,7,FALSE))</f>
        <v>3</v>
      </c>
      <c r="J153">
        <f>IF(A153="NA","NA",VLOOKUP(A153,Leonard2010!D:N,11,FALSE))</f>
        <v>53</v>
      </c>
      <c r="K153" t="s">
        <v>308</v>
      </c>
      <c r="L153">
        <f>VLOOKUP(A153,Leonard2010!D:AJ,32,FALSE)</f>
        <v>52</v>
      </c>
      <c r="M153">
        <f>VLOOKUP($A153,Leonard2010!D:AK,33,FALSE)</f>
        <v>74</v>
      </c>
      <c r="N153">
        <f>VLOOKUP($A153,Leonard2010!D:AL,34,FALSE)</f>
        <v>96</v>
      </c>
      <c r="O153">
        <f t="shared" si="29"/>
        <v>0.89879404629916704</v>
      </c>
      <c r="P153">
        <f>D153*(1345/E153)</f>
        <v>644.98363338788874</v>
      </c>
      <c r="Q153">
        <f>IF(B153="NA","0",VLOOKUP(B153,SectionGeometry!C:E,3,FALSE)*IF(C153="NA",X$277/(X$277+X$276),X$277))</f>
        <v>0.05</v>
      </c>
      <c r="R153">
        <f>Q153*IF(B153="NA",0,((VLOOKUP(B153,SectionGeometry!C:Z,24,FALSE))))</f>
        <v>28191481101816.832</v>
      </c>
      <c r="S153">
        <f>IF(R153=0,0,Q153*3.3*10^10*P153*10^6*(1/O153)*VLOOKUP(B153,SectionGeometry!C:AA,25,FALSE)*10^-3)</f>
        <v>88306537978238.781</v>
      </c>
      <c r="T153">
        <f t="shared" si="31"/>
        <v>0.86602540378443871</v>
      </c>
      <c r="U153">
        <f>IF(K153="N",E153*35/SIN(RADIANS(J153)),IF(K153="Y",VLOOKUP(A153,Leonard2010!D:U,18,FALSE),IF(C153="NA",VLOOKUP(A153,MSSM_AdaptedSources!B:K,10,FALSE),"CHECK")))</f>
        <v>1345</v>
      </c>
      <c r="V153">
        <f>(1*VLOOKUP(A153,FaultGeometry!B:C,2,FALSE))-Q153-AA153</f>
        <v>0.15000000000000002</v>
      </c>
      <c r="W153">
        <f>V153*(VLOOKUP(A153,FaultGeometry!B:Y,24,FALSE))</f>
        <v>235532919080819.41</v>
      </c>
      <c r="X153">
        <f>V153*3.3*10^10*U153*10^6*(1/T153)*VLOOKUP(A153,FaultGeometry!B:O,14,FALSE)*10^-3</f>
        <v>544780443513982.88</v>
      </c>
      <c r="Y153">
        <f t="shared" si="35"/>
        <v>0.94551857559931685</v>
      </c>
      <c r="Z153">
        <f>IF(C153="NA","NA",VLOOKUP(C153,MSSM_AdaptedSources!B:K,10,FALSE))</f>
        <v>3374</v>
      </c>
      <c r="AA153">
        <f>IF(C153="NA","0",VLOOKUP(C153,MultiFaultGeometry!B:C,2,FALSE)*IF(B153="NA",X$278/(X$278+X$276),X$278))</f>
        <v>0.3</v>
      </c>
      <c r="AB153">
        <f>AA153*IF(C153="NA",0,VLOOKUP(C153,MultiFaultGeometry!B:O,14,FALSE))</f>
        <v>1193982095661329</v>
      </c>
      <c r="AC153">
        <f>IF(AB153=0,0,AA153*3.3*10^10*Z153*10^6*(1/Y153)*VLOOKUP(C153,MultiFaultGeometry!B:G,5,FALSE)*10^-3)</f>
        <v>2707512864334002.5</v>
      </c>
      <c r="AE153" s="68">
        <f t="shared" si="30"/>
        <v>235532919080819.41</v>
      </c>
      <c r="AF153" s="68">
        <f t="shared" si="32"/>
        <v>544780443513982.88</v>
      </c>
      <c r="AG153" s="68"/>
    </row>
    <row r="154" spans="1:33" x14ac:dyDescent="0.2">
      <c r="A154" s="68" t="str">
        <f>Leonard2010!D156</f>
        <v>South Basin Fault 3</v>
      </c>
      <c r="B154" s="68" t="str">
        <f>Leonard2010!E156</f>
        <v>NA</v>
      </c>
      <c r="C154" s="68" t="str">
        <f>Leonard2010!F156</f>
        <v>NA</v>
      </c>
      <c r="D154" t="str">
        <f>IF(B154="NA","NA",VLOOKUP(B154,Leonard2010!E:H,3,FALSE))</f>
        <v>NA</v>
      </c>
      <c r="E154">
        <f>IF(A154="NA","NA",VLOOKUP(A154,Leonard2010!D:I,6,FALSE))</f>
        <v>26.6</v>
      </c>
      <c r="F154" t="str">
        <f>IF(C154="NA","NA",VLOOKUP(C154,Leonard2010!F:K,6,FALSE))</f>
        <v>NA</v>
      </c>
      <c r="G154" t="str">
        <f>IF(B154="NA","NA",VLOOKUP(B154,Leonard2010!E:H,4,FALSE))</f>
        <v>NA</v>
      </c>
      <c r="H154">
        <f>IF(A154="NA","NA",VLOOKUP(A154,Leonard2010!D:J,7,FALSE))</f>
        <v>327</v>
      </c>
      <c r="I154" t="str">
        <f>IF(C154="NA","NA",VLOOKUP(C154,Leonard2010!F:L,7,FALSE))</f>
        <v>NA</v>
      </c>
      <c r="J154">
        <f>IF(A154="NA","NA",VLOOKUP(A154,Leonard2010!D:N,11,FALSE))</f>
        <v>53</v>
      </c>
      <c r="K154" t="s">
        <v>308</v>
      </c>
      <c r="L154">
        <f>VLOOKUP(A154,Leonard2010!D:AJ,32,FALSE)</f>
        <v>52</v>
      </c>
      <c r="M154">
        <f>VLOOKUP($A154,Leonard2010!D:AK,33,FALSE)</f>
        <v>74</v>
      </c>
      <c r="N154">
        <f>VLOOKUP($A154,Leonard2010!D:AL,34,FALSE)</f>
        <v>96</v>
      </c>
      <c r="O154" t="str">
        <f t="shared" si="29"/>
        <v>NA</v>
      </c>
      <c r="P154" t="str">
        <f t="shared" ref="P154:P164" si="36">IF(B154="NA","NA",IF(K154="N",D154*(35/SIN(RADIANS(J154))),"CHECK"))</f>
        <v>NA</v>
      </c>
      <c r="Q154" t="str">
        <f>IF(B154="NA","0",VLOOKUP(B154,SectionGeometry!C:E,3,FALSE)*IF(C154="NA",X$277/(X$277+X$276),X$277))</f>
        <v>0</v>
      </c>
      <c r="R154">
        <f>Q154*IF(B154="NA",0,((VLOOKUP(B154,SectionGeometry!C:Z,24,FALSE))))</f>
        <v>0</v>
      </c>
      <c r="S154">
        <f>IF(R154=0,0,Q154*3.3*10^10*P154*10^6*(1/O154)*VLOOKUP(B154,SectionGeometry!C:AA,25,FALSE)*10^-3)</f>
        <v>0</v>
      </c>
      <c r="T154">
        <f t="shared" si="31"/>
        <v>0.95630475596303532</v>
      </c>
      <c r="U154">
        <f>IF(K154="N",E154*35/SIN(RADIANS(J154)),IF(K154="Y",VLOOKUP(A154,Leonard2010!D:U,18,FALSE),IF(C154="NA",VLOOKUP(A154,MSSM_AdaptedSources!B:K,10,FALSE),"CHECK")))</f>
        <v>143</v>
      </c>
      <c r="V154">
        <f>(1*VLOOKUP(A154,FaultGeometry!B:C,2,FALSE))-Q154-AA154</f>
        <v>1</v>
      </c>
      <c r="W154">
        <f>V154*(VLOOKUP(A154,FaultGeometry!B:Y,24,FALSE))</f>
        <v>133297677528851.97</v>
      </c>
      <c r="X154">
        <f>V154*3.3*10^10*U154*10^6*(1/T154)*VLOOKUP(A154,FaultGeometry!B:O,14,FALSE)*10^-3</f>
        <v>141547416545194.94</v>
      </c>
      <c r="Y154" t="str">
        <f t="shared" si="35"/>
        <v>NA</v>
      </c>
      <c r="Z154" t="str">
        <f>IF(C154="NA","NA",VLOOKUP(C154,MSSM_AdaptedSources!B:K,10,FALSE))</f>
        <v>NA</v>
      </c>
      <c r="AA154" t="str">
        <f>IF(C154="NA","0",VLOOKUP(C154,MultiFaultGeometry!B:C,2,FALSE)*IF(B154="NA",X$278/(X$278+X$276),X$278))</f>
        <v>0</v>
      </c>
      <c r="AB154">
        <f>AA154*IF(C154="NA",0,VLOOKUP(C154,MultiFaultGeometry!B:O,14,FALSE))</f>
        <v>0</v>
      </c>
      <c r="AC154">
        <f>IF(AB154=0,0,AA154*3.3*10^10*Z154*10^6*(1/Y154)*VLOOKUP(C154,MultiFaultGeometry!B:G,5,FALSE)*10^-3)</f>
        <v>0</v>
      </c>
      <c r="AE154" s="68">
        <f t="shared" si="30"/>
        <v>133297677528851.97</v>
      </c>
      <c r="AF154" s="68">
        <f t="shared" si="32"/>
        <v>141547416545194.94</v>
      </c>
      <c r="AG154" s="68"/>
    </row>
    <row r="155" spans="1:33" x14ac:dyDescent="0.2">
      <c r="A155" s="68" t="str">
        <f>Leonard2010!D157</f>
        <v>South Basin Fault 5a</v>
      </c>
      <c r="B155" s="68" t="str">
        <f>Leonard2010!E157</f>
        <v>South Basin Fault 5a South</v>
      </c>
      <c r="C155" s="68" t="str">
        <f>Leonard2010!F157</f>
        <v>South Basin Fault 5-13a</v>
      </c>
      <c r="D155">
        <f>IF(B155="NA","NA",VLOOKUP(B155,Leonard2010!E:H,3,FALSE))</f>
        <v>49.9</v>
      </c>
      <c r="E155">
        <f>IF(A155="NA","NA",VLOOKUP(A155,Leonard2010!D:I,6,FALSE))</f>
        <v>159.5</v>
      </c>
      <c r="F155">
        <f>IF(C155="NA","NA",VLOOKUP(C155,Leonard2010!F:K,6,FALSE))</f>
        <v>268.8</v>
      </c>
      <c r="G155">
        <f>IF(B155="NA","NA",VLOOKUP(B155,Leonard2010!E:H,4,FALSE))</f>
        <v>174</v>
      </c>
      <c r="H155">
        <f>IF(A155="NA","NA",VLOOKUP(A155,Leonard2010!D:J,7,FALSE))</f>
        <v>166</v>
      </c>
      <c r="I155">
        <f>IF(C155="NA","NA",VLOOKUP(C155,Leonard2010!F:L,7,FALSE))</f>
        <v>170</v>
      </c>
      <c r="J155">
        <f>IF(A155="NA","NA",VLOOKUP(A155,Leonard2010!D:N,11,FALSE))</f>
        <v>53</v>
      </c>
      <c r="K155" t="s">
        <v>211</v>
      </c>
      <c r="L155">
        <f>VLOOKUP(A155,Leonard2010!D:AJ,32,FALSE)</f>
        <v>52</v>
      </c>
      <c r="M155">
        <f>VLOOKUP($A155,Leonard2010!D:AK,33,FALSE)</f>
        <v>74</v>
      </c>
      <c r="N155">
        <f>VLOOKUP($A155,Leonard2010!D:AL,34,FALSE)</f>
        <v>96</v>
      </c>
      <c r="O155">
        <f t="shared" si="29"/>
        <v>0.97814760073380569</v>
      </c>
      <c r="P155">
        <f t="shared" si="36"/>
        <v>2186.8549269698483</v>
      </c>
      <c r="Q155">
        <f>IF(B155="NA","0",VLOOKUP(B155,SectionGeometry!C:E,3,FALSE)*IF(C155="NA",X$277/(X$277+X$276),X$277))</f>
        <v>3.3333333333333333E-2</v>
      </c>
      <c r="R155">
        <f>Q155*IF(B155="NA",0,((VLOOKUP(B155,SectionGeometry!C:Z,24,FALSE))))</f>
        <v>212636856663879</v>
      </c>
      <c r="S155">
        <f>IF(R155=0,0,Q155*3.3*10^10*P155*10^6*(1/O155)*VLOOKUP(B155,SectionGeometry!C:AA,25,FALSE)*10^-3)</f>
        <v>1274048551052866.5</v>
      </c>
      <c r="T155">
        <f t="shared" si="31"/>
        <v>0.93969262078590832</v>
      </c>
      <c r="U155">
        <f>IF(K155="N",E155*35/SIN(RADIANS(J155)),IF(K155="Y",VLOOKUP(A155,Leonard2010!D:U,18,FALSE),IF(C155="NA",VLOOKUP(A155,MSSM_AdaptedSources!B:K,10,FALSE),"CHECK")))</f>
        <v>6990.0473116571302</v>
      </c>
      <c r="V155">
        <f>(1*VLOOKUP(A155,FaultGeometry!B:C,2,FALSE))-Q155-AA155</f>
        <v>0.1</v>
      </c>
      <c r="W155">
        <f>V155*(VLOOKUP(A155,FaultGeometry!B:Y,24,FALSE))</f>
        <v>4053062532293943.5</v>
      </c>
      <c r="X155">
        <f>V155*3.3*10^10*U155*10^6*(1/T155)*VLOOKUP(A155,FaultGeometry!B:O,14,FALSE)*10^-3</f>
        <v>1.2956787939775546E+16</v>
      </c>
      <c r="Y155">
        <f t="shared" si="35"/>
        <v>0.96126169593831889</v>
      </c>
      <c r="Z155">
        <f>IF(C155="NA","NA",VLOOKUP(C155,MSSM_AdaptedSources!B:K,10,FALSE))</f>
        <v>11029</v>
      </c>
      <c r="AA155">
        <f>IF(C155="NA","0",VLOOKUP(C155,MultiFaultGeometry!B:C,2,FALSE)*IF(B155="NA",X$278/(X$278+X$276),X$278))</f>
        <v>0.19999999999999998</v>
      </c>
      <c r="AB155">
        <f>AA155*IF(C155="NA",0,VLOOKUP(C155,MultiFaultGeometry!B:O,14,FALSE))</f>
        <v>1.254499614204096E+16</v>
      </c>
      <c r="AC155">
        <f>IF(AB155=0,0,AA155*3.3*10^10*Z155*10^6*(1/Y155)*VLOOKUP(C155,MultiFaultGeometry!B:G,5,FALSE)*10^-3)</f>
        <v>3.9696871135929048E+16</v>
      </c>
      <c r="AE155" s="68">
        <f t="shared" si="30"/>
        <v>0</v>
      </c>
      <c r="AF155" s="68">
        <f t="shared" si="32"/>
        <v>0</v>
      </c>
      <c r="AG155" s="68"/>
    </row>
    <row r="156" spans="1:33" x14ac:dyDescent="0.2">
      <c r="A156" s="68" t="str">
        <f>Leonard2010!D158</f>
        <v>South Basin Fault 5a</v>
      </c>
      <c r="B156" s="68" t="str">
        <f>Leonard2010!E158</f>
        <v>South Basin Fault 5a Central</v>
      </c>
      <c r="C156" s="68" t="str">
        <f>Leonard2010!F158</f>
        <v>South Basin Fault 5-13a</v>
      </c>
      <c r="D156">
        <f>IF(B156="NA","NA",VLOOKUP(B156,Leonard2010!E:H,3,FALSE))</f>
        <v>61.9</v>
      </c>
      <c r="E156">
        <f>IF(A156="NA","NA",VLOOKUP(A156,Leonard2010!D:I,6,FALSE))</f>
        <v>159.5</v>
      </c>
      <c r="F156">
        <f>IF(C156="NA","NA",VLOOKUP(C156,Leonard2010!F:K,6,FALSE))</f>
        <v>268.8</v>
      </c>
      <c r="G156">
        <f>IF(B156="NA","NA",VLOOKUP(B156,Leonard2010!E:H,4,FALSE))</f>
        <v>170</v>
      </c>
      <c r="H156">
        <f>IF(A156="NA","NA",VLOOKUP(A156,Leonard2010!D:J,7,FALSE))</f>
        <v>166</v>
      </c>
      <c r="I156">
        <f>IF(C156="NA","NA",VLOOKUP(C156,Leonard2010!F:L,7,FALSE))</f>
        <v>170</v>
      </c>
      <c r="J156">
        <f>IF(A156="NA","NA",VLOOKUP(A156,Leonard2010!D:N,11,FALSE))</f>
        <v>53</v>
      </c>
      <c r="K156" t="s">
        <v>211</v>
      </c>
      <c r="L156">
        <f>VLOOKUP(A156,Leonard2010!D:AJ,32,FALSE)</f>
        <v>52</v>
      </c>
      <c r="M156">
        <f>VLOOKUP($A156,Leonard2010!D:AK,33,FALSE)</f>
        <v>74</v>
      </c>
      <c r="N156">
        <f>VLOOKUP($A156,Leonard2010!D:AL,34,FALSE)</f>
        <v>96</v>
      </c>
      <c r="O156">
        <f t="shared" si="29"/>
        <v>0.96126169593831889</v>
      </c>
      <c r="P156">
        <f t="shared" si="36"/>
        <v>2712.7519033954627</v>
      </c>
      <c r="Q156">
        <f>IF(B156="NA","0",VLOOKUP(B156,SectionGeometry!C:E,3,FALSE)*IF(C156="NA",X$277/(X$277+X$276),X$277))</f>
        <v>3.3333333333333333E-2</v>
      </c>
      <c r="R156">
        <f>Q156*IF(B156="NA",0,((VLOOKUP(B156,SectionGeometry!C:Z,24,FALSE))))</f>
        <v>301840800345930.81</v>
      </c>
      <c r="S156">
        <f>IF(R156=0,0,Q156*3.3*10^10*P156*10^6*(1/O156)*VLOOKUP(B156,SectionGeometry!C:AA,25,FALSE)*10^-3)</f>
        <v>1605540101013518.8</v>
      </c>
      <c r="T156">
        <f t="shared" si="31"/>
        <v>0.93969262078590832</v>
      </c>
      <c r="U156">
        <f>IF(K156="N",E156*35/SIN(RADIANS(J156)),IF(K156="Y",VLOOKUP(A156,Leonard2010!D:U,18,FALSE),IF(C156="NA",VLOOKUP(A156,MSSM_AdaptedSources!B:K,10,FALSE),"CHECK")))</f>
        <v>6990.0473116571302</v>
      </c>
      <c r="V156">
        <f>(1*VLOOKUP(A156,FaultGeometry!B:C,2,FALSE))-Q156-AA156</f>
        <v>0.1</v>
      </c>
      <c r="W156">
        <f>V156*(VLOOKUP(A156,FaultGeometry!B:Y,24,FALSE))</f>
        <v>4053062532293943.5</v>
      </c>
      <c r="X156">
        <f>V156*3.3*10^10*U156*10^6*(1/T156)*VLOOKUP(A156,FaultGeometry!B:O,14,FALSE)*10^-3</f>
        <v>1.2956787939775546E+16</v>
      </c>
      <c r="Y156">
        <f t="shared" si="35"/>
        <v>0.96126169593831889</v>
      </c>
      <c r="Z156">
        <f>IF(C156="NA","NA",VLOOKUP(C156,MSSM_AdaptedSources!B:K,10,FALSE))</f>
        <v>11029</v>
      </c>
      <c r="AA156">
        <f>IF(C156="NA","0",VLOOKUP(C156,MultiFaultGeometry!B:C,2,FALSE)*IF(B156="NA",X$278/(X$278+X$276),X$278))</f>
        <v>0.19999999999999998</v>
      </c>
      <c r="AB156">
        <f>AA156*IF(C156="NA",0,VLOOKUP(C156,MultiFaultGeometry!B:O,14,FALSE))</f>
        <v>1.254499614204096E+16</v>
      </c>
      <c r="AC156">
        <f>IF(AB156=0,0,AA156*3.3*10^10*Z156*10^6*(1/Y156)*VLOOKUP(C156,MultiFaultGeometry!B:G,5,FALSE)*10^-3)</f>
        <v>3.9696871135929048E+16</v>
      </c>
      <c r="AE156" s="68">
        <f t="shared" si="30"/>
        <v>0</v>
      </c>
      <c r="AF156" s="68">
        <f t="shared" si="32"/>
        <v>0</v>
      </c>
      <c r="AG156" s="68"/>
    </row>
    <row r="157" spans="1:33" x14ac:dyDescent="0.2">
      <c r="A157" s="68" t="str">
        <f>Leonard2010!D159</f>
        <v>South Basin Fault 5a</v>
      </c>
      <c r="B157" s="68" t="str">
        <f>Leonard2010!E159</f>
        <v>South Basin Fault 5a North</v>
      </c>
      <c r="C157" s="68" t="str">
        <f>Leonard2010!F159</f>
        <v>South Basin Fault 5-13a</v>
      </c>
      <c r="D157">
        <f>IF(B157="NA","NA",VLOOKUP(B157,Leonard2010!E:H,3,FALSE))</f>
        <v>47.7</v>
      </c>
      <c r="E157">
        <f>IF(A157="NA","NA",VLOOKUP(A157,Leonard2010!D:I,6,FALSE))</f>
        <v>159.5</v>
      </c>
      <c r="F157">
        <f>IF(C157="NA","NA",VLOOKUP(C157,Leonard2010!F:K,6,FALSE))</f>
        <v>268.8</v>
      </c>
      <c r="G157">
        <f>IF(B157="NA","NA",VLOOKUP(B157,Leonard2010!E:H,4,FALSE))</f>
        <v>151</v>
      </c>
      <c r="H157">
        <f>IF(A157="NA","NA",VLOOKUP(A157,Leonard2010!D:J,7,FALSE))</f>
        <v>166</v>
      </c>
      <c r="I157">
        <f>IF(C157="NA","NA",VLOOKUP(C157,Leonard2010!F:L,7,FALSE))</f>
        <v>170</v>
      </c>
      <c r="J157">
        <f>IF(A157="NA","NA",VLOOKUP(A157,Leonard2010!D:N,11,FALSE))</f>
        <v>53</v>
      </c>
      <c r="K157" t="s">
        <v>211</v>
      </c>
      <c r="L157">
        <f>VLOOKUP(A157,Leonard2010!D:AJ,32,FALSE)</f>
        <v>52</v>
      </c>
      <c r="M157">
        <f>VLOOKUP($A157,Leonard2010!D:AK,33,FALSE)</f>
        <v>74</v>
      </c>
      <c r="N157">
        <f>VLOOKUP($A157,Leonard2010!D:AL,34,FALSE)</f>
        <v>96</v>
      </c>
      <c r="O157">
        <f t="shared" si="29"/>
        <v>0.97437006478523513</v>
      </c>
      <c r="P157">
        <f t="shared" si="36"/>
        <v>2090.4404812918187</v>
      </c>
      <c r="Q157">
        <f>IF(B157="NA","0",VLOOKUP(B157,SectionGeometry!C:E,3,FALSE)*IF(C157="NA",X$277/(X$277+X$276),X$277))</f>
        <v>3.3333333333333333E-2</v>
      </c>
      <c r="R157">
        <f>Q157*IF(B157="NA",0,((VLOOKUP(B157,SectionGeometry!C:Z,24,FALSE))))</f>
        <v>191805917430691.44</v>
      </c>
      <c r="S157">
        <f>IF(R157=0,0,Q157*3.3*10^10*P157*10^6*(1/O157)*VLOOKUP(B157,SectionGeometry!C:AA,25,FALSE)*10^-3)</f>
        <v>1215756677788993</v>
      </c>
      <c r="T157">
        <f t="shared" si="31"/>
        <v>0.93969262078590832</v>
      </c>
      <c r="U157">
        <f>IF(K157="N",E157*35/SIN(RADIANS(J157)),IF(K157="Y",VLOOKUP(A157,Leonard2010!D:U,18,FALSE),IF(C157="NA",VLOOKUP(A157,MSSM_AdaptedSources!B:K,10,FALSE),"CHECK")))</f>
        <v>6990.0473116571302</v>
      </c>
      <c r="V157">
        <f>(1*VLOOKUP(A157,FaultGeometry!B:C,2,FALSE))-Q157-AA157</f>
        <v>0.1</v>
      </c>
      <c r="W157">
        <f>V157*(VLOOKUP(A157,FaultGeometry!B:Y,24,FALSE))</f>
        <v>4053062532293943.5</v>
      </c>
      <c r="X157">
        <f>V157*3.3*10^10*U157*10^6*(1/T157)*VLOOKUP(A157,FaultGeometry!B:O,14,FALSE)*10^-3</f>
        <v>1.2956787939775546E+16</v>
      </c>
      <c r="Y157">
        <f t="shared" si="35"/>
        <v>0.96126169593831889</v>
      </c>
      <c r="Z157">
        <f>IF(C157="NA","NA",VLOOKUP(C157,MSSM_AdaptedSources!B:K,10,FALSE))</f>
        <v>11029</v>
      </c>
      <c r="AA157">
        <f>IF(C157="NA","0",VLOOKUP(C157,MultiFaultGeometry!B:C,2,FALSE)*IF(B157="NA",X$278/(X$278+X$276),X$278))</f>
        <v>0.19999999999999998</v>
      </c>
      <c r="AB157">
        <f>AA157*IF(C157="NA",0,VLOOKUP(C157,MultiFaultGeometry!B:O,14,FALSE))</f>
        <v>1.254499614204096E+16</v>
      </c>
      <c r="AC157">
        <f>IF(AB157=0,0,AA157*3.3*10^10*Z157*10^6*(1/Y157)*VLOOKUP(C157,MultiFaultGeometry!B:G,5,FALSE)*10^-3)</f>
        <v>3.9696871135929048E+16</v>
      </c>
      <c r="AE157" s="68">
        <f t="shared" si="30"/>
        <v>4053062532293943.5</v>
      </c>
      <c r="AF157" s="68">
        <f t="shared" si="32"/>
        <v>1.2956787939775546E+16</v>
      </c>
      <c r="AG157" s="68"/>
    </row>
    <row r="158" spans="1:33" x14ac:dyDescent="0.2">
      <c r="A158" s="68" t="str">
        <f>Leonard2010!D160</f>
        <v>South Basin Fault 5b</v>
      </c>
      <c r="B158" s="68" t="str">
        <f>Leonard2010!E160</f>
        <v>South Basin Fault 5b South</v>
      </c>
      <c r="C158" s="68" t="str">
        <f>Leonard2010!F160</f>
        <v>South Basin Fault 5-13b</v>
      </c>
      <c r="D158">
        <f>IF(B158="NA","NA",VLOOKUP(B158,Leonard2010!E:H,3,FALSE))</f>
        <v>49.9</v>
      </c>
      <c r="E158">
        <f>IF(A158="NA","NA",VLOOKUP(A158,Leonard2010!D:I,6,FALSE))</f>
        <v>159.5</v>
      </c>
      <c r="F158">
        <f>IF(C158="NA","NA",VLOOKUP(C158,Leonard2010!F:K,6,FALSE))</f>
        <v>247.9</v>
      </c>
      <c r="G158">
        <f>IF(B158="NA","NA",VLOOKUP(B158,Leonard2010!E:H,4,FALSE))</f>
        <v>174</v>
      </c>
      <c r="H158">
        <f>IF(A158="NA","NA",VLOOKUP(A158,Leonard2010!D:J,7,FALSE))</f>
        <v>166</v>
      </c>
      <c r="I158">
        <f>IF(C158="NA","NA",VLOOKUP(C158,Leonard2010!F:L,7,FALSE))</f>
        <v>172</v>
      </c>
      <c r="J158">
        <f>IF(A158="NA","NA",VLOOKUP(A158,Leonard2010!D:N,11,FALSE))</f>
        <v>53</v>
      </c>
      <c r="K158" t="s">
        <v>211</v>
      </c>
      <c r="L158">
        <f>VLOOKUP(A158,Leonard2010!D:AJ,32,FALSE)</f>
        <v>52</v>
      </c>
      <c r="M158">
        <f>VLOOKUP($A158,Leonard2010!D:AK,33,FALSE)</f>
        <v>74</v>
      </c>
      <c r="N158">
        <f>VLOOKUP($A158,Leonard2010!D:AL,34,FALSE)</f>
        <v>96</v>
      </c>
      <c r="O158">
        <f t="shared" si="29"/>
        <v>0.97814760073380569</v>
      </c>
      <c r="P158">
        <f t="shared" si="36"/>
        <v>2186.8549269698483</v>
      </c>
      <c r="Q158">
        <f>IF(B158="NA","0",VLOOKUP(B158,SectionGeometry!C:E,3,FALSE)*IF(C158="NA",X$277/(X$277+X$276),X$277))</f>
        <v>3.3333333333333333E-2</v>
      </c>
      <c r="R158">
        <f>Q158*IF(B158="NA",0,((VLOOKUP(B158,SectionGeometry!C:Z,24,FALSE))))</f>
        <v>212757375762267</v>
      </c>
      <c r="S158">
        <f>IF(R158=0,0,Q158*3.3*10^10*P158*10^6*(1/O158)*VLOOKUP(B158,SectionGeometry!C:AA,25,FALSE)*10^-3)</f>
        <v>1281297919297510</v>
      </c>
      <c r="T158">
        <f t="shared" si="31"/>
        <v>0.93969262078590832</v>
      </c>
      <c r="U158">
        <f>IF(K158="N",E158*35/SIN(RADIANS(J158)),IF(K158="Y",VLOOKUP(A158,Leonard2010!D:U,18,FALSE),IF(C158="NA",VLOOKUP(A158,MSSM_AdaptedSources!B:K,10,FALSE),"CHECK")))</f>
        <v>6990.0473116571302</v>
      </c>
      <c r="V158">
        <f>(1*VLOOKUP(A158,FaultGeometry!B:C,2,FALSE))-Q158-AA158</f>
        <v>0.1</v>
      </c>
      <c r="W158">
        <f>V158*(VLOOKUP(A158,FaultGeometry!B:Y,24,FALSE))</f>
        <v>4067628191452818.5</v>
      </c>
      <c r="X158">
        <f>V158*3.3*10^10*U158*10^6*(1/T158)*VLOOKUP(A158,FaultGeometry!B:O,14,FALSE)*10^-3</f>
        <v>1.2878975224330132E+16</v>
      </c>
      <c r="Y158">
        <f t="shared" si="35"/>
        <v>0.97029572627599647</v>
      </c>
      <c r="Z158">
        <f>IF(C158="NA","NA",VLOOKUP(C158,MSSM_AdaptedSources!B:K,10,FALSE))</f>
        <v>10060</v>
      </c>
      <c r="AA158">
        <f>IF(C158="NA","0",VLOOKUP(C158,MultiFaultGeometry!B:C,2,FALSE)*IF(B158="NA",X$278/(X$278+X$276),X$278))</f>
        <v>0.19999999999999998</v>
      </c>
      <c r="AB158">
        <f>AA158*IF(C158="NA",0,VLOOKUP(C158,MultiFaultGeometry!B:O,14,FALSE))</f>
        <v>1.1539881782808576E+16</v>
      </c>
      <c r="AC158">
        <f>IF(AB158=0,0,AA158*3.3*10^10*Z158*10^6*(1/Y158)*VLOOKUP(C158,MultiFaultGeometry!B:G,5,FALSE)*10^-3)</f>
        <v>3.5836698430089604E+16</v>
      </c>
      <c r="AE158" s="68">
        <f t="shared" si="30"/>
        <v>0</v>
      </c>
      <c r="AF158" s="68">
        <f t="shared" si="32"/>
        <v>0</v>
      </c>
      <c r="AG158" s="68"/>
    </row>
    <row r="159" spans="1:33" x14ac:dyDescent="0.2">
      <c r="A159" s="68" t="str">
        <f>Leonard2010!D161</f>
        <v>South Basin Fault 5b</v>
      </c>
      <c r="B159" s="68" t="str">
        <f>Leonard2010!E161</f>
        <v>South Basin Fault 5b Central</v>
      </c>
      <c r="C159" s="68" t="str">
        <f>Leonard2010!F161</f>
        <v>South Basin Fault 5-13b</v>
      </c>
      <c r="D159">
        <f>IF(B159="NA","NA",VLOOKUP(B159,Leonard2010!E:H,3,FALSE))</f>
        <v>61.9</v>
      </c>
      <c r="E159">
        <f>IF(A159="NA","NA",VLOOKUP(A159,Leonard2010!D:I,6,FALSE))</f>
        <v>159.5</v>
      </c>
      <c r="F159">
        <f>IF(C159="NA","NA",VLOOKUP(C159,Leonard2010!F:K,6,FALSE))</f>
        <v>247.9</v>
      </c>
      <c r="G159">
        <f>IF(B159="NA","NA",VLOOKUP(B159,Leonard2010!E:H,4,FALSE))</f>
        <v>170</v>
      </c>
      <c r="H159">
        <f>IF(A159="NA","NA",VLOOKUP(A159,Leonard2010!D:J,7,FALSE))</f>
        <v>166</v>
      </c>
      <c r="I159">
        <f>IF(C159="NA","NA",VLOOKUP(C159,Leonard2010!F:L,7,FALSE))</f>
        <v>172</v>
      </c>
      <c r="J159">
        <f>IF(A159="NA","NA",VLOOKUP(A159,Leonard2010!D:N,11,FALSE))</f>
        <v>53</v>
      </c>
      <c r="K159" t="s">
        <v>211</v>
      </c>
      <c r="L159">
        <f>VLOOKUP(A159,Leonard2010!D:AJ,32,FALSE)</f>
        <v>52</v>
      </c>
      <c r="M159">
        <f>VLOOKUP($A159,Leonard2010!D:AK,33,FALSE)</f>
        <v>74</v>
      </c>
      <c r="N159">
        <f>VLOOKUP($A159,Leonard2010!D:AL,34,FALSE)</f>
        <v>96</v>
      </c>
      <c r="O159">
        <f t="shared" si="29"/>
        <v>0.96126169593831889</v>
      </c>
      <c r="P159">
        <f t="shared" si="36"/>
        <v>2712.7519033954627</v>
      </c>
      <c r="Q159">
        <f>IF(B159="NA","0",VLOOKUP(B159,SectionGeometry!C:E,3,FALSE)*IF(C159="NA",X$277/(X$277+X$276),X$277))</f>
        <v>3.3333333333333333E-2</v>
      </c>
      <c r="R159">
        <f>Q159*IF(B159="NA",0,((VLOOKUP(B159,SectionGeometry!C:Z,24,FALSE))))</f>
        <v>302899764433393.62</v>
      </c>
      <c r="S159">
        <f>IF(R159=0,0,Q159*3.3*10^10*P159*10^6*(1/O159)*VLOOKUP(B159,SectionGeometry!C:AA,25,FALSE)*10^-3)</f>
        <v>1622698616248534.5</v>
      </c>
      <c r="T159">
        <f t="shared" si="31"/>
        <v>0.93969262078590832</v>
      </c>
      <c r="U159">
        <f>IF(K159="N",E159*35/SIN(RADIANS(J159)),IF(K159="Y",VLOOKUP(A159,Leonard2010!D:U,18,FALSE),IF(C159="NA",VLOOKUP(A159,MSSM_AdaptedSources!B:K,10,FALSE),"CHECK")))</f>
        <v>6990.0473116571302</v>
      </c>
      <c r="V159">
        <f>(1*VLOOKUP(A159,FaultGeometry!B:C,2,FALSE))-Q159-AA159</f>
        <v>0.1</v>
      </c>
      <c r="W159">
        <f>V159*(VLOOKUP(A159,FaultGeometry!B:Y,24,FALSE))</f>
        <v>4067628191452818.5</v>
      </c>
      <c r="X159">
        <f>V159*3.3*10^10*U159*10^6*(1/T159)*VLOOKUP(A159,FaultGeometry!B:O,14,FALSE)*10^-3</f>
        <v>1.2878975224330132E+16</v>
      </c>
      <c r="Y159">
        <f t="shared" si="35"/>
        <v>0.97029572627599647</v>
      </c>
      <c r="Z159">
        <f>IF(C159="NA","NA",VLOOKUP(C159,MSSM_AdaptedSources!B:K,10,FALSE))</f>
        <v>10060</v>
      </c>
      <c r="AA159">
        <f>IF(C159="NA","0",VLOOKUP(C159,MultiFaultGeometry!B:C,2,FALSE)*IF(B159="NA",X$278/(X$278+X$276),X$278))</f>
        <v>0.19999999999999998</v>
      </c>
      <c r="AB159">
        <f>AA159*IF(C159="NA",0,VLOOKUP(C159,MultiFaultGeometry!B:O,14,FALSE))</f>
        <v>1.1539881782808576E+16</v>
      </c>
      <c r="AC159">
        <f>IF(AB159=0,0,AA159*3.3*10^10*Z159*10^6*(1/Y159)*VLOOKUP(C159,MultiFaultGeometry!B:G,5,FALSE)*10^-3)</f>
        <v>3.5836698430089604E+16</v>
      </c>
      <c r="AE159" s="68">
        <f t="shared" si="30"/>
        <v>0</v>
      </c>
      <c r="AF159" s="68">
        <f t="shared" si="32"/>
        <v>0</v>
      </c>
      <c r="AG159" s="68"/>
    </row>
    <row r="160" spans="1:33" x14ac:dyDescent="0.2">
      <c r="A160" s="68" t="str">
        <f>Leonard2010!D162</f>
        <v>South Basin Fault 5b</v>
      </c>
      <c r="B160" s="68" t="str">
        <f>Leonard2010!E162</f>
        <v>South Basin Fault 5b North</v>
      </c>
      <c r="C160" s="68" t="str">
        <f>Leonard2010!F162</f>
        <v>South Basin Fault 5-13b</v>
      </c>
      <c r="D160">
        <f>IF(B160="NA","NA",VLOOKUP(B160,Leonard2010!E:H,3,FALSE))</f>
        <v>47.7</v>
      </c>
      <c r="E160">
        <f>IF(A160="NA","NA",VLOOKUP(A160,Leonard2010!D:I,6,FALSE))</f>
        <v>159.5</v>
      </c>
      <c r="F160">
        <f>IF(C160="NA","NA",VLOOKUP(C160,Leonard2010!F:K,6,FALSE))</f>
        <v>247.9</v>
      </c>
      <c r="G160">
        <f>IF(B160="NA","NA",VLOOKUP(B160,Leonard2010!E:H,4,FALSE))</f>
        <v>151</v>
      </c>
      <c r="H160">
        <f>IF(A160="NA","NA",VLOOKUP(A160,Leonard2010!D:J,7,FALSE))</f>
        <v>166</v>
      </c>
      <c r="I160">
        <f>IF(C160="NA","NA",VLOOKUP(C160,Leonard2010!F:L,7,FALSE))</f>
        <v>172</v>
      </c>
      <c r="J160">
        <f>IF(A160="NA","NA",VLOOKUP(A160,Leonard2010!D:N,11,FALSE))</f>
        <v>53</v>
      </c>
      <c r="K160" t="s">
        <v>211</v>
      </c>
      <c r="L160">
        <f>VLOOKUP(A160,Leonard2010!D:AJ,32,FALSE)</f>
        <v>52</v>
      </c>
      <c r="M160">
        <f>VLOOKUP($A160,Leonard2010!D:AK,33,FALSE)</f>
        <v>74</v>
      </c>
      <c r="N160">
        <f>VLOOKUP($A160,Leonard2010!D:AL,34,FALSE)</f>
        <v>96</v>
      </c>
      <c r="O160">
        <f t="shared" si="29"/>
        <v>0.97437006478523513</v>
      </c>
      <c r="P160">
        <f t="shared" si="36"/>
        <v>2090.4404812918187</v>
      </c>
      <c r="Q160">
        <f>IF(B160="NA","0",VLOOKUP(B160,SectionGeometry!C:E,3,FALSE)*IF(C160="NA",X$277/(X$277+X$276),X$277))</f>
        <v>3.3333333333333333E-2</v>
      </c>
      <c r="R160">
        <f>Q160*IF(B160="NA",0,((VLOOKUP(B160,SectionGeometry!C:Z,24,FALSE))))</f>
        <v>195231882709455.09</v>
      </c>
      <c r="S160">
        <f>IF(R160=0,0,Q160*3.3*10^10*P160*10^6*(1/O160)*VLOOKUP(B160,SectionGeometry!C:AA,25,FALSE)*10^-3)</f>
        <v>1210089554835539.5</v>
      </c>
      <c r="T160">
        <f t="shared" si="31"/>
        <v>0.93969262078590832</v>
      </c>
      <c r="U160">
        <f>IF(K160="N",E160*35/SIN(RADIANS(J160)),IF(K160="Y",VLOOKUP(A160,Leonard2010!D:U,18,FALSE),IF(C160="NA",VLOOKUP(A160,MSSM_AdaptedSources!B:K,10,FALSE),"CHECK")))</f>
        <v>6990.0473116571302</v>
      </c>
      <c r="V160">
        <f>(1*VLOOKUP(A160,FaultGeometry!B:C,2,FALSE))-Q160-AA160</f>
        <v>0.1</v>
      </c>
      <c r="W160">
        <f>V160*(VLOOKUP(A160,FaultGeometry!B:Y,24,FALSE))</f>
        <v>4067628191452818.5</v>
      </c>
      <c r="X160">
        <f>V160*3.3*10^10*U160*10^6*(1/T160)*VLOOKUP(A160,FaultGeometry!B:O,14,FALSE)*10^-3</f>
        <v>1.2878975224330132E+16</v>
      </c>
      <c r="Y160">
        <f t="shared" si="35"/>
        <v>0.97029572627599647</v>
      </c>
      <c r="Z160">
        <f>IF(C160="NA","NA",VLOOKUP(C160,MSSM_AdaptedSources!B:K,10,FALSE))</f>
        <v>10060</v>
      </c>
      <c r="AA160">
        <f>IF(C160="NA","0",VLOOKUP(C160,MultiFaultGeometry!B:C,2,FALSE)*IF(B160="NA",X$278/(X$278+X$276),X$278))</f>
        <v>0.19999999999999998</v>
      </c>
      <c r="AB160">
        <f>AA160*IF(C160="NA",0,VLOOKUP(C160,MultiFaultGeometry!B:O,14,FALSE))</f>
        <v>1.1539881782808576E+16</v>
      </c>
      <c r="AC160">
        <f>IF(AB160=0,0,AA160*3.3*10^10*Z160*10^6*(1/Y160)*VLOOKUP(C160,MultiFaultGeometry!B:G,5,FALSE)*10^-3)</f>
        <v>3.5836698430089604E+16</v>
      </c>
      <c r="AE160" s="68">
        <f t="shared" si="30"/>
        <v>4067628191452818.5</v>
      </c>
      <c r="AF160" s="68">
        <f t="shared" si="32"/>
        <v>1.2878975224330132E+16</v>
      </c>
      <c r="AG160" s="68"/>
    </row>
    <row r="161" spans="1:33" x14ac:dyDescent="0.2">
      <c r="A161" s="68" t="str">
        <f>Leonard2010!D163</f>
        <v>South Basin Fault 5c</v>
      </c>
      <c r="B161" s="68" t="str">
        <f>Leonard2010!E163</f>
        <v>South Basin Fault 5c South</v>
      </c>
      <c r="C161" s="68" t="str">
        <f>Leonard2010!F163</f>
        <v>South Basin Fault 5-13c</v>
      </c>
      <c r="D161">
        <f>IF(B161="NA","NA",VLOOKUP(B161,Leonard2010!E:H,3,FALSE))</f>
        <v>49.9</v>
      </c>
      <c r="E161">
        <f>IF(A161="NA","NA",VLOOKUP(A161,Leonard2010!D:I,6,FALSE))</f>
        <v>159.5</v>
      </c>
      <c r="F161">
        <f>IF(C161="NA","NA",VLOOKUP(C161,Leonard2010!F:K,6,FALSE))</f>
        <v>226.6</v>
      </c>
      <c r="G161">
        <f>IF(B161="NA","NA",VLOOKUP(B161,Leonard2010!E:H,4,FALSE))</f>
        <v>174</v>
      </c>
      <c r="H161">
        <f>IF(A161="NA","NA",VLOOKUP(A161,Leonard2010!D:J,7,FALSE))</f>
        <v>166</v>
      </c>
      <c r="I161">
        <f>IF(C161="NA","NA",VLOOKUP(C161,Leonard2010!F:L,7,FALSE))</f>
        <v>165</v>
      </c>
      <c r="J161">
        <f>IF(A161="NA","NA",VLOOKUP(A161,Leonard2010!D:N,11,FALSE))</f>
        <v>53</v>
      </c>
      <c r="K161" t="s">
        <v>211</v>
      </c>
      <c r="L161">
        <f>VLOOKUP(A161,Leonard2010!D:AJ,32,FALSE)</f>
        <v>52</v>
      </c>
      <c r="M161">
        <f>VLOOKUP($A161,Leonard2010!D:AK,33,FALSE)</f>
        <v>74</v>
      </c>
      <c r="N161">
        <f>VLOOKUP($A161,Leonard2010!D:AL,34,FALSE)</f>
        <v>96</v>
      </c>
      <c r="O161">
        <f t="shared" si="29"/>
        <v>0.97814760073380569</v>
      </c>
      <c r="P161">
        <f t="shared" si="36"/>
        <v>2186.8549269698483</v>
      </c>
      <c r="Q161">
        <f>IF(B161="NA","0",VLOOKUP(B161,SectionGeometry!C:E,3,FALSE)*IF(C161="NA",X$277/(X$277+X$276),X$277))</f>
        <v>3.3333333333333333E-2</v>
      </c>
      <c r="R161">
        <f>Q161*IF(B161="NA",0,((VLOOKUP(B161,SectionGeometry!C:Z,24,FALSE))))</f>
        <v>213371074164068.75</v>
      </c>
      <c r="S161">
        <f>IF(R161=0,0,Q161*3.3*10^10*P161*10^6*(1/O161)*VLOOKUP(B161,SectionGeometry!C:AA,25,FALSE)*10^-3)</f>
        <v>1274501585781882.8</v>
      </c>
      <c r="T161">
        <f t="shared" si="31"/>
        <v>0.93969262078590832</v>
      </c>
      <c r="U161">
        <f>IF(K161="N",E161*35/SIN(RADIANS(J161)),IF(K161="Y",VLOOKUP(A161,Leonard2010!D:U,18,FALSE),IF(C161="NA",VLOOKUP(A161,MSSM_AdaptedSources!B:K,10,FALSE),"CHECK")))</f>
        <v>6990.0473116571302</v>
      </c>
      <c r="V161">
        <f>(1*VLOOKUP(A161,FaultGeometry!B:C,2,FALSE))-Q161-AA161</f>
        <v>0.1</v>
      </c>
      <c r="W161">
        <f>V161*(VLOOKUP(A161,FaultGeometry!B:Y,24,FALSE))</f>
        <v>4067406795722942</v>
      </c>
      <c r="X161">
        <f>V161*3.3*10^10*U161*10^6*(1/T161)*VLOOKUP(A161,FaultGeometry!B:O,14,FALSE)*10^-3</f>
        <v>1.284310416417127E+16</v>
      </c>
      <c r="Y161">
        <f t="shared" si="35"/>
        <v>0.93358042649720174</v>
      </c>
      <c r="Z161">
        <f>IF(C161="NA","NA",VLOOKUP(C161,MSSM_AdaptedSources!B:K,10,FALSE))</f>
        <v>9930.6879048370247</v>
      </c>
      <c r="AA161">
        <f>IF(C161="NA","0",VLOOKUP(C161,MultiFaultGeometry!B:C,2,FALSE)*IF(B161="NA",X$278/(X$278+X$276),X$278))</f>
        <v>0.19999999999999998</v>
      </c>
      <c r="AB161">
        <f>AA161*IF(C161="NA",0,VLOOKUP(C161,MultiFaultGeometry!B:O,14,FALSE))</f>
        <v>1.144607276190358E+16</v>
      </c>
      <c r="AC161">
        <f>IF(AB161=0,0,AA161*3.3*10^10*Z161*10^6*(1/Y161)*VLOOKUP(C161,MultiFaultGeometry!B:G,5,FALSE)*10^-3)</f>
        <v>3.7052818038438288E+16</v>
      </c>
      <c r="AE161" s="68">
        <f t="shared" si="30"/>
        <v>0</v>
      </c>
      <c r="AF161" s="68">
        <f t="shared" si="32"/>
        <v>0</v>
      </c>
      <c r="AG161" s="68"/>
    </row>
    <row r="162" spans="1:33" x14ac:dyDescent="0.2">
      <c r="A162" s="68" t="str">
        <f>Leonard2010!D164</f>
        <v>South Basin Fault 5c</v>
      </c>
      <c r="B162" s="68" t="str">
        <f>Leonard2010!E164</f>
        <v>South Basin Fault 5c Central</v>
      </c>
      <c r="C162" s="68" t="str">
        <f>Leonard2010!F164</f>
        <v>South Basin Fault 5-13c</v>
      </c>
      <c r="D162">
        <f>IF(B162="NA","NA",VLOOKUP(B162,Leonard2010!E:H,3,FALSE))</f>
        <v>61.9</v>
      </c>
      <c r="E162">
        <f>IF(A162="NA","NA",VLOOKUP(A162,Leonard2010!D:I,6,FALSE))</f>
        <v>159.5</v>
      </c>
      <c r="F162">
        <f>IF(C162="NA","NA",VLOOKUP(C162,Leonard2010!F:K,6,FALSE))</f>
        <v>226.6</v>
      </c>
      <c r="G162">
        <f>IF(B162="NA","NA",VLOOKUP(B162,Leonard2010!E:H,4,FALSE))</f>
        <v>170</v>
      </c>
      <c r="H162">
        <f>IF(A162="NA","NA",VLOOKUP(A162,Leonard2010!D:J,7,FALSE))</f>
        <v>166</v>
      </c>
      <c r="I162">
        <f>IF(C162="NA","NA",VLOOKUP(C162,Leonard2010!F:L,7,FALSE))</f>
        <v>165</v>
      </c>
      <c r="J162">
        <f>IF(A162="NA","NA",VLOOKUP(A162,Leonard2010!D:N,11,FALSE))</f>
        <v>53</v>
      </c>
      <c r="K162" t="s">
        <v>211</v>
      </c>
      <c r="L162">
        <f>VLOOKUP(A162,Leonard2010!D:AJ,32,FALSE)</f>
        <v>52</v>
      </c>
      <c r="M162">
        <f>VLOOKUP($A162,Leonard2010!D:AK,33,FALSE)</f>
        <v>74</v>
      </c>
      <c r="N162">
        <f>VLOOKUP($A162,Leonard2010!D:AL,34,FALSE)</f>
        <v>96</v>
      </c>
      <c r="O162">
        <f t="shared" si="29"/>
        <v>0.96126169593831889</v>
      </c>
      <c r="P162">
        <f t="shared" si="36"/>
        <v>2712.7519033954627</v>
      </c>
      <c r="Q162">
        <f>IF(B162="NA","0",VLOOKUP(B162,SectionGeometry!C:E,3,FALSE)*IF(C162="NA",X$277/(X$277+X$276),X$277))</f>
        <v>3.3333333333333333E-2</v>
      </c>
      <c r="R162">
        <f>Q162*IF(B162="NA",0,((VLOOKUP(B162,SectionGeometry!C:Z,24,FALSE))))</f>
        <v>311040430373056.75</v>
      </c>
      <c r="S162">
        <f>IF(R162=0,0,Q162*3.3*10^10*P162*10^6*(1/O162)*VLOOKUP(B162,SectionGeometry!C:AA,25,FALSE)*10^-3)</f>
        <v>1628212891900272</v>
      </c>
      <c r="T162">
        <f t="shared" si="31"/>
        <v>0.93969262078590832</v>
      </c>
      <c r="U162">
        <f>IF(K162="N",E162*35/SIN(RADIANS(J162)),IF(K162="Y",VLOOKUP(A162,Leonard2010!D:U,18,FALSE),IF(C162="NA",VLOOKUP(A162,MSSM_AdaptedSources!B:K,10,FALSE),"CHECK")))</f>
        <v>6990.0473116571302</v>
      </c>
      <c r="V162">
        <f>(1*VLOOKUP(A162,FaultGeometry!B:C,2,FALSE))-Q162-AA162</f>
        <v>0.1</v>
      </c>
      <c r="W162">
        <f>V162*(VLOOKUP(A162,FaultGeometry!B:Y,24,FALSE))</f>
        <v>4067406795722942</v>
      </c>
      <c r="X162">
        <f>V162*3.3*10^10*U162*10^6*(1/T162)*VLOOKUP(A162,FaultGeometry!B:O,14,FALSE)*10^-3</f>
        <v>1.284310416417127E+16</v>
      </c>
      <c r="Y162">
        <f t="shared" si="35"/>
        <v>0.93358042649720174</v>
      </c>
      <c r="Z162">
        <f>IF(C162="NA","NA",VLOOKUP(C162,MSSM_AdaptedSources!B:K,10,FALSE))</f>
        <v>9930.6879048370247</v>
      </c>
      <c r="AA162">
        <f>IF(C162="NA","0",VLOOKUP(C162,MultiFaultGeometry!B:C,2,FALSE)*IF(B162="NA",X$278/(X$278+X$276),X$278))</f>
        <v>0.19999999999999998</v>
      </c>
      <c r="AB162">
        <f>AA162*IF(C162="NA",0,VLOOKUP(C162,MultiFaultGeometry!B:O,14,FALSE))</f>
        <v>1.144607276190358E+16</v>
      </c>
      <c r="AC162">
        <f>IF(AB162=0,0,AA162*3.3*10^10*Z162*10^6*(1/Y162)*VLOOKUP(C162,MultiFaultGeometry!B:G,5,FALSE)*10^-3)</f>
        <v>3.7052818038438288E+16</v>
      </c>
      <c r="AE162" s="68">
        <f t="shared" si="30"/>
        <v>0</v>
      </c>
      <c r="AF162" s="68">
        <f t="shared" si="32"/>
        <v>0</v>
      </c>
      <c r="AG162" s="68"/>
    </row>
    <row r="163" spans="1:33" x14ac:dyDescent="0.2">
      <c r="A163" s="68" t="str">
        <f>Leonard2010!D165</f>
        <v>South Basin Fault 5c</v>
      </c>
      <c r="B163" s="68" t="str">
        <f>Leonard2010!E165</f>
        <v>South Basin Fault 5c North</v>
      </c>
      <c r="C163" s="68" t="str">
        <f>Leonard2010!F165</f>
        <v>South Basin Fault 5-13c</v>
      </c>
      <c r="D163">
        <f>IF(B163="NA","NA",VLOOKUP(B163,Leonard2010!E:H,3,FALSE))</f>
        <v>47.7</v>
      </c>
      <c r="E163">
        <f>IF(A163="NA","NA",VLOOKUP(A163,Leonard2010!D:I,6,FALSE))</f>
        <v>159.5</v>
      </c>
      <c r="F163">
        <f>IF(C163="NA","NA",VLOOKUP(C163,Leonard2010!F:K,6,FALSE))</f>
        <v>226.6</v>
      </c>
      <c r="G163">
        <f>IF(B163="NA","NA",VLOOKUP(B163,Leonard2010!E:H,4,FALSE))</f>
        <v>151</v>
      </c>
      <c r="H163">
        <f>IF(A163="NA","NA",VLOOKUP(A163,Leonard2010!D:J,7,FALSE))</f>
        <v>166</v>
      </c>
      <c r="I163">
        <f>IF(C163="NA","NA",VLOOKUP(C163,Leonard2010!F:L,7,FALSE))</f>
        <v>165</v>
      </c>
      <c r="J163">
        <f>IF(A163="NA","NA",VLOOKUP(A163,Leonard2010!D:N,11,FALSE))</f>
        <v>53</v>
      </c>
      <c r="K163" t="s">
        <v>211</v>
      </c>
      <c r="L163">
        <f>VLOOKUP(A163,Leonard2010!D:AJ,32,FALSE)</f>
        <v>52</v>
      </c>
      <c r="M163">
        <f>VLOOKUP($A163,Leonard2010!D:AK,33,FALSE)</f>
        <v>74</v>
      </c>
      <c r="N163">
        <f>VLOOKUP($A163,Leonard2010!D:AL,34,FALSE)</f>
        <v>96</v>
      </c>
      <c r="O163">
        <f t="shared" si="29"/>
        <v>0.97437006478523513</v>
      </c>
      <c r="P163">
        <f t="shared" si="36"/>
        <v>2090.4404812918187</v>
      </c>
      <c r="Q163">
        <f>IF(B163="NA","0",VLOOKUP(B163,SectionGeometry!C:E,3,FALSE)*IF(C163="NA",X$277/(X$277+X$276),X$277))</f>
        <v>3.3333333333333333E-2</v>
      </c>
      <c r="R163">
        <f>Q163*IF(B163="NA",0,((VLOOKUP(B163,SectionGeometry!C:Z,24,FALSE))))</f>
        <v>194567103082172.72</v>
      </c>
      <c r="S163">
        <f>IF(R163=0,0,Q163*3.3*10^10*P163*10^6*(1/O163)*VLOOKUP(B163,SectionGeometry!C:AA,25,FALSE)*10^-3)</f>
        <v>1211367721916428</v>
      </c>
      <c r="T163">
        <f t="shared" si="31"/>
        <v>0.93969262078590832</v>
      </c>
      <c r="U163">
        <f>IF(K163="N",E163*35/SIN(RADIANS(J163)),IF(K163="Y",VLOOKUP(A163,Leonard2010!D:U,18,FALSE),IF(C163="NA",VLOOKUP(A163,MSSM_AdaptedSources!B:K,10,FALSE),"CHECK")))</f>
        <v>6990.0473116571302</v>
      </c>
      <c r="V163">
        <f>(1*VLOOKUP(A163,FaultGeometry!B:C,2,FALSE))-Q163-AA163</f>
        <v>0.1</v>
      </c>
      <c r="W163">
        <f>V163*(VLOOKUP(A163,FaultGeometry!B:Y,24,FALSE))</f>
        <v>4067406795722942</v>
      </c>
      <c r="X163">
        <f>V163*3.3*10^10*U163*10^6*(1/T163)*VLOOKUP(A163,FaultGeometry!B:O,14,FALSE)*10^-3</f>
        <v>1.284310416417127E+16</v>
      </c>
      <c r="Y163">
        <f t="shared" si="35"/>
        <v>0.93358042649720174</v>
      </c>
      <c r="Z163">
        <f>IF(C163="NA","NA",VLOOKUP(C163,MSSM_AdaptedSources!B:K,10,FALSE))</f>
        <v>9930.6879048370247</v>
      </c>
      <c r="AA163">
        <f>IF(C163="NA","0",VLOOKUP(C163,MultiFaultGeometry!B:C,2,FALSE)*IF(B163="NA",X$278/(X$278+X$276),X$278))</f>
        <v>0.19999999999999998</v>
      </c>
      <c r="AB163">
        <f>AA163*IF(C163="NA",0,VLOOKUP(C163,MultiFaultGeometry!B:O,14,FALSE))</f>
        <v>1.144607276190358E+16</v>
      </c>
      <c r="AC163">
        <f>IF(AB163=0,0,AA163*3.3*10^10*Z163*10^6*(1/Y163)*VLOOKUP(C163,MultiFaultGeometry!B:G,5,FALSE)*10^-3)</f>
        <v>3.7052818038438288E+16</v>
      </c>
      <c r="AE163" s="68">
        <f t="shared" si="30"/>
        <v>4067406795722942</v>
      </c>
      <c r="AF163" s="68">
        <f t="shared" si="32"/>
        <v>1.284310416417127E+16</v>
      </c>
      <c r="AG163" s="68"/>
    </row>
    <row r="164" spans="1:33" x14ac:dyDescent="0.2">
      <c r="A164" s="68" t="str">
        <f>Leonard2010!D166</f>
        <v>South Basin Fault 13a</v>
      </c>
      <c r="B164" s="68" t="str">
        <f>Leonard2010!E166</f>
        <v>NA</v>
      </c>
      <c r="C164" s="68" t="str">
        <f>Leonard2010!F166</f>
        <v>South Basin Fault 5-13a</v>
      </c>
      <c r="D164" t="str">
        <f>IF(B164="NA","NA",VLOOKUP(B164,Leonard2010!E:H,3,FALSE))</f>
        <v>NA</v>
      </c>
      <c r="E164">
        <f>IF(A164="NA","NA",VLOOKUP(A164,Leonard2010!D:I,6,FALSE))</f>
        <v>109.3</v>
      </c>
      <c r="F164">
        <f>IF(C164="NA","NA",VLOOKUP(C164,Leonard2010!F:K,6,FALSE))</f>
        <v>268.8</v>
      </c>
      <c r="G164" t="str">
        <f>IF(B164="NA","NA",VLOOKUP(B164,Leonard2010!E:H,4,FALSE))</f>
        <v>NA</v>
      </c>
      <c r="H164">
        <f>IF(A164="NA","NA",VLOOKUP(A164,Leonard2010!D:J,7,FALSE))</f>
        <v>181</v>
      </c>
      <c r="I164">
        <f>IF(C164="NA","NA",VLOOKUP(C164,Leonard2010!F:L,7,FALSE))</f>
        <v>170</v>
      </c>
      <c r="J164">
        <f>IF(A164="NA","NA",VLOOKUP(A164,Leonard2010!D:N,11,FALSE))</f>
        <v>53</v>
      </c>
      <c r="K164" t="s">
        <v>308</v>
      </c>
      <c r="L164">
        <f>VLOOKUP(A164,Leonard2010!D:AJ,32,FALSE)</f>
        <v>52</v>
      </c>
      <c r="M164">
        <f>VLOOKUP($A164,Leonard2010!D:AK,33,FALSE)</f>
        <v>74</v>
      </c>
      <c r="N164">
        <f>VLOOKUP($A164,Leonard2010!D:AL,34,FALSE)</f>
        <v>96</v>
      </c>
      <c r="O164" t="str">
        <f t="shared" si="29"/>
        <v>NA</v>
      </c>
      <c r="P164" t="str">
        <f t="shared" si="36"/>
        <v>NA</v>
      </c>
      <c r="Q164" t="str">
        <f>IF(B164="NA","0",VLOOKUP(B164,SectionGeometry!C:E,3,FALSE)*IF(C164="NA",X$277/(X$277+X$276),X$277))</f>
        <v>0</v>
      </c>
      <c r="R164">
        <f>Q164*IF(B164="NA",0,((VLOOKUP(B164,SectionGeometry!C:Z,24,FALSE))))</f>
        <v>0</v>
      </c>
      <c r="S164">
        <f>IF(R164=0,0,Q164*3.3*10^10*P164*10^6*(1/O164)*VLOOKUP(B164,SectionGeometry!C:AA,25,FALSE)*10^-3)</f>
        <v>0</v>
      </c>
      <c r="T164">
        <f t="shared" si="31"/>
        <v>0.95630475596303544</v>
      </c>
      <c r="U164">
        <f>IF(K164="N",E164*35/SIN(RADIANS(J164)),IF(K164="Y",VLOOKUP(A164,Leonard2010!D:U,18,FALSE),IF(C164="NA",VLOOKUP(A164,MSSM_AdaptedSources!B:K,10,FALSE),"CHECK")))</f>
        <v>4039</v>
      </c>
      <c r="V164">
        <f>(1*VLOOKUP(A164,FaultGeometry!B:C,2,FALSE))-Q164-AA164</f>
        <v>0.11111111111111108</v>
      </c>
      <c r="W164">
        <f>V164*(VLOOKUP(A164,FaultGeometry!B:Y,24,FALSE))</f>
        <v>2472208055678144.5</v>
      </c>
      <c r="X164">
        <f>V164*3.3*10^10*U164*10^6*(1/T164)*VLOOKUP(A164,FaultGeometry!B:O,14,FALSE)*10^-3</f>
        <v>7795013001986894</v>
      </c>
      <c r="Y164">
        <f t="shared" si="35"/>
        <v>0.96126169593831889</v>
      </c>
      <c r="Z164">
        <f>IF(C164="NA","NA",VLOOKUP(C164,MSSM_AdaptedSources!B:K,10,FALSE))</f>
        <v>11029</v>
      </c>
      <c r="AA164">
        <f>IF(C164="NA","0",VLOOKUP(C164,MultiFaultGeometry!B:C,2,FALSE)*IF(B164="NA",X$278/(X$278+X$276),X$278))</f>
        <v>0.22222222222222224</v>
      </c>
      <c r="AB164">
        <f>AA164*IF(C164="NA",0,VLOOKUP(C164,MultiFaultGeometry!B:O,14,FALSE))</f>
        <v>1.3938884602267736E+16</v>
      </c>
      <c r="AC164">
        <f>IF(AB164=0,0,AA164*3.3*10^10*Z164*10^6*(1/Y164)*VLOOKUP(C164,MultiFaultGeometry!B:G,5,FALSE)*10^-3)</f>
        <v>4.4107634595476728E+16</v>
      </c>
      <c r="AE164" s="68">
        <f t="shared" si="30"/>
        <v>2472208055678144.5</v>
      </c>
      <c r="AF164" s="68">
        <f t="shared" si="32"/>
        <v>7795013001986894</v>
      </c>
      <c r="AG164" s="68"/>
    </row>
    <row r="165" spans="1:33" x14ac:dyDescent="0.2">
      <c r="A165" s="68" t="str">
        <f>Leonard2010!D167</f>
        <v>South Basin Fault 13b</v>
      </c>
      <c r="B165" s="68" t="str">
        <f>Leonard2010!E167</f>
        <v>South Basin Fault 13b South</v>
      </c>
      <c r="C165" s="68" t="str">
        <f>Leonard2010!F167</f>
        <v>South Basin Fault 5-13b</v>
      </c>
      <c r="D165">
        <f>IF(B165="NA","NA",VLOOKUP(B165,Leonard2010!E:H,3,FALSE))</f>
        <v>22.1</v>
      </c>
      <c r="E165">
        <f>IF(A165="NA","NA",VLOOKUP(A165,Leonard2010!D:I,6,FALSE))</f>
        <v>88.4</v>
      </c>
      <c r="F165">
        <f>IF(C165="NA","NA",VLOOKUP(C165,Leonard2010!F:K,6,FALSE))</f>
        <v>247.9</v>
      </c>
      <c r="G165">
        <f>IF(B165="NA","NA",VLOOKUP(B165,Leonard2010!E:H,4,FALSE))</f>
        <v>180</v>
      </c>
      <c r="H165">
        <f>IF(A165="NA","NA",VLOOKUP(A165,Leonard2010!D:J,7,FALSE))</f>
        <v>190</v>
      </c>
      <c r="I165">
        <f>IF(C165="NA","NA",VLOOKUP(C165,Leonard2010!F:L,7,FALSE))</f>
        <v>172</v>
      </c>
      <c r="J165">
        <f>IF(A165="NA","NA",VLOOKUP(A165,Leonard2010!D:N,11,FALSE))</f>
        <v>53</v>
      </c>
      <c r="K165" t="s">
        <v>308</v>
      </c>
      <c r="L165">
        <f>VLOOKUP(A165,Leonard2010!D:AJ,32,FALSE)</f>
        <v>52</v>
      </c>
      <c r="M165">
        <f>VLOOKUP($A165,Leonard2010!D:AK,33,FALSE)</f>
        <v>74</v>
      </c>
      <c r="N165">
        <f>VLOOKUP($A165,Leonard2010!D:AL,34,FALSE)</f>
        <v>96</v>
      </c>
      <c r="O165">
        <f t="shared" si="29"/>
        <v>0.96126169593831889</v>
      </c>
      <c r="P165">
        <f>D165*(3524/E165)</f>
        <v>881.00000000000011</v>
      </c>
      <c r="Q165">
        <f>IF(B165="NA","0",VLOOKUP(B165,SectionGeometry!C:E,3,FALSE)*IF(C165="NA",X$277/(X$277+X$276),X$277))</f>
        <v>3.3333333333333333E-2</v>
      </c>
      <c r="R165">
        <f>Q165*IF(B165="NA",0,((VLOOKUP(B165,SectionGeometry!C:Z,24,FALSE))))</f>
        <v>52521170962616.969</v>
      </c>
      <c r="S165">
        <f>IF(R165=0,0,Q165*3.3*10^10*P165*10^6*(1/O165)*VLOOKUP(B165,SectionGeometry!C:AA,25,FALSE)*10^-3)</f>
        <v>508988701453148.5</v>
      </c>
      <c r="T165">
        <f t="shared" si="31"/>
        <v>0.89879404629916693</v>
      </c>
      <c r="U165">
        <f>IF(K165="N",E165*35/SIN(RADIANS(J165)),IF(K165="Y",VLOOKUP(A165,Leonard2010!D:U,18,FALSE),IF(C165="NA",VLOOKUP(A165,MSSM_AdaptedSources!B:K,10,FALSE),"CHECK")))</f>
        <v>3069.9065611423921</v>
      </c>
      <c r="V165">
        <f>(1*VLOOKUP(A165,FaultGeometry!B:C,2,FALSE))-Q165-AA165</f>
        <v>0.1</v>
      </c>
      <c r="W165">
        <f>V165*(VLOOKUP(A165,FaultGeometry!B:Y,24,FALSE))</f>
        <v>1591378817277297</v>
      </c>
      <c r="X165">
        <f>V165*3.3*10^10*U165*10^6*(1/T165)*VLOOKUP(A165,FaultGeometry!B:O,14,FALSE)*10^-3</f>
        <v>5331775104588843</v>
      </c>
      <c r="Y165">
        <f t="shared" si="35"/>
        <v>0.97029572627599647</v>
      </c>
      <c r="Z165">
        <f>IF(C165="NA","NA",VLOOKUP(C165,MSSM_AdaptedSources!B:K,10,FALSE))</f>
        <v>10060</v>
      </c>
      <c r="AA165">
        <f>IF(C165="NA","0",VLOOKUP(C165,MultiFaultGeometry!B:C,2,FALSE)*IF(B165="NA",X$278/(X$278+X$276),X$278))</f>
        <v>0.19999999999999998</v>
      </c>
      <c r="AB165">
        <f>AA165*IF(C165="NA",0,VLOOKUP(C165,MultiFaultGeometry!B:O,14,FALSE))</f>
        <v>1.1539881782808576E+16</v>
      </c>
      <c r="AC165">
        <f>IF(AB165=0,0,AA165*3.3*10^10*Z165*10^6*(1/Y165)*VLOOKUP(C165,MultiFaultGeometry!B:G,5,FALSE)*10^-3)</f>
        <v>3.5836698430089604E+16</v>
      </c>
      <c r="AE165" s="68">
        <f t="shared" si="30"/>
        <v>0</v>
      </c>
      <c r="AF165" s="68">
        <f t="shared" si="32"/>
        <v>0</v>
      </c>
      <c r="AG165" s="68"/>
    </row>
    <row r="166" spans="1:33" x14ac:dyDescent="0.2">
      <c r="A166" s="68" t="str">
        <f>Leonard2010!D168</f>
        <v>South Basin Fault 13b</v>
      </c>
      <c r="B166" s="68" t="str">
        <f>Leonard2010!E168</f>
        <v>South Basin Fault 13b Central</v>
      </c>
      <c r="C166" s="68" t="str">
        <f>Leonard2010!F168</f>
        <v>South Basin Fault 5-13b</v>
      </c>
      <c r="D166">
        <f>IF(B166="NA","NA",VLOOKUP(B166,Leonard2010!E:H,3,FALSE))</f>
        <v>23.1</v>
      </c>
      <c r="E166">
        <f>IF(A166="NA","NA",VLOOKUP(A166,Leonard2010!D:I,6,FALSE))</f>
        <v>88.4</v>
      </c>
      <c r="F166">
        <f>IF(C166="NA","NA",VLOOKUP(C166,Leonard2010!F:K,6,FALSE))</f>
        <v>247.9</v>
      </c>
      <c r="G166">
        <f>IF(B166="NA","NA",VLOOKUP(B166,Leonard2010!E:H,4,FALSE))</f>
        <v>215</v>
      </c>
      <c r="H166">
        <f>IF(A166="NA","NA",VLOOKUP(A166,Leonard2010!D:J,7,FALSE))</f>
        <v>190</v>
      </c>
      <c r="I166">
        <f>IF(C166="NA","NA",VLOOKUP(C166,Leonard2010!F:L,7,FALSE))</f>
        <v>172</v>
      </c>
      <c r="J166">
        <f>IF(A166="NA","NA",VLOOKUP(A166,Leonard2010!D:N,11,FALSE))</f>
        <v>53</v>
      </c>
      <c r="K166" t="s">
        <v>308</v>
      </c>
      <c r="L166">
        <f>VLOOKUP(A166,Leonard2010!D:AJ,32,FALSE)</f>
        <v>52</v>
      </c>
      <c r="M166">
        <f>VLOOKUP($A166,Leonard2010!D:AK,33,FALSE)</f>
        <v>74</v>
      </c>
      <c r="N166">
        <f>VLOOKUP($A166,Leonard2010!D:AL,34,FALSE)</f>
        <v>96</v>
      </c>
      <c r="O166">
        <f t="shared" si="29"/>
        <v>0.62932039104983784</v>
      </c>
      <c r="P166">
        <f t="shared" ref="P166:P167" si="37">D166*(3524/E166)</f>
        <v>920.86425339366519</v>
      </c>
      <c r="Q166">
        <f>IF(B166="NA","0",VLOOKUP(B166,SectionGeometry!C:E,3,FALSE)*IF(C166="NA",X$277/(X$277+X$276),X$277))</f>
        <v>3.3333333333333333E-2</v>
      </c>
      <c r="R166">
        <f>Q166*IF(B166="NA",0,((VLOOKUP(B166,SectionGeometry!C:Z,24,FALSE))))</f>
        <v>38482406290396.664</v>
      </c>
      <c r="S166">
        <f>IF(R166=0,0,Q166*3.3*10^10*P166*10^6*(1/O166)*VLOOKUP(B166,SectionGeometry!C:AA,25,FALSE)*10^-3)</f>
        <v>548759944643721.5</v>
      </c>
      <c r="T166">
        <f t="shared" si="31"/>
        <v>0.89879404629916693</v>
      </c>
      <c r="U166">
        <f>IF(K166="N",E166*35/SIN(RADIANS(J166)),IF(K166="Y",VLOOKUP(A166,Leonard2010!D:U,18,FALSE),IF(C166="NA",VLOOKUP(A166,MSSM_AdaptedSources!B:K,10,FALSE),"CHECK")))</f>
        <v>3069.9065611423921</v>
      </c>
      <c r="V166">
        <f>(1*VLOOKUP(A166,FaultGeometry!B:C,2,FALSE))-Q166-AA166</f>
        <v>0.1</v>
      </c>
      <c r="W166">
        <f>V166*(VLOOKUP(A166,FaultGeometry!B:Y,24,FALSE))</f>
        <v>1591378817277297</v>
      </c>
      <c r="X166">
        <f>V166*3.3*10^10*U166*10^6*(1/T166)*VLOOKUP(A166,FaultGeometry!B:O,14,FALSE)*10^-3</f>
        <v>5331775104588843</v>
      </c>
      <c r="Y166">
        <f t="shared" si="35"/>
        <v>0.97029572627599647</v>
      </c>
      <c r="Z166">
        <f>IF(C166="NA","NA",VLOOKUP(C166,MSSM_AdaptedSources!B:K,10,FALSE))</f>
        <v>10060</v>
      </c>
      <c r="AA166">
        <f>IF(C166="NA","0",VLOOKUP(C166,MultiFaultGeometry!B:C,2,FALSE)*IF(B166="NA",X$278/(X$278+X$276),X$278))</f>
        <v>0.19999999999999998</v>
      </c>
      <c r="AB166">
        <f>AA166*IF(C166="NA",0,VLOOKUP(C166,MultiFaultGeometry!B:O,14,FALSE))</f>
        <v>1.1539881782808576E+16</v>
      </c>
      <c r="AC166">
        <f>IF(AB166=0,0,AA166*3.3*10^10*Z166*10^6*(1/Y166)*VLOOKUP(C166,MultiFaultGeometry!B:G,5,FALSE)*10^-3)</f>
        <v>3.5836698430089604E+16</v>
      </c>
      <c r="AE166" s="68">
        <f t="shared" si="30"/>
        <v>0</v>
      </c>
      <c r="AF166" s="68">
        <f t="shared" si="32"/>
        <v>0</v>
      </c>
      <c r="AG166" s="68"/>
    </row>
    <row r="167" spans="1:33" x14ac:dyDescent="0.2">
      <c r="A167" s="68" t="str">
        <f>Leonard2010!D169</f>
        <v>South Basin Fault 13b</v>
      </c>
      <c r="B167" s="68" t="str">
        <f>Leonard2010!E169</f>
        <v>South Basin Fault 13b North</v>
      </c>
      <c r="C167" s="68" t="str">
        <f>Leonard2010!F169</f>
        <v>South Basin Fault 5-13b</v>
      </c>
      <c r="D167">
        <f>IF(B167="NA","NA",VLOOKUP(B167,Leonard2010!E:H,3,FALSE))</f>
        <v>43.2</v>
      </c>
      <c r="E167">
        <f>IF(A167="NA","NA",VLOOKUP(A167,Leonard2010!D:I,6,FALSE))</f>
        <v>88.4</v>
      </c>
      <c r="F167">
        <f>IF(C167="NA","NA",VLOOKUP(C167,Leonard2010!F:K,6,FALSE))</f>
        <v>247.9</v>
      </c>
      <c r="G167">
        <f>IF(B167="NA","NA",VLOOKUP(B167,Leonard2010!E:H,4,FALSE))</f>
        <v>182</v>
      </c>
      <c r="H167">
        <f>IF(A167="NA","NA",VLOOKUP(A167,Leonard2010!D:J,7,FALSE))</f>
        <v>190</v>
      </c>
      <c r="I167">
        <f>IF(C167="NA","NA",VLOOKUP(C167,Leonard2010!F:L,7,FALSE))</f>
        <v>172</v>
      </c>
      <c r="J167">
        <f>IF(A167="NA","NA",VLOOKUP(A167,Leonard2010!D:N,11,FALSE))</f>
        <v>53</v>
      </c>
      <c r="K167" t="s">
        <v>308</v>
      </c>
      <c r="L167">
        <f>VLOOKUP(A167,Leonard2010!D:AJ,32,FALSE)</f>
        <v>52</v>
      </c>
      <c r="M167">
        <f>VLOOKUP($A167,Leonard2010!D:AK,33,FALSE)</f>
        <v>74</v>
      </c>
      <c r="N167">
        <f>VLOOKUP($A167,Leonard2010!D:AL,34,FALSE)</f>
        <v>96</v>
      </c>
      <c r="O167">
        <f t="shared" si="29"/>
        <v>0.95105651629515364</v>
      </c>
      <c r="P167">
        <f t="shared" si="37"/>
        <v>1722.135746606335</v>
      </c>
      <c r="Q167">
        <f>IF(B167="NA","0",VLOOKUP(B167,SectionGeometry!C:E,3,FALSE)*IF(C167="NA",X$277/(X$277+X$276),X$277))</f>
        <v>3.3333333333333333E-2</v>
      </c>
      <c r="R167">
        <f>Q167*IF(B167="NA",0,((VLOOKUP(B167,SectionGeometry!C:Z,24,FALSE))))</f>
        <v>161795356741714.62</v>
      </c>
      <c r="S167">
        <f>IF(R167=0,0,Q167*3.3*10^10*P167*10^6*(1/O167)*VLOOKUP(B167,SectionGeometry!C:AA,25,FALSE)*10^-3)</f>
        <v>997352725540754.38</v>
      </c>
      <c r="T167">
        <f t="shared" si="31"/>
        <v>0.89879404629916693</v>
      </c>
      <c r="U167">
        <f>IF(K167="N",E167*35/SIN(RADIANS(J167)),IF(K167="Y",VLOOKUP(A167,Leonard2010!D:U,18,FALSE),IF(C167="NA",VLOOKUP(A167,MSSM_AdaptedSources!B:K,10,FALSE),"CHECK")))</f>
        <v>3069.9065611423921</v>
      </c>
      <c r="V167">
        <f>(1*VLOOKUP(A167,FaultGeometry!B:C,2,FALSE))-Q167-AA167</f>
        <v>0.1</v>
      </c>
      <c r="W167">
        <f>V167*(VLOOKUP(A167,FaultGeometry!B:Y,24,FALSE))</f>
        <v>1591378817277297</v>
      </c>
      <c r="X167">
        <f>V167*3.3*10^10*U167*10^6*(1/T167)*VLOOKUP(A167,FaultGeometry!B:O,14,FALSE)*10^-3</f>
        <v>5331775104588843</v>
      </c>
      <c r="Y167">
        <f t="shared" si="35"/>
        <v>0.97029572627599647</v>
      </c>
      <c r="Z167">
        <f>IF(C167="NA","NA",VLOOKUP(C167,MSSM_AdaptedSources!B:K,10,FALSE))</f>
        <v>10060</v>
      </c>
      <c r="AA167">
        <f>IF(C167="NA","0",VLOOKUP(C167,MultiFaultGeometry!B:C,2,FALSE)*IF(B167="NA",X$278/(X$278+X$276),X$278))</f>
        <v>0.19999999999999998</v>
      </c>
      <c r="AB167">
        <f>AA167*IF(C167="NA",0,VLOOKUP(C167,MultiFaultGeometry!B:O,14,FALSE))</f>
        <v>1.1539881782808576E+16</v>
      </c>
      <c r="AC167">
        <f>IF(AB167=0,0,AA167*3.3*10^10*Z167*10^6*(1/Y167)*VLOOKUP(C167,MultiFaultGeometry!B:G,5,FALSE)*10^-3)</f>
        <v>3.5836698430089604E+16</v>
      </c>
      <c r="AE167" s="68">
        <f t="shared" si="30"/>
        <v>1591378817277297</v>
      </c>
      <c r="AF167" s="68">
        <f t="shared" si="32"/>
        <v>5331775104588843</v>
      </c>
      <c r="AG167" s="68"/>
    </row>
    <row r="168" spans="1:33" x14ac:dyDescent="0.2">
      <c r="A168" s="68" t="str">
        <f>Leonard2010!D170</f>
        <v>South Basin Fault 13c</v>
      </c>
      <c r="B168" s="68" t="str">
        <f>Leonard2010!E170</f>
        <v>South Basin Fault 13c South</v>
      </c>
      <c r="C168" s="68" t="str">
        <f>Leonard2010!F170</f>
        <v>South Basin Fault 5-13c</v>
      </c>
      <c r="D168">
        <f>IF(B168="NA","NA",VLOOKUP(B168,Leonard2010!E:H,3,FALSE))</f>
        <v>18.600000000000001</v>
      </c>
      <c r="E168">
        <f>IF(A168="NA","NA",VLOOKUP(A168,Leonard2010!D:I,6,FALSE))</f>
        <v>67.099999999999994</v>
      </c>
      <c r="F168">
        <f>IF(C168="NA","NA",VLOOKUP(C168,Leonard2010!F:K,6,FALSE))</f>
        <v>226.6</v>
      </c>
      <c r="G168">
        <f>IF(B168="NA","NA",VLOOKUP(B168,Leonard2010!E:H,4,FALSE))</f>
        <v>145</v>
      </c>
      <c r="H168">
        <f>IF(A168="NA","NA",VLOOKUP(A168,Leonard2010!D:J,7,FALSE))</f>
        <v>173</v>
      </c>
      <c r="I168">
        <f>IF(C168="NA","NA",VLOOKUP(C168,Leonard2010!F:L,7,FALSE))</f>
        <v>165</v>
      </c>
      <c r="J168">
        <f>IF(A168="NA","NA",VLOOKUP(A168,Leonard2010!D:N,11,FALSE))</f>
        <v>53</v>
      </c>
      <c r="K168" t="s">
        <v>211</v>
      </c>
      <c r="L168">
        <f>VLOOKUP(A168,Leonard2010!D:AJ,32,FALSE)</f>
        <v>52</v>
      </c>
      <c r="M168">
        <f>VLOOKUP($A168,Leonard2010!D:AK,33,FALSE)</f>
        <v>74</v>
      </c>
      <c r="N168">
        <f>VLOOKUP($A168,Leonard2010!D:AL,34,FALSE)</f>
        <v>96</v>
      </c>
      <c r="O168">
        <f t="shared" si="29"/>
        <v>0.94551857559931685</v>
      </c>
      <c r="P168">
        <f t="shared" ref="P168:P231" si="38">IF(B168="NA","NA",IF(K168="N",D168*(35/SIN(RADIANS(J168))),"CHECK"))</f>
        <v>815.14031345970295</v>
      </c>
      <c r="Q168">
        <f>IF(B168="NA","0",VLOOKUP(B168,SectionGeometry!C:E,3,FALSE)*IF(C168="NA",X$277/(X$277+X$276),X$277))</f>
        <v>3.3333333333333333E-2</v>
      </c>
      <c r="R168">
        <f>Q168*IF(B168="NA",0,((VLOOKUP(B168,SectionGeometry!C:Z,24,FALSE))))</f>
        <v>38816147138867.711</v>
      </c>
      <c r="S168">
        <f>IF(R168=0,0,Q168*3.3*10^10*P168*10^6*(1/O168)*VLOOKUP(B168,SectionGeometry!C:AA,25,FALSE)*10^-3)</f>
        <v>468724503832527</v>
      </c>
      <c r="T168">
        <f t="shared" si="31"/>
        <v>0.97437006478523513</v>
      </c>
      <c r="U168">
        <f>IF(K168="N",E168*35/SIN(RADIANS(J168)),IF(K168="Y",VLOOKUP(A168,Leonard2010!D:U,18,FALSE),IF(C168="NA",VLOOKUP(A168,MSSM_AdaptedSources!B:K,10,FALSE),"CHECK")))</f>
        <v>2940.6405931798959</v>
      </c>
      <c r="V168">
        <f>(1*VLOOKUP(A168,FaultGeometry!B:C,2,FALSE))-Q168-AA168</f>
        <v>0.1</v>
      </c>
      <c r="W168">
        <f>V168*(VLOOKUP(A168,FaultGeometry!B:Y,24,FALSE))</f>
        <v>1119789593696806.9</v>
      </c>
      <c r="X168">
        <f>V168*3.3*10^10*U168*10^6*(1/T168)*VLOOKUP(A168,FaultGeometry!B:O,14,FALSE)*10^-3</f>
        <v>5172881704211509</v>
      </c>
      <c r="Y168">
        <f t="shared" si="35"/>
        <v>0.93358042649720174</v>
      </c>
      <c r="Z168">
        <f>IF(C168="NA","NA",VLOOKUP(C168,MSSM_AdaptedSources!B:K,10,FALSE))</f>
        <v>9930.6879048370247</v>
      </c>
      <c r="AA168">
        <f>IF(C168="NA","0",VLOOKUP(C168,MultiFaultGeometry!B:C,2,FALSE)*IF(B168="NA",X$278/(X$278+X$276),X$278))</f>
        <v>0.19999999999999998</v>
      </c>
      <c r="AB168">
        <f>AA168*IF(C168="NA",0,VLOOKUP(C168,MultiFaultGeometry!B:O,14,FALSE))</f>
        <v>1.144607276190358E+16</v>
      </c>
      <c r="AC168">
        <f>IF(AB168=0,0,AA168*3.3*10^10*Z168*10^6*(1/Y168)*VLOOKUP(C168,MultiFaultGeometry!B:G,5,FALSE)*10^-3)</f>
        <v>3.7052818038438288E+16</v>
      </c>
      <c r="AE168" s="68">
        <f t="shared" si="30"/>
        <v>0</v>
      </c>
      <c r="AF168" s="68">
        <f t="shared" si="32"/>
        <v>0</v>
      </c>
      <c r="AG168" s="68"/>
    </row>
    <row r="169" spans="1:33" x14ac:dyDescent="0.2">
      <c r="A169" s="68" t="str">
        <f>Leonard2010!D171</f>
        <v>South Basin Fault 13c</v>
      </c>
      <c r="B169" s="68" t="str">
        <f>Leonard2010!E171</f>
        <v>South Basin Fault 13c North</v>
      </c>
      <c r="C169" s="68" t="str">
        <f>Leonard2010!F171</f>
        <v>South Basin Fault 5-13c</v>
      </c>
      <c r="D169">
        <f>IF(B169="NA","NA",VLOOKUP(B169,Leonard2010!E:H,3,FALSE))</f>
        <v>48.5</v>
      </c>
      <c r="E169">
        <f>IF(A169="NA","NA",VLOOKUP(A169,Leonard2010!D:I,6,FALSE))</f>
        <v>67.099999999999994</v>
      </c>
      <c r="F169">
        <f>IF(C169="NA","NA",VLOOKUP(C169,Leonard2010!F:K,6,FALSE))</f>
        <v>226.6</v>
      </c>
      <c r="G169">
        <f>IF(B169="NA","NA",VLOOKUP(B169,Leonard2010!E:H,4,FALSE))</f>
        <v>183</v>
      </c>
      <c r="H169">
        <f>IF(A169="NA","NA",VLOOKUP(A169,Leonard2010!D:J,7,FALSE))</f>
        <v>173</v>
      </c>
      <c r="I169">
        <f>IF(C169="NA","NA",VLOOKUP(C169,Leonard2010!F:L,7,FALSE))</f>
        <v>165</v>
      </c>
      <c r="J169">
        <f>IF(A169="NA","NA",VLOOKUP(A169,Leonard2010!D:N,11,FALSE))</f>
        <v>53</v>
      </c>
      <c r="K169" t="s">
        <v>211</v>
      </c>
      <c r="L169">
        <f>VLOOKUP(A169,Leonard2010!D:AJ,32,FALSE)</f>
        <v>52</v>
      </c>
      <c r="M169">
        <f>VLOOKUP($A169,Leonard2010!D:AK,33,FALSE)</f>
        <v>74</v>
      </c>
      <c r="N169">
        <f>VLOOKUP($A169,Leonard2010!D:AL,34,FALSE)</f>
        <v>96</v>
      </c>
      <c r="O169">
        <f t="shared" si="29"/>
        <v>0.94551857559931674</v>
      </c>
      <c r="P169">
        <f t="shared" si="38"/>
        <v>2125.5002797201932</v>
      </c>
      <c r="Q169">
        <f>IF(B169="NA","0",VLOOKUP(B169,SectionGeometry!C:E,3,FALSE)*IF(C169="NA",X$277/(X$277+X$276),X$277))</f>
        <v>3.3333333333333333E-2</v>
      </c>
      <c r="R169">
        <f>Q169*IF(B169="NA",0,((VLOOKUP(B169,SectionGeometry!C:Z,24,FALSE))))</f>
        <v>192922660347478.34</v>
      </c>
      <c r="S169">
        <f>IF(R169=0,0,Q169*3.3*10^10*P169*10^6*(1/O169)*VLOOKUP(B169,SectionGeometry!C:AA,25,FALSE)*10^-3)</f>
        <v>1235006806562111.5</v>
      </c>
      <c r="T169">
        <f t="shared" si="31"/>
        <v>0.97437006478523513</v>
      </c>
      <c r="U169">
        <f>IF(K169="N",E169*35/SIN(RADIANS(J169)),IF(K169="Y",VLOOKUP(A169,Leonard2010!D:U,18,FALSE),IF(C169="NA",VLOOKUP(A169,MSSM_AdaptedSources!B:K,10,FALSE),"CHECK")))</f>
        <v>2940.6405931798959</v>
      </c>
      <c r="V169">
        <f>(1*VLOOKUP(A169,FaultGeometry!B:C,2,FALSE))-Q169-AA169</f>
        <v>0.1</v>
      </c>
      <c r="W169">
        <f>V169*(VLOOKUP(A169,FaultGeometry!B:Y,24,FALSE))</f>
        <v>1119789593696806.9</v>
      </c>
      <c r="X169">
        <f>V169*3.3*10^10*U169*10^6*(1/T169)*VLOOKUP(A169,FaultGeometry!B:O,14,FALSE)*10^-3</f>
        <v>5172881704211509</v>
      </c>
      <c r="Y169">
        <f t="shared" si="35"/>
        <v>0.93358042649720174</v>
      </c>
      <c r="Z169">
        <f>IF(C169="NA","NA",VLOOKUP(C169,MSSM_AdaptedSources!B:K,10,FALSE))</f>
        <v>9930.6879048370247</v>
      </c>
      <c r="AA169">
        <f>IF(C169="NA","0",VLOOKUP(C169,MultiFaultGeometry!B:C,2,FALSE)*IF(B169="NA",X$278/(X$278+X$276),X$278))</f>
        <v>0.19999999999999998</v>
      </c>
      <c r="AB169">
        <f>AA169*IF(C169="NA",0,VLOOKUP(C169,MultiFaultGeometry!B:O,14,FALSE))</f>
        <v>1.144607276190358E+16</v>
      </c>
      <c r="AC169">
        <f>IF(AB169=0,0,AA169*3.3*10^10*Z169*10^6*(1/Y169)*VLOOKUP(C169,MultiFaultGeometry!B:G,5,FALSE)*10^-3)</f>
        <v>3.7052818038438288E+16</v>
      </c>
      <c r="AE169" s="68">
        <f t="shared" si="30"/>
        <v>1119789593696806.9</v>
      </c>
      <c r="AF169" s="68">
        <f t="shared" si="32"/>
        <v>5172881704211509</v>
      </c>
      <c r="AG169" s="68"/>
    </row>
    <row r="170" spans="1:33" x14ac:dyDescent="0.2">
      <c r="A170" s="68" t="str">
        <f>Leonard2010!D172</f>
        <v>South Basin Fault 6</v>
      </c>
      <c r="B170" s="68" t="str">
        <f>Leonard2010!E172</f>
        <v>NA</v>
      </c>
      <c r="C170" s="68" t="str">
        <f>Leonard2010!F172</f>
        <v>NA</v>
      </c>
      <c r="D170" t="str">
        <f>IF(B170="NA","NA",VLOOKUP(B170,Leonard2010!E:H,3,FALSE))</f>
        <v>NA</v>
      </c>
      <c r="E170">
        <f>IF(A170="NA","NA",VLOOKUP(A170,Leonard2010!D:I,6,FALSE))</f>
        <v>29</v>
      </c>
      <c r="F170" t="str">
        <f>IF(C170="NA","NA",VLOOKUP(C170,Leonard2010!F:K,6,FALSE))</f>
        <v>NA</v>
      </c>
      <c r="G170" t="str">
        <f>IF(B170="NA","NA",VLOOKUP(B170,Leonard2010!E:H,4,FALSE))</f>
        <v>NA</v>
      </c>
      <c r="H170">
        <f>IF(A170="NA","NA",VLOOKUP(A170,Leonard2010!D:J,7,FALSE))</f>
        <v>156</v>
      </c>
      <c r="I170" t="str">
        <f>IF(C170="NA","NA",VLOOKUP(C170,Leonard2010!F:L,7,FALSE))</f>
        <v>NA</v>
      </c>
      <c r="J170">
        <f>IF(A170="NA","NA",VLOOKUP(A170,Leonard2010!D:N,11,FALSE))</f>
        <v>53</v>
      </c>
      <c r="K170" t="s">
        <v>552</v>
      </c>
      <c r="L170">
        <f>VLOOKUP(A170,Leonard2010!D:AJ,32,FALSE)</f>
        <v>52</v>
      </c>
      <c r="M170">
        <f>VLOOKUP($A170,Leonard2010!D:AK,33,FALSE)</f>
        <v>74</v>
      </c>
      <c r="N170">
        <f>VLOOKUP($A170,Leonard2010!D:AL,34,FALSE)</f>
        <v>96</v>
      </c>
      <c r="O170" t="str">
        <f t="shared" si="29"/>
        <v>NA</v>
      </c>
      <c r="P170" t="str">
        <f t="shared" si="38"/>
        <v>NA</v>
      </c>
      <c r="Q170" t="str">
        <f>IF(B170="NA","0",VLOOKUP(B170,SectionGeometry!C:E,3,FALSE)*IF(C170="NA",X$277/(X$277+X$276),X$277))</f>
        <v>0</v>
      </c>
      <c r="R170">
        <f>Q170*IF(B170="NA",0,((VLOOKUP(B170,SectionGeometry!C:Z,24,FALSE))))</f>
        <v>0</v>
      </c>
      <c r="S170">
        <f>IF(R170=0,0,Q170*3.3*10^10*P170*10^6*(1/O170)*VLOOKUP(B170,SectionGeometry!C:AA,25,FALSE)*10^-3)</f>
        <v>0</v>
      </c>
      <c r="T170">
        <f t="shared" si="31"/>
        <v>0.97029572627599647</v>
      </c>
      <c r="U170">
        <f>IF(K170="N",E170*35/SIN(RADIANS(J170)),IF(K170="Y",VLOOKUP(A170,Leonard2010!D:U,18,FALSE),IF(C170="NA",VLOOKUP(A170,MSSM_AdaptedSources!B:K,10,FALSE),"CHECK")))</f>
        <v>801</v>
      </c>
      <c r="V170">
        <f>(1*VLOOKUP(A170,FaultGeometry!B:C,2,FALSE))-Q170-AA170</f>
        <v>1</v>
      </c>
      <c r="W170">
        <f>V170*(VLOOKUP(A170,FaultGeometry!B:Y,24,FALSE))</f>
        <v>482694016261027.19</v>
      </c>
      <c r="X170">
        <f>V170*3.3*10^10*U170*10^6*(1/T170)*VLOOKUP(A170,FaultGeometry!B:O,14,FALSE)*10^-3</f>
        <v>805652797362184.12</v>
      </c>
      <c r="Y170" t="str">
        <f t="shared" si="35"/>
        <v>NA</v>
      </c>
      <c r="Z170" t="str">
        <f>IF(C170="NA","NA",VLOOKUP(C170,MSSM_AdaptedSources!B:K,10,FALSE))</f>
        <v>NA</v>
      </c>
      <c r="AA170" t="str">
        <f>IF(C170="NA","0",VLOOKUP(C170,MultiFaultGeometry!B:C,2,FALSE)*IF(B170="NA",X$278/(X$278+X$276),X$278))</f>
        <v>0</v>
      </c>
      <c r="AB170">
        <f>AA170*IF(C170="NA",0,VLOOKUP(C170,MultiFaultGeometry!B:O,14,FALSE))</f>
        <v>0</v>
      </c>
      <c r="AC170">
        <f>IF(AB170=0,0,AA170*3.3*10^10*Z170*10^6*(1/Y170)*VLOOKUP(C170,MultiFaultGeometry!B:G,5,FALSE)*10^-3)</f>
        <v>0</v>
      </c>
      <c r="AE170" s="68">
        <f t="shared" si="30"/>
        <v>482694016261027.19</v>
      </c>
      <c r="AF170" s="68">
        <f t="shared" si="32"/>
        <v>805652797362184.12</v>
      </c>
      <c r="AG170" s="68"/>
    </row>
    <row r="171" spans="1:33" x14ac:dyDescent="0.2">
      <c r="A171" s="68" t="str">
        <f>Leonard2010!D173</f>
        <v>South Basin Fault 7a</v>
      </c>
      <c r="B171" s="68" t="str">
        <f>Leonard2010!E173</f>
        <v>South Basin Fault 7a South</v>
      </c>
      <c r="C171" s="68" t="str">
        <f>Leonard2010!F173</f>
        <v>South Basin Fault 7a-12a</v>
      </c>
      <c r="D171">
        <f>IF(B171="NA","NA",VLOOKUP(B171,Leonard2010!E:H,3,FALSE))</f>
        <v>32.4</v>
      </c>
      <c r="E171">
        <f>IF(A171="NA","NA",VLOOKUP(A171,Leonard2010!D:I,6,FALSE))</f>
        <v>54</v>
      </c>
      <c r="F171">
        <f>IF(C171="NA","NA",VLOOKUP(C171,Leonard2010!F:K,6,FALSE))</f>
        <v>108</v>
      </c>
      <c r="G171">
        <f>IF(B171="NA","NA",VLOOKUP(B171,Leonard2010!E:H,4,FALSE))</f>
        <v>343</v>
      </c>
      <c r="H171">
        <f>IF(A171="NA","NA",VLOOKUP(A171,Leonard2010!D:J,7,FALSE))</f>
        <v>3</v>
      </c>
      <c r="I171">
        <f>IF(C171="NA","NA",VLOOKUP(C171,Leonard2010!F:L,7,FALSE))</f>
        <v>352</v>
      </c>
      <c r="J171">
        <f>IF(A171="NA","NA",VLOOKUP(A171,Leonard2010!D:N,11,FALSE))</f>
        <v>53</v>
      </c>
      <c r="K171" t="s">
        <v>308</v>
      </c>
      <c r="L171">
        <f>VLOOKUP(A171,Leonard2010!D:AJ,32,FALSE)</f>
        <v>52</v>
      </c>
      <c r="M171">
        <f>VLOOKUP($A171,Leonard2010!D:AK,33,FALSE)</f>
        <v>74</v>
      </c>
      <c r="N171">
        <f>VLOOKUP($A171,Leonard2010!D:AL,34,FALSE)</f>
        <v>96</v>
      </c>
      <c r="O171">
        <f t="shared" si="29"/>
        <v>0.93358042649720174</v>
      </c>
      <c r="P171">
        <f>D171*(684/E171)</f>
        <v>410.4</v>
      </c>
      <c r="Q171">
        <f>IF(B171="NA","0",VLOOKUP(B171,SectionGeometry!C:E,3,FALSE)*IF(C171="NA",X$277/(X$277+X$276),X$277))</f>
        <v>0.05</v>
      </c>
      <c r="R171">
        <f>Q171*IF(B171="NA",0,((VLOOKUP(B171,SectionGeometry!C:Z,24,FALSE))))</f>
        <v>35399731416150.992</v>
      </c>
      <c r="S171">
        <f>IF(R171=0,0,Q171*3.3*10^10*P171*10^6*(1/O171)*VLOOKUP(B171,SectionGeometry!C:AA,25,FALSE)*10^-3)</f>
        <v>57867884991331.641</v>
      </c>
      <c r="T171">
        <f t="shared" si="31"/>
        <v>0.94551857559931685</v>
      </c>
      <c r="U171">
        <f>IF(K171="N",E171*35/SIN(RADIANS(J171)),IF(K171="Y",VLOOKUP(A171,Leonard2010!D:U,18,FALSE),IF(C171="NA",VLOOKUP(A171,MSSM_AdaptedSources!B:K,10,FALSE),"CHECK")))</f>
        <v>684</v>
      </c>
      <c r="V171">
        <f>(1*VLOOKUP(A171,FaultGeometry!B:C,2,FALSE))-Q171-AA171</f>
        <v>0.15000000000000002</v>
      </c>
      <c r="W171">
        <f>V171*(VLOOKUP(A171,FaultGeometry!B:Y,24,FALSE))</f>
        <v>128401906978010.25</v>
      </c>
      <c r="X171">
        <f>V171*3.3*10^10*U171*10^6*(1/T171)*VLOOKUP(A171,FaultGeometry!B:O,14,FALSE)*10^-3</f>
        <v>271923461024150.09</v>
      </c>
      <c r="Y171">
        <f t="shared" si="35"/>
        <v>0.97029572627599647</v>
      </c>
      <c r="Z171">
        <f>IF(C171="NA","NA",VLOOKUP(C171,MSSM_AdaptedSources!B:K,10,FALSE))</f>
        <v>3604.5363939152667</v>
      </c>
      <c r="AA171">
        <f>IF(C171="NA","0",VLOOKUP(C171,MultiFaultGeometry!B:C,2,FALSE)*IF(B171="NA",X$278/(X$278+X$276),X$278))</f>
        <v>0.3</v>
      </c>
      <c r="AB171">
        <f>AA171*IF(C171="NA",0,VLOOKUP(C171,MultiFaultGeometry!B:O,14,FALSE))</f>
        <v>1276879998773212.8</v>
      </c>
      <c r="AC171">
        <f>IF(AB171=0,0,AA171*3.3*10^10*Z171*10^6*(1/Y171)*VLOOKUP(C171,MultiFaultGeometry!B:G,5,FALSE)*10^-3)</f>
        <v>2915159330011046</v>
      </c>
      <c r="AE171" s="68">
        <f t="shared" si="30"/>
        <v>0</v>
      </c>
      <c r="AF171" s="68">
        <f t="shared" si="32"/>
        <v>0</v>
      </c>
      <c r="AG171" s="68"/>
    </row>
    <row r="172" spans="1:33" x14ac:dyDescent="0.2">
      <c r="A172" s="68" t="str">
        <f>Leonard2010!D174</f>
        <v>South Basin Fault 7a</v>
      </c>
      <c r="B172" s="68" t="str">
        <f>Leonard2010!E174</f>
        <v>South Basin Fault 7a North</v>
      </c>
      <c r="C172" s="68" t="str">
        <f>Leonard2010!F174</f>
        <v>South Basin Fault 7a-12a</v>
      </c>
      <c r="D172">
        <f>IF(B172="NA","NA",VLOOKUP(B172,Leonard2010!E:H,3,FALSE))</f>
        <v>21.6</v>
      </c>
      <c r="E172">
        <f>IF(A172="NA","NA",VLOOKUP(A172,Leonard2010!D:I,6,FALSE))</f>
        <v>54</v>
      </c>
      <c r="F172">
        <f>IF(C172="NA","NA",VLOOKUP(C172,Leonard2010!F:K,6,FALSE))</f>
        <v>108</v>
      </c>
      <c r="G172">
        <f>IF(B172="NA","NA",VLOOKUP(B172,Leonard2010!E:H,4,FALSE))</f>
        <v>35</v>
      </c>
      <c r="H172">
        <f>IF(A172="NA","NA",VLOOKUP(A172,Leonard2010!D:J,7,FALSE))</f>
        <v>3</v>
      </c>
      <c r="I172">
        <f>IF(C172="NA","NA",VLOOKUP(C172,Leonard2010!F:L,7,FALSE))</f>
        <v>352</v>
      </c>
      <c r="J172">
        <f>IF(A172="NA","NA",VLOOKUP(A172,Leonard2010!D:N,11,FALSE))</f>
        <v>53</v>
      </c>
      <c r="K172" t="s">
        <v>308</v>
      </c>
      <c r="L172">
        <f>VLOOKUP(A172,Leonard2010!D:AJ,32,FALSE)</f>
        <v>52</v>
      </c>
      <c r="M172">
        <f>VLOOKUP($A172,Leonard2010!D:AK,33,FALSE)</f>
        <v>74</v>
      </c>
      <c r="N172">
        <f>VLOOKUP($A172,Leonard2010!D:AL,34,FALSE)</f>
        <v>96</v>
      </c>
      <c r="O172">
        <f t="shared" si="29"/>
        <v>0.62932039104983739</v>
      </c>
      <c r="P172">
        <f>D172*(684/E172)</f>
        <v>273.60000000000002</v>
      </c>
      <c r="Q172">
        <f>IF(B172="NA","0",VLOOKUP(B172,SectionGeometry!C:E,3,FALSE)*IF(C172="NA",X$277/(X$277+X$276),X$277))</f>
        <v>0.05</v>
      </c>
      <c r="R172">
        <f>Q172*IF(B172="NA",0,((VLOOKUP(B172,SectionGeometry!C:Z,24,FALSE))))</f>
        <v>11660157938898.16</v>
      </c>
      <c r="S172">
        <f>IF(R172=0,0,Q172*3.3*10^10*P172*10^6*(1/O172)*VLOOKUP(B172,SectionGeometry!C:AA,25,FALSE)*10^-3)</f>
        <v>36916656761758.148</v>
      </c>
      <c r="T172">
        <f t="shared" si="31"/>
        <v>0.94551857559931685</v>
      </c>
      <c r="U172">
        <f>IF(K172="N",E172*35/SIN(RADIANS(J172)),IF(K172="Y",VLOOKUP(A172,Leonard2010!D:U,18,FALSE),IF(C172="NA",VLOOKUP(A172,MSSM_AdaptedSources!B:K,10,FALSE),"CHECK")))</f>
        <v>684</v>
      </c>
      <c r="V172">
        <f>(1*VLOOKUP(A172,FaultGeometry!B:C,2,FALSE))-Q172-AA172</f>
        <v>0.15000000000000002</v>
      </c>
      <c r="W172">
        <f>V172*(VLOOKUP(A172,FaultGeometry!B:Y,24,FALSE))</f>
        <v>128401906978010.25</v>
      </c>
      <c r="X172">
        <f>V172*3.3*10^10*U172*10^6*(1/T172)*VLOOKUP(A172,FaultGeometry!B:O,14,FALSE)*10^-3</f>
        <v>271923461024150.09</v>
      </c>
      <c r="Y172">
        <f t="shared" si="35"/>
        <v>0.97029572627599647</v>
      </c>
      <c r="Z172">
        <f>IF(C172="NA","NA",VLOOKUP(C172,MSSM_AdaptedSources!B:K,10,FALSE))</f>
        <v>3604.5363939152667</v>
      </c>
      <c r="AA172">
        <f>IF(C172="NA","0",VLOOKUP(C172,MultiFaultGeometry!B:C,2,FALSE)*IF(B172="NA",X$278/(X$278+X$276),X$278))</f>
        <v>0.3</v>
      </c>
      <c r="AB172">
        <f>AA172*IF(C172="NA",0,VLOOKUP(C172,MultiFaultGeometry!B:O,14,FALSE))</f>
        <v>1276879998773212.8</v>
      </c>
      <c r="AC172">
        <f>IF(AB172=0,0,AA172*3.3*10^10*Z172*10^6*(1/Y172)*VLOOKUP(C172,MultiFaultGeometry!B:G,5,FALSE)*10^-3)</f>
        <v>2915159330011046</v>
      </c>
      <c r="AE172" s="68">
        <f t="shared" si="30"/>
        <v>128401906978010.25</v>
      </c>
      <c r="AF172" s="68">
        <f t="shared" si="32"/>
        <v>271923461024150.09</v>
      </c>
      <c r="AG172" s="68"/>
    </row>
    <row r="173" spans="1:33" x14ac:dyDescent="0.2">
      <c r="A173" s="68" t="str">
        <f>Leonard2010!D175</f>
        <v>South Basin Fault 7b</v>
      </c>
      <c r="B173" s="68" t="str">
        <f>Leonard2010!E175</f>
        <v>South Basin Fault 7b South</v>
      </c>
      <c r="C173" s="68" t="str">
        <f>Leonard2010!F175</f>
        <v>NA</v>
      </c>
      <c r="D173">
        <f>IF(B173="NA","NA",VLOOKUP(B173,Leonard2010!E:H,3,FALSE))</f>
        <v>16.2</v>
      </c>
      <c r="E173">
        <f>IF(A173="NA","NA",VLOOKUP(A173,Leonard2010!D:I,6,FALSE))</f>
        <v>37.799999999999997</v>
      </c>
      <c r="F173" t="str">
        <f>IF(C173="NA","NA",VLOOKUP(C173,Leonard2010!F:K,6,FALSE))</f>
        <v>NA</v>
      </c>
      <c r="G173">
        <f>IF(B173="NA","NA",VLOOKUP(B173,Leonard2010!E:H,4,FALSE))</f>
        <v>18</v>
      </c>
      <c r="H173">
        <f>IF(A173="NA","NA",VLOOKUP(A173,Leonard2010!D:J,7,FALSE))</f>
        <v>28</v>
      </c>
      <c r="I173" t="str">
        <f>IF(C173="NA","NA",VLOOKUP(C173,Leonard2010!F:L,7,FALSE))</f>
        <v>NA</v>
      </c>
      <c r="J173">
        <f>IF(A173="NA","NA",VLOOKUP(A173,Leonard2010!D:N,11,FALSE))</f>
        <v>53</v>
      </c>
      <c r="K173" t="s">
        <v>211</v>
      </c>
      <c r="L173">
        <f>VLOOKUP(A173,Leonard2010!D:AJ,32,FALSE)</f>
        <v>52</v>
      </c>
      <c r="M173">
        <f>VLOOKUP($A173,Leonard2010!D:AK,33,FALSE)</f>
        <v>74</v>
      </c>
      <c r="N173">
        <f>VLOOKUP($A173,Leonard2010!D:AL,34,FALSE)</f>
        <v>96</v>
      </c>
      <c r="O173">
        <f t="shared" si="29"/>
        <v>0.82903757255504174</v>
      </c>
      <c r="P173">
        <f t="shared" si="38"/>
        <v>709.96091817457989</v>
      </c>
      <c r="Q173">
        <f>IF(B173="NA","0",VLOOKUP(B173,SectionGeometry!C:E,3,FALSE)*IF(C173="NA",X$277/(X$277+X$276),X$277))</f>
        <v>0.125</v>
      </c>
      <c r="R173">
        <f>Q173*IF(B173="NA",0,((VLOOKUP(B173,SectionGeometry!C:Z,24,FALSE))))</f>
        <v>23995338920686.832</v>
      </c>
      <c r="S173">
        <f>IF(R173=0,0,Q173*3.3*10^10*P173*10^6*(1/O173)*VLOOKUP(B173,SectionGeometry!C:AA,25,FALSE)*10^-3)</f>
        <v>240714460053661.91</v>
      </c>
      <c r="T173">
        <f t="shared" si="31"/>
        <v>0.71933980033865119</v>
      </c>
      <c r="U173">
        <f>IF(K173="N",E173*35/SIN(RADIANS(J173)),IF(K173="Y",VLOOKUP(A173,Leonard2010!D:U,18,FALSE),IF(C173="NA",VLOOKUP(A173,MSSM_AdaptedSources!B:K,10,FALSE),"CHECK")))</f>
        <v>1656.5754757406867</v>
      </c>
      <c r="V173">
        <f>(1*VLOOKUP(A173,FaultGeometry!B:C,2,FALSE))-Q173-AA173</f>
        <v>0.375</v>
      </c>
      <c r="W173">
        <f>V173*(VLOOKUP(A173,FaultGeometry!B:Y,24,FALSE))</f>
        <v>279211580711811.28</v>
      </c>
      <c r="X173">
        <f>V173*3.3*10^10*U173*10^6*(1/T173)*VLOOKUP(A173,FaultGeometry!B:O,14,FALSE)*10^-3</f>
        <v>1674945613232511.8</v>
      </c>
      <c r="Y173" t="str">
        <f t="shared" si="35"/>
        <v>NA</v>
      </c>
      <c r="Z173" t="str">
        <f>IF(C173="NA","NA",VLOOKUP(C173,MSSM_AdaptedSources!B:K,10,FALSE))</f>
        <v>NA</v>
      </c>
      <c r="AA173" t="str">
        <f>IF(C173="NA","0",VLOOKUP(C173,MultiFaultGeometry!B:C,2,FALSE)*IF(B173="NA",X$278/(X$278+X$276),X$278))</f>
        <v>0</v>
      </c>
      <c r="AB173">
        <f>AA173*IF(C173="NA",0,VLOOKUP(C173,MultiFaultGeometry!B:O,14,FALSE))</f>
        <v>0</v>
      </c>
      <c r="AC173">
        <f>IF(AB173=0,0,AA173*3.3*10^10*Z173*10^6*(1/Y173)*VLOOKUP(C173,MultiFaultGeometry!B:G,5,FALSE)*10^-3)</f>
        <v>0</v>
      </c>
      <c r="AE173" s="68">
        <f t="shared" si="30"/>
        <v>0</v>
      </c>
      <c r="AF173" s="68">
        <f t="shared" si="32"/>
        <v>0</v>
      </c>
      <c r="AG173" s="68"/>
    </row>
    <row r="174" spans="1:33" x14ac:dyDescent="0.2">
      <c r="A174" s="68" t="str">
        <f>Leonard2010!D176</f>
        <v>South Basin Fault 7b</v>
      </c>
      <c r="B174" s="68" t="str">
        <f>Leonard2010!E176</f>
        <v>South Basin Fault 7b North</v>
      </c>
      <c r="C174" s="68" t="str">
        <f>Leonard2010!F176</f>
        <v>NA</v>
      </c>
      <c r="D174">
        <f>IF(B174="NA","NA",VLOOKUP(B174,Leonard2010!E:H,3,FALSE))</f>
        <v>21.6</v>
      </c>
      <c r="E174">
        <f>IF(A174="NA","NA",VLOOKUP(A174,Leonard2010!D:I,6,FALSE))</f>
        <v>37.799999999999997</v>
      </c>
      <c r="F174" t="str">
        <f>IF(C174="NA","NA",VLOOKUP(C174,Leonard2010!F:K,6,FALSE))</f>
        <v>NA</v>
      </c>
      <c r="G174">
        <f>IF(B174="NA","NA",VLOOKUP(B174,Leonard2010!E:H,4,FALSE))</f>
        <v>35</v>
      </c>
      <c r="H174">
        <f>IF(A174="NA","NA",VLOOKUP(A174,Leonard2010!D:J,7,FALSE))</f>
        <v>28</v>
      </c>
      <c r="I174" t="str">
        <f>IF(C174="NA","NA",VLOOKUP(C174,Leonard2010!F:L,7,FALSE))</f>
        <v>NA</v>
      </c>
      <c r="J174">
        <f>IF(A174="NA","NA",VLOOKUP(A174,Leonard2010!D:N,11,FALSE))</f>
        <v>53</v>
      </c>
      <c r="K174" t="s">
        <v>211</v>
      </c>
      <c r="L174">
        <f>VLOOKUP(A174,Leonard2010!D:AJ,32,FALSE)</f>
        <v>52</v>
      </c>
      <c r="M174">
        <f>VLOOKUP($A174,Leonard2010!D:AK,33,FALSE)</f>
        <v>74</v>
      </c>
      <c r="N174">
        <f>VLOOKUP($A174,Leonard2010!D:AL,34,FALSE)</f>
        <v>96</v>
      </c>
      <c r="O174">
        <f t="shared" si="29"/>
        <v>0.62932039104983739</v>
      </c>
      <c r="P174">
        <f t="shared" si="38"/>
        <v>946.61455756610667</v>
      </c>
      <c r="Q174">
        <f>IF(B174="NA","0",VLOOKUP(B174,SectionGeometry!C:E,3,FALSE)*IF(C174="NA",X$277/(X$277+X$276),X$277))</f>
        <v>0.125</v>
      </c>
      <c r="R174">
        <f>Q174*IF(B174="NA",0,((VLOOKUP(B174,SectionGeometry!C:Z,24,FALSE))))</f>
        <v>30197864670826.742</v>
      </c>
      <c r="S174">
        <f>IF(R174=0,0,Q174*3.3*10^10*P174*10^6*(1/O174)*VLOOKUP(B174,SectionGeometry!C:AA,25,FALSE)*10^-3)</f>
        <v>324249067539778.19</v>
      </c>
      <c r="T174">
        <f t="shared" si="31"/>
        <v>0.71933980033865119</v>
      </c>
      <c r="U174">
        <f>IF(K174="N",E174*35/SIN(RADIANS(J174)),IF(K174="Y",VLOOKUP(A174,Leonard2010!D:U,18,FALSE),IF(C174="NA",VLOOKUP(A174,MSSM_AdaptedSources!B:K,10,FALSE),"CHECK")))</f>
        <v>1656.5754757406867</v>
      </c>
      <c r="V174">
        <f>(1*VLOOKUP(A174,FaultGeometry!B:C,2,FALSE))-Q174-AA174</f>
        <v>0.375</v>
      </c>
      <c r="W174">
        <f>V174*(VLOOKUP(A174,FaultGeometry!B:Y,24,FALSE))</f>
        <v>279211580711811.28</v>
      </c>
      <c r="X174">
        <f>V174*3.3*10^10*U174*10^6*(1/T174)*VLOOKUP(A174,FaultGeometry!B:O,14,FALSE)*10^-3</f>
        <v>1674945613232511.8</v>
      </c>
      <c r="Y174" t="str">
        <f t="shared" si="35"/>
        <v>NA</v>
      </c>
      <c r="Z174" t="str">
        <f>IF(C174="NA","NA",VLOOKUP(C174,MSSM_AdaptedSources!B:K,10,FALSE))</f>
        <v>NA</v>
      </c>
      <c r="AA174" t="str">
        <f>IF(C174="NA","0",VLOOKUP(C174,MultiFaultGeometry!B:C,2,FALSE)*IF(B174="NA",X$278/(X$278+X$276),X$278))</f>
        <v>0</v>
      </c>
      <c r="AB174">
        <f>AA174*IF(C174="NA",0,VLOOKUP(C174,MultiFaultGeometry!B:O,14,FALSE))</f>
        <v>0</v>
      </c>
      <c r="AC174">
        <f>IF(AB174=0,0,AA174*3.3*10^10*Z174*10^6*(1/Y174)*VLOOKUP(C174,MultiFaultGeometry!B:G,5,FALSE)*10^-3)</f>
        <v>0</v>
      </c>
      <c r="AE174" s="68">
        <f t="shared" si="30"/>
        <v>279211580711811.28</v>
      </c>
      <c r="AF174" s="68">
        <f t="shared" si="32"/>
        <v>1674945613232511.8</v>
      </c>
      <c r="AG174" s="68"/>
    </row>
    <row r="175" spans="1:33" x14ac:dyDescent="0.2">
      <c r="A175" s="68" t="str">
        <f>Leonard2010!D177</f>
        <v>South Basin Fault 12a</v>
      </c>
      <c r="B175" s="68" t="str">
        <f>Leonard2010!E177</f>
        <v>NA</v>
      </c>
      <c r="C175" s="68" t="str">
        <f>Leonard2010!F177</f>
        <v>South Basin Fault 7a-12a</v>
      </c>
      <c r="D175" t="str">
        <f>IF(B175="NA","NA",VLOOKUP(B175,Leonard2010!E:H,3,FALSE))</f>
        <v>NA</v>
      </c>
      <c r="E175">
        <f>IF(A175="NA","NA",VLOOKUP(A175,Leonard2010!D:I,6,FALSE))</f>
        <v>54</v>
      </c>
      <c r="F175">
        <f>IF(C175="NA","NA",VLOOKUP(C175,Leonard2010!F:K,6,FALSE))</f>
        <v>108</v>
      </c>
      <c r="G175" t="str">
        <f>IF(B175="NA","NA",VLOOKUP(B175,Leonard2010!E:H,4,FALSE))</f>
        <v>NA</v>
      </c>
      <c r="H175">
        <f>IF(A175="NA","NA",VLOOKUP(A175,Leonard2010!D:J,7,FALSE))</f>
        <v>168</v>
      </c>
      <c r="I175">
        <f>IF(C175="NA","NA",VLOOKUP(C175,Leonard2010!F:L,7,FALSE))</f>
        <v>352</v>
      </c>
      <c r="J175">
        <f>IF(A175="NA","NA",VLOOKUP(A175,Leonard2010!D:N,11,FALSE))</f>
        <v>53</v>
      </c>
      <c r="K175" t="s">
        <v>211</v>
      </c>
      <c r="L175">
        <f>VLOOKUP(A175,Leonard2010!D:AJ,32,FALSE)</f>
        <v>52</v>
      </c>
      <c r="M175">
        <f>VLOOKUP($A175,Leonard2010!D:AK,33,FALSE)</f>
        <v>74</v>
      </c>
      <c r="N175">
        <f>VLOOKUP($A175,Leonard2010!D:AL,34,FALSE)</f>
        <v>96</v>
      </c>
      <c r="O175" t="str">
        <f t="shared" si="29"/>
        <v>NA</v>
      </c>
      <c r="P175" t="str">
        <f t="shared" si="38"/>
        <v>NA</v>
      </c>
      <c r="Q175" t="str">
        <f>IF(B175="NA","0",VLOOKUP(B175,SectionGeometry!C:E,3,FALSE)*IF(C175="NA",X$277/(X$277+X$276),X$277))</f>
        <v>0</v>
      </c>
      <c r="R175">
        <f>Q175*IF(B175="NA",0,((VLOOKUP(B175,SectionGeometry!C:Z,24,FALSE))))</f>
        <v>0</v>
      </c>
      <c r="S175">
        <f>IF(R175=0,0,Q175*3.3*10^10*P175*10^6*(1/O175)*VLOOKUP(B175,SectionGeometry!C:AA,25,FALSE)*10^-3)</f>
        <v>0</v>
      </c>
      <c r="T175">
        <f t="shared" si="31"/>
        <v>0.95105651629515353</v>
      </c>
      <c r="U175">
        <f>IF(K175="N",E175*35/SIN(RADIANS(J175)),IF(K175="Y",VLOOKUP(A175,Leonard2010!D:U,18,FALSE),IF(C175="NA",VLOOKUP(A175,MSSM_AdaptedSources!B:K,10,FALSE),"CHECK")))</f>
        <v>2366.5363939152667</v>
      </c>
      <c r="V175">
        <f>(1*VLOOKUP(A175,FaultGeometry!B:C,2,FALSE))-Q175-AA175</f>
        <v>0.16666666666666663</v>
      </c>
      <c r="W175">
        <f>V175*(VLOOKUP(A175,FaultGeometry!B:Y,24,FALSE))</f>
        <v>309970279407120.12</v>
      </c>
      <c r="X175">
        <f>V175*3.3*10^10*U175*10^6*(1/T175)*VLOOKUP(A175,FaultGeometry!B:O,14,FALSE)*10^-3</f>
        <v>1104200855880774.4</v>
      </c>
      <c r="Y175">
        <f t="shared" si="35"/>
        <v>0.97029572627599647</v>
      </c>
      <c r="Z175">
        <f>IF(C175="NA","NA",VLOOKUP(C175,MSSM_AdaptedSources!B:K,10,FALSE))</f>
        <v>3604.5363939152667</v>
      </c>
      <c r="AA175">
        <f>IF(C175="NA","0",VLOOKUP(C175,MultiFaultGeometry!B:C,2,FALSE)*IF(B175="NA",X$278/(X$278+X$276),X$278))</f>
        <v>0.33333333333333337</v>
      </c>
      <c r="AB175">
        <f>AA175*IF(C175="NA",0,VLOOKUP(C175,MultiFaultGeometry!B:O,14,FALSE))</f>
        <v>1418755554192458.8</v>
      </c>
      <c r="AC175">
        <f>IF(AB175=0,0,AA175*3.3*10^10*Z175*10^6*(1/Y175)*VLOOKUP(C175,MultiFaultGeometry!B:G,5,FALSE)*10^-3)</f>
        <v>3239065922234495.5</v>
      </c>
      <c r="AE175" s="68">
        <f t="shared" si="30"/>
        <v>309970279407120.12</v>
      </c>
      <c r="AF175" s="68">
        <f t="shared" si="32"/>
        <v>1104200855880774.4</v>
      </c>
      <c r="AG175" s="68"/>
    </row>
    <row r="176" spans="1:33" x14ac:dyDescent="0.2">
      <c r="A176" s="68" t="str">
        <f>Leonard2010!D178</f>
        <v>South Basin Fault 12b</v>
      </c>
      <c r="B176" s="68" t="str">
        <f>Leonard2010!E178</f>
        <v>NA</v>
      </c>
      <c r="C176" s="68" t="str">
        <f>Leonard2010!F178</f>
        <v>NA</v>
      </c>
      <c r="D176" t="str">
        <f>IF(B176="NA","NA",VLOOKUP(B176,Leonard2010!E:H,3,FALSE))</f>
        <v>NA</v>
      </c>
      <c r="E176">
        <f>IF(A176="NA","NA",VLOOKUP(A176,Leonard2010!D:I,6,FALSE))</f>
        <v>54</v>
      </c>
      <c r="F176" t="str">
        <f>IF(C176="NA","NA",VLOOKUP(C176,Leonard2010!F:K,6,FALSE))</f>
        <v>NA</v>
      </c>
      <c r="G176" t="str">
        <f>IF(B176="NA","NA",VLOOKUP(B176,Leonard2010!E:H,4,FALSE))</f>
        <v>NA</v>
      </c>
      <c r="H176">
        <f>IF(A176="NA","NA",VLOOKUP(A176,Leonard2010!D:J,7,FALSE))</f>
        <v>168</v>
      </c>
      <c r="I176" t="str">
        <f>IF(C176="NA","NA",VLOOKUP(C176,Leonard2010!F:L,7,FALSE))</f>
        <v>NA</v>
      </c>
      <c r="J176">
        <f>IF(A176="NA","NA",VLOOKUP(A176,Leonard2010!D:N,11,FALSE))</f>
        <v>53</v>
      </c>
      <c r="K176" t="s">
        <v>211</v>
      </c>
      <c r="L176">
        <f>VLOOKUP(A176,Leonard2010!D:AJ,32,FALSE)</f>
        <v>52</v>
      </c>
      <c r="M176">
        <f>VLOOKUP($A176,Leonard2010!D:AK,33,FALSE)</f>
        <v>74</v>
      </c>
      <c r="N176">
        <f>VLOOKUP($A176,Leonard2010!D:AL,34,FALSE)</f>
        <v>96</v>
      </c>
      <c r="O176" t="str">
        <f t="shared" si="29"/>
        <v>NA</v>
      </c>
      <c r="P176" t="str">
        <f t="shared" si="38"/>
        <v>NA</v>
      </c>
      <c r="Q176" t="str">
        <f>IF(B176="NA","0",VLOOKUP(B176,SectionGeometry!C:E,3,FALSE)*IF(C176="NA",X$277/(X$277+X$276),X$277))</f>
        <v>0</v>
      </c>
      <c r="R176">
        <f>Q176*IF(B176="NA",0,((VLOOKUP(B176,SectionGeometry!C:Z,24,FALSE))))</f>
        <v>0</v>
      </c>
      <c r="S176">
        <f>IF(R176=0,0,Q176*3.3*10^10*P176*10^6*(1/O176)*VLOOKUP(B176,SectionGeometry!C:AA,25,FALSE)*10^-3)</f>
        <v>0</v>
      </c>
      <c r="T176">
        <f t="shared" si="31"/>
        <v>0.95105651629515353</v>
      </c>
      <c r="U176">
        <f>IF(K176="N",E176*35/SIN(RADIANS(J176)),IF(K176="Y",VLOOKUP(A176,Leonard2010!D:U,18,FALSE),IF(C176="NA",VLOOKUP(A176,MSSM_AdaptedSources!B:K,10,FALSE),"CHECK")))</f>
        <v>2366.5363939152667</v>
      </c>
      <c r="V176">
        <f>(1*VLOOKUP(A176,FaultGeometry!B:C,2,FALSE))-Q176-AA176</f>
        <v>0.5</v>
      </c>
      <c r="W176">
        <f>V176*(VLOOKUP(A176,FaultGeometry!B:Y,24,FALSE))</f>
        <v>939485401589853.12</v>
      </c>
      <c r="X176">
        <f>V176*3.3*10^10*U176*10^6*(1/T176)*VLOOKUP(A176,FaultGeometry!B:O,14,FALSE)*10^-3</f>
        <v>3337058292329290.5</v>
      </c>
      <c r="Y176" t="str">
        <f t="shared" si="35"/>
        <v>NA</v>
      </c>
      <c r="Z176" t="str">
        <f>IF(C176="NA","NA",VLOOKUP(C176,MSSM_AdaptedSources!B:K,10,FALSE))</f>
        <v>NA</v>
      </c>
      <c r="AA176" t="str">
        <f>IF(C176="NA","0",VLOOKUP(C176,MultiFaultGeometry!B:C,2,FALSE)*IF(B176="NA",X$278/(X$278+X$276),X$278))</f>
        <v>0</v>
      </c>
      <c r="AB176">
        <f>AA176*IF(C176="NA",0,VLOOKUP(C176,MultiFaultGeometry!B:O,14,FALSE))</f>
        <v>0</v>
      </c>
      <c r="AC176">
        <f>IF(AB176=0,0,AA176*3.3*10^10*Z176*10^6*(1/Y176)*VLOOKUP(C176,MultiFaultGeometry!B:G,5,FALSE)*10^-3)</f>
        <v>0</v>
      </c>
      <c r="AE176" s="68">
        <f t="shared" si="30"/>
        <v>939485401589853.12</v>
      </c>
      <c r="AF176" s="68">
        <f t="shared" si="32"/>
        <v>3337058292329290.5</v>
      </c>
      <c r="AG176" s="68"/>
    </row>
    <row r="177" spans="1:33" x14ac:dyDescent="0.2">
      <c r="A177" s="68" t="str">
        <f>Leonard2010!D179</f>
        <v>South Basin Fault 8</v>
      </c>
      <c r="B177" s="68" t="str">
        <f>Leonard2010!E179</f>
        <v>South Basin Fault 8 South</v>
      </c>
      <c r="C177" s="68" t="str">
        <f>Leonard2010!F179</f>
        <v>NA</v>
      </c>
      <c r="D177">
        <f>IF(B177="NA","NA",VLOOKUP(B177,Leonard2010!E:H,3,FALSE))</f>
        <v>14.8</v>
      </c>
      <c r="E177">
        <f>IF(A177="NA","NA",VLOOKUP(A177,Leonard2010!D:I,6,FALSE))</f>
        <v>32.700000000000003</v>
      </c>
      <c r="F177" t="str">
        <f>IF(C177="NA","NA",VLOOKUP(C177,Leonard2010!F:K,6,FALSE))</f>
        <v>NA</v>
      </c>
      <c r="G177">
        <f>IF(B177="NA","NA",VLOOKUP(B177,Leonard2010!E:H,4,FALSE))</f>
        <v>326</v>
      </c>
      <c r="H177">
        <f>IF(A177="NA","NA",VLOOKUP(A177,Leonard2010!D:J,7,FALSE))</f>
        <v>343</v>
      </c>
      <c r="I177" t="str">
        <f>IF(C177="NA","NA",VLOOKUP(C177,Leonard2010!F:L,7,FALSE))</f>
        <v>NA</v>
      </c>
      <c r="J177">
        <f>IF(A177="NA","NA",VLOOKUP(A177,Leonard2010!D:N,11,FALSE))</f>
        <v>53</v>
      </c>
      <c r="K177" t="s">
        <v>308</v>
      </c>
      <c r="L177">
        <f>VLOOKUP(A177,Leonard2010!D:AJ,32,FALSE)</f>
        <v>52</v>
      </c>
      <c r="M177">
        <f>VLOOKUP($A177,Leonard2010!D:AK,33,FALSE)</f>
        <v>74</v>
      </c>
      <c r="N177">
        <f>VLOOKUP($A177,Leonard2010!D:AL,34,FALSE)</f>
        <v>96</v>
      </c>
      <c r="O177">
        <f t="shared" si="29"/>
        <v>0.95105651629515353</v>
      </c>
      <c r="P177">
        <f>D177*(453/E177)</f>
        <v>205.02752293577981</v>
      </c>
      <c r="Q177">
        <f>IF(B177="NA","0",VLOOKUP(B177,SectionGeometry!C:E,3,FALSE)*IF(C177="NA",X$277/(X$277+X$276),X$277))</f>
        <v>0.25</v>
      </c>
      <c r="R177">
        <f>Q177*IF(B177="NA",0,((VLOOKUP(B177,SectionGeometry!C:Z,24,FALSE))))</f>
        <v>34406998196315.613</v>
      </c>
      <c r="S177">
        <f>IF(R177=0,0,Q177*3.3*10^10*P177*10^6*(1/O177)*VLOOKUP(B177,SectionGeometry!C:AA,25,FALSE)*10^-3)</f>
        <v>50667232140189.531</v>
      </c>
      <c r="T177">
        <f t="shared" si="31"/>
        <v>0.93358042649720174</v>
      </c>
      <c r="U177">
        <f>IF(K177="N",E177*35/SIN(RADIANS(J177)),IF(K177="Y",VLOOKUP(A177,Leonard2010!D:U,18,FALSE),IF(C177="NA",VLOOKUP(A177,MSSM_AdaptedSources!B:K,10,FALSE),"CHECK")))</f>
        <v>453</v>
      </c>
      <c r="V177">
        <f>(1*VLOOKUP(A177,FaultGeometry!B:C,2,FALSE))-Q177-AA177</f>
        <v>0.75</v>
      </c>
      <c r="W177">
        <f>V177*(VLOOKUP(A177,FaultGeometry!B:Y,24,FALSE))</f>
        <v>339742121559152.5</v>
      </c>
      <c r="X177">
        <f>V177*3.3*10^10*U177*10^6*(1/T177)*VLOOKUP(A177,FaultGeometry!B:O,14,FALSE)*10^-3</f>
        <v>360054239579605.31</v>
      </c>
      <c r="Y177" t="str">
        <f t="shared" si="35"/>
        <v>NA</v>
      </c>
      <c r="Z177" t="str">
        <f>IF(C177="NA","NA",VLOOKUP(C177,MSSM_AdaptedSources!B:K,10,FALSE))</f>
        <v>NA</v>
      </c>
      <c r="AA177" t="str">
        <f>IF(C177="NA","0",VLOOKUP(C177,MultiFaultGeometry!B:C,2,FALSE)*IF(B177="NA",X$278/(X$278+X$276),X$278))</f>
        <v>0</v>
      </c>
      <c r="AB177">
        <f>AA177*IF(C177="NA",0,VLOOKUP(C177,MultiFaultGeometry!B:O,14,FALSE))</f>
        <v>0</v>
      </c>
      <c r="AC177">
        <f>IF(AB177=0,0,AA177*3.3*10^10*Z177*10^6*(1/Y177)*VLOOKUP(C177,MultiFaultGeometry!B:G,5,FALSE)*10^-3)</f>
        <v>0</v>
      </c>
      <c r="AE177" s="68">
        <f t="shared" si="30"/>
        <v>0</v>
      </c>
      <c r="AF177" s="68">
        <f t="shared" si="32"/>
        <v>0</v>
      </c>
      <c r="AG177" s="68"/>
    </row>
    <row r="178" spans="1:33" x14ac:dyDescent="0.2">
      <c r="A178" s="68" t="str">
        <f>Leonard2010!D180</f>
        <v>South Basin Fault 8</v>
      </c>
      <c r="B178" s="68" t="str">
        <f>Leonard2010!E180</f>
        <v>South Basin Fault 8 North</v>
      </c>
      <c r="C178" s="68" t="str">
        <f>Leonard2010!F180</f>
        <v>NA</v>
      </c>
      <c r="D178">
        <f>IF(B178="NA","NA",VLOOKUP(B178,Leonard2010!E:H,3,FALSE))</f>
        <v>17.899999999999999</v>
      </c>
      <c r="E178">
        <f>IF(A178="NA","NA",VLOOKUP(A178,Leonard2010!D:I,6,FALSE))</f>
        <v>32.700000000000003</v>
      </c>
      <c r="F178" t="str">
        <f>IF(C178="NA","NA",VLOOKUP(C178,Leonard2010!F:K,6,FALSE))</f>
        <v>NA</v>
      </c>
      <c r="G178">
        <f>IF(B178="NA","NA",VLOOKUP(B178,Leonard2010!E:H,4,FALSE))</f>
        <v>357</v>
      </c>
      <c r="H178">
        <f>IF(A178="NA","NA",VLOOKUP(A178,Leonard2010!D:J,7,FALSE))</f>
        <v>343</v>
      </c>
      <c r="I178" t="str">
        <f>IF(C178="NA","NA",VLOOKUP(C178,Leonard2010!F:L,7,FALSE))</f>
        <v>NA</v>
      </c>
      <c r="J178">
        <f>IF(A178="NA","NA",VLOOKUP(A178,Leonard2010!D:N,11,FALSE))</f>
        <v>53</v>
      </c>
      <c r="K178" t="s">
        <v>308</v>
      </c>
      <c r="L178">
        <f>VLOOKUP(A178,Leonard2010!D:AJ,32,FALSE)</f>
        <v>52</v>
      </c>
      <c r="M178">
        <f>VLOOKUP($A178,Leonard2010!D:AK,33,FALSE)</f>
        <v>74</v>
      </c>
      <c r="N178">
        <f>VLOOKUP($A178,Leonard2010!D:AL,34,FALSE)</f>
        <v>96</v>
      </c>
      <c r="O178">
        <f t="shared" si="29"/>
        <v>0.97437006478523525</v>
      </c>
      <c r="P178">
        <f>D178*(453/E178)</f>
        <v>247.97247706422016</v>
      </c>
      <c r="Q178">
        <f>IF(B178="NA","0",VLOOKUP(B178,SectionGeometry!C:E,3,FALSE)*IF(C178="NA",X$277/(X$277+X$276),X$277))</f>
        <v>0.25</v>
      </c>
      <c r="R178">
        <f>Q178*IF(B178="NA",0,((VLOOKUP(B178,SectionGeometry!C:Z,24,FALSE))))</f>
        <v>48590405167414.859</v>
      </c>
      <c r="S178">
        <f>IF(R178=0,0,Q178*3.3*10^10*P178*10^6*(1/O178)*VLOOKUP(B178,SectionGeometry!C:AA,25,FALSE)*10^-3)</f>
        <v>61505733171036.828</v>
      </c>
      <c r="T178">
        <f t="shared" si="31"/>
        <v>0.93358042649720174</v>
      </c>
      <c r="U178">
        <f>IF(K178="N",E178*35/SIN(RADIANS(J178)),IF(K178="Y",VLOOKUP(A178,Leonard2010!D:U,18,FALSE),IF(C178="NA",VLOOKUP(A178,MSSM_AdaptedSources!B:K,10,FALSE),"CHECK")))</f>
        <v>453</v>
      </c>
      <c r="V178">
        <f>(1*VLOOKUP(A178,FaultGeometry!B:C,2,FALSE))-Q178-AA178</f>
        <v>0.75</v>
      </c>
      <c r="W178">
        <f>V178*(VLOOKUP(A178,FaultGeometry!B:Y,24,FALSE))</f>
        <v>339742121559152.5</v>
      </c>
      <c r="X178">
        <f>V178*3.3*10^10*U178*10^6*(1/T178)*VLOOKUP(A178,FaultGeometry!B:O,14,FALSE)*10^-3</f>
        <v>360054239579605.31</v>
      </c>
      <c r="Y178" t="str">
        <f t="shared" si="35"/>
        <v>NA</v>
      </c>
      <c r="Z178" t="str">
        <f>IF(C178="NA","NA",VLOOKUP(C178,MSSM_AdaptedSources!B:K,10,FALSE))</f>
        <v>NA</v>
      </c>
      <c r="AA178" t="str">
        <f>IF(C178="NA","0",VLOOKUP(C178,MultiFaultGeometry!B:C,2,FALSE)*IF(B178="NA",X$278/(X$278+X$276),X$278))</f>
        <v>0</v>
      </c>
      <c r="AB178">
        <f>AA178*IF(C178="NA",0,VLOOKUP(C178,MultiFaultGeometry!B:O,14,FALSE))</f>
        <v>0</v>
      </c>
      <c r="AC178">
        <f>IF(AB178=0,0,AA178*3.3*10^10*Z178*10^6*(1/Y178)*VLOOKUP(C178,MultiFaultGeometry!B:G,5,FALSE)*10^-3)</f>
        <v>0</v>
      </c>
      <c r="AE178" s="68">
        <f t="shared" si="30"/>
        <v>339742121559152.5</v>
      </c>
      <c r="AF178" s="68">
        <f t="shared" si="32"/>
        <v>360054239579605.31</v>
      </c>
      <c r="AG178" s="68"/>
    </row>
    <row r="179" spans="1:33" x14ac:dyDescent="0.2">
      <c r="A179" s="68" t="str">
        <f>Leonard2010!D181</f>
        <v>South Basin Fault 10</v>
      </c>
      <c r="B179" s="68" t="str">
        <f>Leonard2010!E181</f>
        <v>NA</v>
      </c>
      <c r="C179" s="68" t="str">
        <f>Leonard2010!F181</f>
        <v>NA</v>
      </c>
      <c r="D179" t="str">
        <f>IF(B179="NA","NA",VLOOKUP(B179,Leonard2010!E:H,3,FALSE))</f>
        <v>NA</v>
      </c>
      <c r="E179">
        <f>IF(A179="NA","NA",VLOOKUP(A179,Leonard2010!D:I,6,FALSE))</f>
        <v>16.3</v>
      </c>
      <c r="F179" t="str">
        <f>IF(C179="NA","NA",VLOOKUP(C179,Leonard2010!F:K,6,FALSE))</f>
        <v>NA</v>
      </c>
      <c r="G179" t="str">
        <f>IF(B179="NA","NA",VLOOKUP(B179,Leonard2010!E:H,4,FALSE))</f>
        <v>NA</v>
      </c>
      <c r="H179">
        <f>IF(A179="NA","NA",VLOOKUP(A179,Leonard2010!D:J,7,FALSE))</f>
        <v>10</v>
      </c>
      <c r="I179" t="str">
        <f>IF(C179="NA","NA",VLOOKUP(C179,Leonard2010!F:L,7,FALSE))</f>
        <v>NA</v>
      </c>
      <c r="J179">
        <f>IF(A179="NA","NA",VLOOKUP(A179,Leonard2010!D:N,11,FALSE))</f>
        <v>53</v>
      </c>
      <c r="K179" t="s">
        <v>308</v>
      </c>
      <c r="L179">
        <f>VLOOKUP(A179,Leonard2010!D:AJ,32,FALSE)</f>
        <v>52</v>
      </c>
      <c r="M179">
        <f>VLOOKUP($A179,Leonard2010!D:AK,33,FALSE)</f>
        <v>74</v>
      </c>
      <c r="N179">
        <f>VLOOKUP($A179,Leonard2010!D:AL,34,FALSE)</f>
        <v>96</v>
      </c>
      <c r="O179" t="str">
        <f t="shared" si="29"/>
        <v>NA</v>
      </c>
      <c r="P179" t="str">
        <f t="shared" si="38"/>
        <v>NA</v>
      </c>
      <c r="Q179" t="str">
        <f>IF(B179="NA","0",VLOOKUP(B179,SectionGeometry!C:E,3,FALSE)*IF(C179="NA",X$277/(X$277+X$276),X$277))</f>
        <v>0</v>
      </c>
      <c r="R179">
        <f>Q179*IF(B179="NA",0,((VLOOKUP(B179,SectionGeometry!C:Z,24,FALSE))))</f>
        <v>0</v>
      </c>
      <c r="S179">
        <f>IF(R179=0,0,Q179*3.3*10^10*P179*10^6*(1/O179)*VLOOKUP(B179,SectionGeometry!C:AA,25,FALSE)*10^-3)</f>
        <v>0</v>
      </c>
      <c r="T179">
        <f t="shared" si="31"/>
        <v>0.89879404629916704</v>
      </c>
      <c r="U179">
        <f>IF(K179="N",E179*35/SIN(RADIANS(J179)),IF(K179="Y",VLOOKUP(A179,Leonard2010!D:U,18,FALSE),IF(C179="NA",VLOOKUP(A179,MSSM_AdaptedSources!B:K,10,FALSE),"CHECK")))</f>
        <v>148</v>
      </c>
      <c r="V179">
        <f>(1*VLOOKUP(A179,FaultGeometry!B:C,2,FALSE))-Q179-AA179</f>
        <v>1</v>
      </c>
      <c r="W179">
        <f>V179*(VLOOKUP(A179,FaultGeometry!B:Y,24,FALSE))</f>
        <v>356387880934800.62</v>
      </c>
      <c r="X179">
        <f>V179*3.3*10^10*U179*10^6*(1/T179)*VLOOKUP(A179,FaultGeometry!B:O,14,FALSE)*10^-3</f>
        <v>396438777037255.06</v>
      </c>
      <c r="Y179" t="str">
        <f t="shared" si="35"/>
        <v>NA</v>
      </c>
      <c r="Z179" t="str">
        <f>IF(C179="NA","NA",VLOOKUP(C179,MSSM_AdaptedSources!B:K,10,FALSE))</f>
        <v>NA</v>
      </c>
      <c r="AA179" t="str">
        <f>IF(C179="NA","0",VLOOKUP(C179,MultiFaultGeometry!B:C,2,FALSE)*IF(B179="NA",X$278/(X$278+X$276),X$278))</f>
        <v>0</v>
      </c>
      <c r="AB179">
        <f>AA179*IF(C179="NA",0,VLOOKUP(C179,MultiFaultGeometry!B:O,14,FALSE))</f>
        <v>0</v>
      </c>
      <c r="AC179">
        <f>IF(AB179=0,0,AA179*3.3*10^10*Z179*10^6*(1/Y179)*VLOOKUP(C179,MultiFaultGeometry!B:G,5,FALSE)*10^-3)</f>
        <v>0</v>
      </c>
      <c r="AE179" s="68">
        <f t="shared" si="30"/>
        <v>356387880934800.62</v>
      </c>
      <c r="AF179" s="68">
        <f t="shared" si="32"/>
        <v>396438777037255.06</v>
      </c>
      <c r="AG179" s="68"/>
    </row>
    <row r="180" spans="1:33" x14ac:dyDescent="0.2">
      <c r="A180" s="68" t="str">
        <f>Leonard2010!D182</f>
        <v>South Basin Fault 14</v>
      </c>
      <c r="B180" s="68" t="str">
        <f>Leonard2010!E182</f>
        <v>NA</v>
      </c>
      <c r="C180" s="68" t="str">
        <f>Leonard2010!F182</f>
        <v>NA</v>
      </c>
      <c r="D180" t="str">
        <f>IF(B180="NA","NA",VLOOKUP(B180,Leonard2010!E:H,3,FALSE))</f>
        <v>NA</v>
      </c>
      <c r="E180">
        <f>IF(A180="NA","NA",VLOOKUP(A180,Leonard2010!D:I,6,FALSE))</f>
        <v>35.1</v>
      </c>
      <c r="F180" t="str">
        <f>IF(C180="NA","NA",VLOOKUP(C180,Leonard2010!F:K,6,FALSE))</f>
        <v>NA</v>
      </c>
      <c r="G180" t="str">
        <f>IF(B180="NA","NA",VLOOKUP(B180,Leonard2010!E:H,4,FALSE))</f>
        <v>NA</v>
      </c>
      <c r="H180">
        <f>IF(A180="NA","NA",VLOOKUP(A180,Leonard2010!D:J,7,FALSE))</f>
        <v>153</v>
      </c>
      <c r="I180" t="str">
        <f>IF(C180="NA","NA",VLOOKUP(C180,Leonard2010!F:L,7,FALSE))</f>
        <v>NA</v>
      </c>
      <c r="J180">
        <f>IF(A180="NA","NA",VLOOKUP(A180,Leonard2010!D:N,11,FALSE))</f>
        <v>53</v>
      </c>
      <c r="K180" t="s">
        <v>211</v>
      </c>
      <c r="L180">
        <f>VLOOKUP(A180,Leonard2010!D:AJ,32,FALSE)</f>
        <v>52</v>
      </c>
      <c r="M180">
        <f>VLOOKUP($A180,Leonard2010!D:AK,33,FALSE)</f>
        <v>74</v>
      </c>
      <c r="N180">
        <f>VLOOKUP($A180,Leonard2010!D:AL,34,FALSE)</f>
        <v>96</v>
      </c>
      <c r="O180" t="str">
        <f t="shared" si="29"/>
        <v>NA</v>
      </c>
      <c r="P180" t="str">
        <f t="shared" si="38"/>
        <v>NA</v>
      </c>
      <c r="Q180" t="str">
        <f>IF(B180="NA","0",VLOOKUP(B180,SectionGeometry!C:E,3,FALSE)*IF(C180="NA",X$277/(X$277+X$276),X$277))</f>
        <v>0</v>
      </c>
      <c r="R180">
        <f>Q180*IF(B180="NA",0,((VLOOKUP(B180,SectionGeometry!C:Z,24,FALSE))))</f>
        <v>0</v>
      </c>
      <c r="S180">
        <f>IF(R180=0,0,Q180*3.3*10^10*P180*10^6*(1/O180)*VLOOKUP(B180,SectionGeometry!C:AA,25,FALSE)*10^-3)</f>
        <v>0</v>
      </c>
      <c r="T180">
        <f t="shared" si="31"/>
        <v>0.98162718344766386</v>
      </c>
      <c r="U180">
        <f>IF(K180="N",E180*35/SIN(RADIANS(J180)),IF(K180="Y",VLOOKUP(A180,Leonard2010!D:U,18,FALSE),IF(C180="NA",VLOOKUP(A180,MSSM_AdaptedSources!B:K,10,FALSE),"CHECK")))</f>
        <v>1538.2486560449233</v>
      </c>
      <c r="V180">
        <f>(1*VLOOKUP(A180,FaultGeometry!B:C,2,FALSE))-Q180-AA180</f>
        <v>1</v>
      </c>
      <c r="W180">
        <f>V180*(VLOOKUP(A180,FaultGeometry!B:Y,24,FALSE))</f>
        <v>1775788690312323.2</v>
      </c>
      <c r="X180">
        <f>V180*3.3*10^10*U180*10^6*(1/T180)*VLOOKUP(A180,FaultGeometry!B:O,14,FALSE)*10^-3</f>
        <v>4048893788306950.5</v>
      </c>
      <c r="Y180" t="str">
        <f t="shared" si="35"/>
        <v>NA</v>
      </c>
      <c r="Z180" t="str">
        <f>IF(C180="NA","NA",VLOOKUP(C180,MSSM_AdaptedSources!B:K,10,FALSE))</f>
        <v>NA</v>
      </c>
      <c r="AA180" t="str">
        <f>IF(C180="NA","0",VLOOKUP(C180,MultiFaultGeometry!B:C,2,FALSE)*IF(B180="NA",X$278/(X$278+X$276),X$278))</f>
        <v>0</v>
      </c>
      <c r="AB180">
        <f>AA180*IF(C180="NA",0,VLOOKUP(C180,MultiFaultGeometry!B:O,14,FALSE))</f>
        <v>0</v>
      </c>
      <c r="AC180">
        <f>IF(AB180=0,0,AA180*3.3*10^10*Z180*10^6*(1/Y180)*VLOOKUP(C180,MultiFaultGeometry!B:G,5,FALSE)*10^-3)</f>
        <v>0</v>
      </c>
      <c r="AE180" s="68">
        <f t="shared" si="30"/>
        <v>1775788690312323.2</v>
      </c>
      <c r="AF180" s="68">
        <f t="shared" si="32"/>
        <v>4048893788306950.5</v>
      </c>
      <c r="AG180" s="68"/>
    </row>
    <row r="181" spans="1:33" x14ac:dyDescent="0.2">
      <c r="A181" s="68" t="str">
        <f>Leonard2010!D183</f>
        <v>South Basin Fault 15</v>
      </c>
      <c r="B181" s="68" t="str">
        <f>Leonard2010!E183</f>
        <v>South Basin Fault 15 South</v>
      </c>
      <c r="C181" s="68" t="str">
        <f>Leonard2010!F183</f>
        <v>NA</v>
      </c>
      <c r="D181">
        <f>IF(B181="NA","NA",VLOOKUP(B181,Leonard2010!E:H,3,FALSE))</f>
        <v>33.4</v>
      </c>
      <c r="E181">
        <f>IF(A181="NA","NA",VLOOKUP(A181,Leonard2010!D:I,6,FALSE))</f>
        <v>58.2</v>
      </c>
      <c r="F181" t="str">
        <f>IF(C181="NA","NA",VLOOKUP(C181,Leonard2010!F:K,6,FALSE))</f>
        <v>NA</v>
      </c>
      <c r="G181">
        <f>IF(B181="NA","NA",VLOOKUP(B181,Leonard2010!E:H,4,FALSE))</f>
        <v>181</v>
      </c>
      <c r="H181">
        <f>IF(A181="NA","NA",VLOOKUP(A181,Leonard2010!D:J,7,FALSE))</f>
        <v>172</v>
      </c>
      <c r="I181" t="str">
        <f>IF(C181="NA","NA",VLOOKUP(C181,Leonard2010!F:L,7,FALSE))</f>
        <v>NA</v>
      </c>
      <c r="J181">
        <f>IF(A181="NA","NA",VLOOKUP(A181,Leonard2010!D:N,11,FALSE))</f>
        <v>53</v>
      </c>
      <c r="K181" t="s">
        <v>552</v>
      </c>
      <c r="L181">
        <f>VLOOKUP(A181,Leonard2010!D:AJ,32,FALSE)</f>
        <v>52</v>
      </c>
      <c r="M181">
        <f>VLOOKUP($A181,Leonard2010!D:AK,33,FALSE)</f>
        <v>74</v>
      </c>
      <c r="N181">
        <f>VLOOKUP($A181,Leonard2010!D:AL,34,FALSE)</f>
        <v>96</v>
      </c>
      <c r="O181">
        <f t="shared" si="29"/>
        <v>0.95630475596303544</v>
      </c>
      <c r="P181">
        <f>D181*(1956/E181)</f>
        <v>1122.5154639175257</v>
      </c>
      <c r="Q181">
        <f>IF(B181="NA","0",VLOOKUP(B181,SectionGeometry!C:E,3,FALSE)*IF(C181="NA",X$277/(X$277+X$276),X$277))</f>
        <v>0.25</v>
      </c>
      <c r="R181">
        <f>Q181*IF(B181="NA",0,((VLOOKUP(B181,SectionGeometry!C:Z,24,FALSE))))</f>
        <v>134316292616282.61</v>
      </c>
      <c r="S181">
        <f>IF(R181=0,0,Q181*3.3*10^10*P181*10^6*(1/O181)*VLOOKUP(B181,SectionGeometry!C:AA,25,FALSE)*10^-3)</f>
        <v>275512883168418.47</v>
      </c>
      <c r="T181">
        <f t="shared" si="31"/>
        <v>0.97029572627599647</v>
      </c>
      <c r="U181">
        <f>IF(K181="N",E181*35/SIN(RADIANS(J181)),IF(K181="Y",VLOOKUP(A181,Leonard2010!D:U,18,FALSE),IF(C181="NA",VLOOKUP(A181,MSSM_AdaptedSources!B:K,10,FALSE),"CHECK")))</f>
        <v>1956</v>
      </c>
      <c r="V181">
        <f>(1*VLOOKUP(A181,FaultGeometry!B:C,2,FALSE))-Q181-AA181</f>
        <v>0.75</v>
      </c>
      <c r="W181">
        <f>V181*(VLOOKUP(A181,FaultGeometry!B:Y,24,FALSE))</f>
        <v>1198101881053632.5</v>
      </c>
      <c r="X181">
        <f>V181*3.3*10^10*U181*10^6*(1/T181)*VLOOKUP(A181,FaultGeometry!B:O,14,FALSE)*10^-3</f>
        <v>1486037006405402.5</v>
      </c>
      <c r="Y181" t="str">
        <f t="shared" si="35"/>
        <v>NA</v>
      </c>
      <c r="Z181" t="str">
        <f>IF(C181="NA","NA",VLOOKUP(C181,MSSM_AdaptedSources!B:K,10,FALSE))</f>
        <v>NA</v>
      </c>
      <c r="AA181" t="str">
        <f>IF(C181="NA","0",VLOOKUP(C181,MultiFaultGeometry!B:C,2,FALSE)*IF(B181="NA",X$278/(X$278+X$276),X$278))</f>
        <v>0</v>
      </c>
      <c r="AB181">
        <f>AA181*IF(C181="NA",0,VLOOKUP(C181,MultiFaultGeometry!B:O,14,FALSE))</f>
        <v>0</v>
      </c>
      <c r="AC181">
        <f>IF(AB181=0,0,AA181*3.3*10^10*Z181*10^6*(1/Y181)*VLOOKUP(C181,MultiFaultGeometry!B:G,5,FALSE)*10^-3)</f>
        <v>0</v>
      </c>
      <c r="AE181" s="68">
        <f t="shared" si="30"/>
        <v>0</v>
      </c>
      <c r="AF181" s="68">
        <f t="shared" si="32"/>
        <v>0</v>
      </c>
      <c r="AG181" s="68"/>
    </row>
    <row r="182" spans="1:33" x14ac:dyDescent="0.2">
      <c r="A182" s="68" t="str">
        <f>Leonard2010!D184</f>
        <v>South Basin Fault 15</v>
      </c>
      <c r="B182" s="68" t="str">
        <f>Leonard2010!E184</f>
        <v>South Basin Fault 15 North</v>
      </c>
      <c r="C182" s="68" t="str">
        <f>Leonard2010!F184</f>
        <v>NA</v>
      </c>
      <c r="D182">
        <f>IF(B182="NA","NA",VLOOKUP(B182,Leonard2010!E:H,3,FALSE))</f>
        <v>24.8</v>
      </c>
      <c r="E182">
        <f>IF(A182="NA","NA",VLOOKUP(A182,Leonard2010!D:I,6,FALSE))</f>
        <v>58.2</v>
      </c>
      <c r="F182" t="str">
        <f>IF(C182="NA","NA",VLOOKUP(C182,Leonard2010!F:K,6,FALSE))</f>
        <v>NA</v>
      </c>
      <c r="G182">
        <f>IF(B182="NA","NA",VLOOKUP(B182,Leonard2010!E:H,4,FALSE))</f>
        <v>161</v>
      </c>
      <c r="H182">
        <f>IF(A182="NA","NA",VLOOKUP(A182,Leonard2010!D:J,7,FALSE))</f>
        <v>172</v>
      </c>
      <c r="I182" t="str">
        <f>IF(C182="NA","NA",VLOOKUP(C182,Leonard2010!F:L,7,FALSE))</f>
        <v>NA</v>
      </c>
      <c r="J182">
        <f>IF(A182="NA","NA",VLOOKUP(A182,Leonard2010!D:N,11,FALSE))</f>
        <v>53</v>
      </c>
      <c r="K182" t="s">
        <v>552</v>
      </c>
      <c r="L182">
        <f>VLOOKUP(A182,Leonard2010!D:AJ,32,FALSE)</f>
        <v>52</v>
      </c>
      <c r="M182">
        <f>VLOOKUP($A182,Leonard2010!D:AK,33,FALSE)</f>
        <v>74</v>
      </c>
      <c r="N182">
        <f>VLOOKUP($A182,Leonard2010!D:AL,34,FALSE)</f>
        <v>96</v>
      </c>
      <c r="O182">
        <f t="shared" si="29"/>
        <v>0.94551857559931674</v>
      </c>
      <c r="P182">
        <f>D182*(1956/E182)</f>
        <v>833.48453608247428</v>
      </c>
      <c r="Q182">
        <f>IF(B182="NA","0",VLOOKUP(B182,SectionGeometry!C:E,3,FALSE)*IF(C182="NA",X$277/(X$277+X$276),X$277))</f>
        <v>0.25</v>
      </c>
      <c r="R182">
        <f>Q182*IF(B182="NA",0,((VLOOKUP(B182,SectionGeometry!C:Z,24,FALSE))))</f>
        <v>85058021472691.734</v>
      </c>
      <c r="S182">
        <f>IF(R182=0,0,Q182*3.3*10^10*P182*10^6*(1/O182)*VLOOKUP(B182,SectionGeometry!C:AA,25,FALSE)*10^-3)</f>
        <v>217967070413571.72</v>
      </c>
      <c r="T182">
        <f t="shared" si="31"/>
        <v>0.97029572627599647</v>
      </c>
      <c r="U182">
        <f>IF(K182="N",E182*35/SIN(RADIANS(J182)),IF(K182="Y",VLOOKUP(A182,Leonard2010!D:U,18,FALSE),IF(C182="NA",VLOOKUP(A182,MSSM_AdaptedSources!B:K,10,FALSE),"CHECK")))</f>
        <v>1956</v>
      </c>
      <c r="V182">
        <f>(1*VLOOKUP(A182,FaultGeometry!B:C,2,FALSE))-Q182-AA182</f>
        <v>0.75</v>
      </c>
      <c r="W182">
        <f>V182*(VLOOKUP(A182,FaultGeometry!B:Y,24,FALSE))</f>
        <v>1198101881053632.5</v>
      </c>
      <c r="X182">
        <f>V182*3.3*10^10*U182*10^6*(1/T182)*VLOOKUP(A182,FaultGeometry!B:O,14,FALSE)*10^-3</f>
        <v>1486037006405402.5</v>
      </c>
      <c r="Y182" t="str">
        <f t="shared" si="35"/>
        <v>NA</v>
      </c>
      <c r="Z182" t="str">
        <f>IF(C182="NA","NA",VLOOKUP(C182,MSSM_AdaptedSources!B:K,10,FALSE))</f>
        <v>NA</v>
      </c>
      <c r="AA182" t="str">
        <f>IF(C182="NA","0",VLOOKUP(C182,MultiFaultGeometry!B:C,2,FALSE)*IF(B182="NA",X$278/(X$278+X$276),X$278))</f>
        <v>0</v>
      </c>
      <c r="AB182">
        <f>AA182*IF(C182="NA",0,VLOOKUP(C182,MultiFaultGeometry!B:O,14,FALSE))</f>
        <v>0</v>
      </c>
      <c r="AC182">
        <f>IF(AB182=0,0,AA182*3.3*10^10*Z182*10^6*(1/Y182)*VLOOKUP(C182,MultiFaultGeometry!B:G,5,FALSE)*10^-3)</f>
        <v>0</v>
      </c>
      <c r="AE182" s="68">
        <f t="shared" si="30"/>
        <v>1198101881053632.5</v>
      </c>
      <c r="AF182" s="68">
        <f t="shared" si="32"/>
        <v>1486037006405402.5</v>
      </c>
      <c r="AG182" s="68"/>
    </row>
    <row r="183" spans="1:33" x14ac:dyDescent="0.2">
      <c r="A183" s="68" t="str">
        <f>Leonard2010!D185</f>
        <v>Kavuzi</v>
      </c>
      <c r="B183" s="68" t="str">
        <f>Leonard2010!E185</f>
        <v>NA</v>
      </c>
      <c r="C183" s="68" t="str">
        <f>Leonard2010!F185</f>
        <v>NA</v>
      </c>
      <c r="D183" t="str">
        <f>IF(B183="NA","NA",VLOOKUP(B183,Leonard2010!E:H,3,FALSE))</f>
        <v>NA</v>
      </c>
      <c r="E183">
        <f>IF(A183="NA","NA",VLOOKUP(A183,Leonard2010!D:I,6,FALSE))</f>
        <v>21.1</v>
      </c>
      <c r="F183" t="str">
        <f>IF(C183="NA","NA",VLOOKUP(C183,Leonard2010!F:K,6,FALSE))</f>
        <v>NA</v>
      </c>
      <c r="G183" t="str">
        <f>IF(B183="NA","NA",VLOOKUP(B183,Leonard2010!E:H,4,FALSE))</f>
        <v>NA</v>
      </c>
      <c r="H183">
        <f>IF(A183="NA","NA",VLOOKUP(A183,Leonard2010!D:J,7,FALSE))</f>
        <v>200</v>
      </c>
      <c r="I183" t="str">
        <f>IF(C183="NA","NA",VLOOKUP(C183,Leonard2010!F:L,7,FALSE))</f>
        <v>NA</v>
      </c>
      <c r="J183">
        <f>IF(A183="NA","NA",VLOOKUP(A183,Leonard2010!D:N,11,FALSE))</f>
        <v>53</v>
      </c>
      <c r="K183" t="s">
        <v>211</v>
      </c>
      <c r="L183">
        <f>VLOOKUP(A183,Leonard2010!D:AJ,32,FALSE)</f>
        <v>59</v>
      </c>
      <c r="M183">
        <f>VLOOKUP($A183,Leonard2010!D:AK,33,FALSE)</f>
        <v>76</v>
      </c>
      <c r="N183">
        <f>VLOOKUP($A183,Leonard2010!D:AL,34,FALSE)</f>
        <v>93</v>
      </c>
      <c r="O183" t="str">
        <f t="shared" si="29"/>
        <v>NA</v>
      </c>
      <c r="P183" t="str">
        <f t="shared" si="38"/>
        <v>NA</v>
      </c>
      <c r="Q183" t="str">
        <f>IF(B183="NA","0",VLOOKUP(B183,SectionGeometry!C:E,3,FALSE)*IF(C183="NA",X$277/(X$277+X$276),X$277))</f>
        <v>0</v>
      </c>
      <c r="R183">
        <f>Q183*IF(B183="NA",0,((VLOOKUP(B183,SectionGeometry!C:Z,24,FALSE))))</f>
        <v>0</v>
      </c>
      <c r="S183">
        <f>IF(R183=0,0,Q183*3.3*10^10*P183*10^6*(1/O183)*VLOOKUP(B183,SectionGeometry!C:AA,25,FALSE)*10^-3)</f>
        <v>0</v>
      </c>
      <c r="T183">
        <f t="shared" si="31"/>
        <v>0.82903757255504185</v>
      </c>
      <c r="U183">
        <f>IF(K183="N",E183*35/SIN(RADIANS(J183)),IF(K183="Y",VLOOKUP(A183,Leonard2010!D:U,18,FALSE),IF(C183="NA",VLOOKUP(A183,MSSM_AdaptedSources!B:K,10,FALSE),"CHECK")))</f>
        <v>924.70218354837266</v>
      </c>
      <c r="V183">
        <f>(1*VLOOKUP(A183,FaultGeometry!B:C,2,FALSE))-Q183-AA183</f>
        <v>1</v>
      </c>
      <c r="W183">
        <f>V183*(VLOOKUP(A183,FaultGeometry!B:Y,24,FALSE))</f>
        <v>387012532309271.94</v>
      </c>
      <c r="X183">
        <f>V183*3.3*10^10*U183*10^6*(1/T183)*VLOOKUP(A183,FaultGeometry!B:O,14,FALSE)*10^-3</f>
        <v>1456861616726832.5</v>
      </c>
      <c r="Y183" t="str">
        <f t="shared" si="35"/>
        <v>NA</v>
      </c>
      <c r="Z183" t="str">
        <f>IF(C183="NA","NA",VLOOKUP(C183,MSSM_AdaptedSources!B:K,10,FALSE))</f>
        <v>NA</v>
      </c>
      <c r="AA183" t="str">
        <f>IF(C183="NA","0",VLOOKUP(C183,MultiFaultGeometry!B:C,2,FALSE)*IF(B183="NA",X$278/(X$278+X$276),X$278))</f>
        <v>0</v>
      </c>
      <c r="AB183">
        <f>AA183*IF(C183="NA",0,VLOOKUP(C183,MultiFaultGeometry!B:O,14,FALSE))</f>
        <v>0</v>
      </c>
      <c r="AC183">
        <f>IF(AB183=0,0,AA183*3.3*10^10*Z183*10^6*(1/Y183)*VLOOKUP(C183,MultiFaultGeometry!B:G,5,FALSE)*10^-3)</f>
        <v>0</v>
      </c>
      <c r="AE183" s="68">
        <f t="shared" si="30"/>
        <v>387012532309271.94</v>
      </c>
      <c r="AF183" s="68">
        <f t="shared" si="32"/>
        <v>1456861616726832.5</v>
      </c>
      <c r="AG183" s="68"/>
    </row>
    <row r="184" spans="1:33" x14ac:dyDescent="0.2">
      <c r="A184" s="68" t="str">
        <f>Leonard2010!D186</f>
        <v>Lweya</v>
      </c>
      <c r="B184" s="68" t="str">
        <f>Leonard2010!E186</f>
        <v>Lweya South</v>
      </c>
      <c r="C184" s="68" t="str">
        <f>Leonard2010!F186</f>
        <v>NA</v>
      </c>
      <c r="D184">
        <f>IF(B184="NA","NA",VLOOKUP(B184,Leonard2010!E:H,3,FALSE))</f>
        <v>17</v>
      </c>
      <c r="E184">
        <f>IF(A184="NA","NA",VLOOKUP(A184,Leonard2010!D:I,6,FALSE))</f>
        <v>37.199999999999996</v>
      </c>
      <c r="F184" t="str">
        <f>IF(C184="NA","NA",VLOOKUP(C184,Leonard2010!F:K,6,FALSE))</f>
        <v>NA</v>
      </c>
      <c r="G184">
        <f>IF(B184="NA","NA",VLOOKUP(B184,Leonard2010!E:H,4,FALSE))</f>
        <v>208</v>
      </c>
      <c r="H184">
        <f>IF(A184="NA","NA",VLOOKUP(A184,Leonard2010!D:J,7,FALSE))</f>
        <v>195</v>
      </c>
      <c r="I184" t="str">
        <f>IF(C184="NA","NA",VLOOKUP(C184,Leonard2010!F:L,7,FALSE))</f>
        <v>NA</v>
      </c>
      <c r="J184">
        <f>IF(A184="NA","NA",VLOOKUP(A184,Leonard2010!D:N,11,FALSE))</f>
        <v>53</v>
      </c>
      <c r="K184" t="s">
        <v>211</v>
      </c>
      <c r="L184">
        <f>VLOOKUP(A184,Leonard2010!D:AJ,32,FALSE)</f>
        <v>59</v>
      </c>
      <c r="M184">
        <f>VLOOKUP($A184,Leonard2010!D:AK,33,FALSE)</f>
        <v>76</v>
      </c>
      <c r="N184">
        <f>VLOOKUP($A184,Leonard2010!D:AL,34,FALSE)</f>
        <v>93</v>
      </c>
      <c r="O184">
        <f t="shared" si="29"/>
        <v>0.74314482547739424</v>
      </c>
      <c r="P184">
        <f t="shared" si="38"/>
        <v>745.02071660295428</v>
      </c>
      <c r="Q184">
        <f>IF(B184="NA","0",VLOOKUP(B184,SectionGeometry!C:E,3,FALSE)*IF(C184="NA",X$277/(X$277+X$276),X$277))</f>
        <v>0.25</v>
      </c>
      <c r="R184">
        <f>Q184*IF(B184="NA",0,((VLOOKUP(B184,SectionGeometry!C:Z,24,FALSE))))</f>
        <v>54077540578091.141</v>
      </c>
      <c r="S184">
        <f>IF(R184=0,0,Q184*3.3*10^10*P184*10^6*(1/O184)*VLOOKUP(B184,SectionGeometry!C:AA,25,FALSE)*10^-3)</f>
        <v>289446919365060.81</v>
      </c>
      <c r="T184">
        <f t="shared" si="31"/>
        <v>0.87461970713939585</v>
      </c>
      <c r="U184">
        <f>IF(K184="N",E184*35/SIN(RADIANS(J184)),IF(K184="Y",VLOOKUP(A184,Leonard2010!D:U,18,FALSE),IF(C184="NA",VLOOKUP(A184,MSSM_AdaptedSources!B:K,10,FALSE),"CHECK")))</f>
        <v>1630.2806269194054</v>
      </c>
      <c r="V184">
        <f>(1*VLOOKUP(A184,FaultGeometry!B:C,2,FALSE))-Q184-AA184</f>
        <v>0.75</v>
      </c>
      <c r="W184">
        <f>V184*(VLOOKUP(A184,FaultGeometry!B:Y,24,FALSE))</f>
        <v>736017226891899.5</v>
      </c>
      <c r="X184">
        <f>V184*3.3*10^10*U184*10^6*(1/T184)*VLOOKUP(A184,FaultGeometry!B:O,14,FALSE)*10^-3</f>
        <v>1900238009976827.2</v>
      </c>
      <c r="Y184" t="str">
        <f t="shared" si="35"/>
        <v>NA</v>
      </c>
      <c r="Z184" t="str">
        <f>IF(C184="NA","NA",VLOOKUP(C184,MSSM_AdaptedSources!B:K,10,FALSE))</f>
        <v>NA</v>
      </c>
      <c r="AA184" t="str">
        <f>IF(C184="NA","0",VLOOKUP(C184,MultiFaultGeometry!B:C,2,FALSE)*IF(B184="NA",X$278/(X$278+X$276),X$278))</f>
        <v>0</v>
      </c>
      <c r="AB184">
        <f>AA184*IF(C184="NA",0,VLOOKUP(C184,MultiFaultGeometry!B:O,14,FALSE))</f>
        <v>0</v>
      </c>
      <c r="AC184">
        <f>IF(AB184=0,0,AA184*3.3*10^10*Z184*10^6*(1/Y184)*VLOOKUP(C184,MultiFaultGeometry!B:G,5,FALSE)*10^-3)</f>
        <v>0</v>
      </c>
      <c r="AE184" s="68">
        <f t="shared" si="30"/>
        <v>0</v>
      </c>
      <c r="AF184" s="68">
        <f t="shared" si="32"/>
        <v>0</v>
      </c>
      <c r="AG184" s="68"/>
    </row>
    <row r="185" spans="1:33" x14ac:dyDescent="0.2">
      <c r="A185" s="68" t="str">
        <f>Leonard2010!D187</f>
        <v>Lweya</v>
      </c>
      <c r="B185" s="68" t="str">
        <f>Leonard2010!E187</f>
        <v>Lweya Link</v>
      </c>
      <c r="C185" s="68" t="str">
        <f>Leonard2010!F187</f>
        <v>NA</v>
      </c>
      <c r="D185">
        <f>IF(B185="NA","NA",VLOOKUP(B185,Leonard2010!E:H,3,FALSE))</f>
        <v>2.4</v>
      </c>
      <c r="E185">
        <f>IF(A185="NA","NA",VLOOKUP(A185,Leonard2010!D:I,6,FALSE))</f>
        <v>37.199999999999996</v>
      </c>
      <c r="F185" t="str">
        <f>IF(C185="NA","NA",VLOOKUP(C185,Leonard2010!F:K,6,FALSE))</f>
        <v>NA</v>
      </c>
      <c r="G185">
        <f>IF(B185="NA","NA",VLOOKUP(B185,Leonard2010!E:H,4,FALSE))</f>
        <v>145</v>
      </c>
      <c r="H185">
        <f>IF(A185="NA","NA",VLOOKUP(A185,Leonard2010!D:J,7,FALSE))</f>
        <v>195</v>
      </c>
      <c r="I185" t="str">
        <f>IF(C185="NA","NA",VLOOKUP(C185,Leonard2010!F:L,7,FALSE))</f>
        <v>NA</v>
      </c>
      <c r="J185">
        <f>IF(A185="NA","NA",VLOOKUP(A185,Leonard2010!D:N,11,FALSE))</f>
        <v>53</v>
      </c>
      <c r="K185" t="s">
        <v>211</v>
      </c>
      <c r="L185">
        <f>VLOOKUP(A185,Leonard2010!D:AJ,32,FALSE)</f>
        <v>59</v>
      </c>
      <c r="M185">
        <f>VLOOKUP($A185,Leonard2010!D:AK,33,FALSE)</f>
        <v>76</v>
      </c>
      <c r="N185">
        <f>VLOOKUP($A185,Leonard2010!D:AL,34,FALSE)</f>
        <v>93</v>
      </c>
      <c r="O185">
        <f t="shared" si="29"/>
        <v>0.93358042649720174</v>
      </c>
      <c r="P185">
        <f t="shared" si="38"/>
        <v>105.17939528512295</v>
      </c>
      <c r="Q185">
        <f>IF(B185="NA","0",VLOOKUP(B185,SectionGeometry!C:E,3,FALSE)*IF(C185="NA",X$277/(X$277+X$276),X$277))</f>
        <v>0.25</v>
      </c>
      <c r="R185">
        <f>Q185*IF(B185="NA",0,((VLOOKUP(B185,SectionGeometry!C:Z,24,FALSE))))</f>
        <v>0</v>
      </c>
      <c r="S185">
        <f>IF(R185=0,0,Q185*3.3*10^10*P185*10^6*(1/O185)*VLOOKUP(B185,SectionGeometry!C:AA,25,FALSE)*10^-3)</f>
        <v>0</v>
      </c>
      <c r="T185">
        <f t="shared" si="31"/>
        <v>0.87461970713939585</v>
      </c>
      <c r="U185">
        <f>IF(K185="N",E185*35/SIN(RADIANS(J185)),IF(K185="Y",VLOOKUP(A185,Leonard2010!D:U,18,FALSE),IF(C185="NA",VLOOKUP(A185,MSSM_AdaptedSources!B:K,10,FALSE),"CHECK")))</f>
        <v>1630.2806269194054</v>
      </c>
      <c r="V185">
        <f>(1*VLOOKUP(A185,FaultGeometry!B:C,2,FALSE))-Q185-AA185</f>
        <v>0.75</v>
      </c>
      <c r="W185">
        <f>V185*(VLOOKUP(A185,FaultGeometry!B:Y,24,FALSE))</f>
        <v>736017226891899.5</v>
      </c>
      <c r="X185">
        <f>V185*3.3*10^10*U185*10^6*(1/T185)*VLOOKUP(A185,FaultGeometry!B:O,14,FALSE)*10^-3</f>
        <v>1900238009976827.2</v>
      </c>
      <c r="Y185" t="str">
        <f t="shared" si="35"/>
        <v>NA</v>
      </c>
      <c r="Z185" t="str">
        <f>IF(C185="NA","NA",VLOOKUP(C185,MSSM_AdaptedSources!B:K,10,FALSE))</f>
        <v>NA</v>
      </c>
      <c r="AA185" t="str">
        <f>IF(C185="NA","0",VLOOKUP(C185,MultiFaultGeometry!B:C,2,FALSE)*IF(B185="NA",X$278/(X$278+X$276),X$278))</f>
        <v>0</v>
      </c>
      <c r="AB185">
        <f>AA185*IF(C185="NA",0,VLOOKUP(C185,MultiFaultGeometry!B:O,14,FALSE))</f>
        <v>0</v>
      </c>
      <c r="AC185">
        <f>IF(AB185=0,0,AA185*3.3*10^10*Z185*10^6*(1/Y185)*VLOOKUP(C185,MultiFaultGeometry!B:G,5,FALSE)*10^-3)</f>
        <v>0</v>
      </c>
      <c r="AE185" s="68">
        <f t="shared" si="30"/>
        <v>0</v>
      </c>
      <c r="AF185" s="68">
        <f t="shared" si="32"/>
        <v>0</v>
      </c>
      <c r="AG185" s="68"/>
    </row>
    <row r="186" spans="1:33" x14ac:dyDescent="0.2">
      <c r="A186" s="68" t="str">
        <f>Leonard2010!D188</f>
        <v>Lweya</v>
      </c>
      <c r="B186" s="68" t="str">
        <f>Leonard2010!E188</f>
        <v>Lweya Central</v>
      </c>
      <c r="C186" s="68" t="str">
        <f>Leonard2010!F188</f>
        <v>NA</v>
      </c>
      <c r="D186">
        <f>IF(B186="NA","NA",VLOOKUP(B186,Leonard2010!E:H,3,FALSE))</f>
        <v>11.7</v>
      </c>
      <c r="E186">
        <f>IF(A186="NA","NA",VLOOKUP(A186,Leonard2010!D:I,6,FALSE))</f>
        <v>37.199999999999996</v>
      </c>
      <c r="F186" t="str">
        <f>IF(C186="NA","NA",VLOOKUP(C186,Leonard2010!F:K,6,FALSE))</f>
        <v>NA</v>
      </c>
      <c r="G186">
        <f>IF(B186="NA","NA",VLOOKUP(B186,Leonard2010!E:H,4,FALSE))</f>
        <v>209</v>
      </c>
      <c r="H186">
        <f>IF(A186="NA","NA",VLOOKUP(A186,Leonard2010!D:J,7,FALSE))</f>
        <v>195</v>
      </c>
      <c r="I186" t="str">
        <f>IF(C186="NA","NA",VLOOKUP(C186,Leonard2010!F:L,7,FALSE))</f>
        <v>NA</v>
      </c>
      <c r="J186">
        <f>IF(A186="NA","NA",VLOOKUP(A186,Leonard2010!D:N,11,FALSE))</f>
        <v>53</v>
      </c>
      <c r="K186" t="s">
        <v>211</v>
      </c>
      <c r="L186">
        <f>VLOOKUP(A186,Leonard2010!D:AJ,32,FALSE)</f>
        <v>59</v>
      </c>
      <c r="M186">
        <f>VLOOKUP($A186,Leonard2010!D:AK,33,FALSE)</f>
        <v>76</v>
      </c>
      <c r="N186">
        <f>VLOOKUP($A186,Leonard2010!D:AL,34,FALSE)</f>
        <v>93</v>
      </c>
      <c r="O186">
        <f t="shared" si="29"/>
        <v>0.73135370161917057</v>
      </c>
      <c r="P186">
        <f t="shared" si="38"/>
        <v>512.74955201497437</v>
      </c>
      <c r="Q186">
        <f>IF(B186="NA","0",VLOOKUP(B186,SectionGeometry!C:E,3,FALSE)*IF(C186="NA",X$277/(X$277+X$276),X$277))</f>
        <v>0.25</v>
      </c>
      <c r="R186">
        <f>Q186*IF(B186="NA",0,((VLOOKUP(B186,SectionGeometry!C:Z,24,FALSE))))</f>
        <v>28375842816736.668</v>
      </c>
      <c r="S186">
        <f>IF(R186=0,0,Q186*3.3*10^10*P186*10^6*(1/O186)*VLOOKUP(B186,SectionGeometry!C:AA,25,FALSE)*10^-3)</f>
        <v>199400759203969.31</v>
      </c>
      <c r="T186">
        <f t="shared" si="31"/>
        <v>0.87461970713939585</v>
      </c>
      <c r="U186">
        <f>IF(K186="N",E186*35/SIN(RADIANS(J186)),IF(K186="Y",VLOOKUP(A186,Leonard2010!D:U,18,FALSE),IF(C186="NA",VLOOKUP(A186,MSSM_AdaptedSources!B:K,10,FALSE),"CHECK")))</f>
        <v>1630.2806269194054</v>
      </c>
      <c r="V186">
        <f>(1*VLOOKUP(A186,FaultGeometry!B:C,2,FALSE))-Q186-AA186</f>
        <v>0.75</v>
      </c>
      <c r="W186">
        <f>V186*(VLOOKUP(A186,FaultGeometry!B:Y,24,FALSE))</f>
        <v>736017226891899.5</v>
      </c>
      <c r="X186">
        <f>V186*3.3*10^10*U186*10^6*(1/T186)*VLOOKUP(A186,FaultGeometry!B:O,14,FALSE)*10^-3</f>
        <v>1900238009976827.2</v>
      </c>
      <c r="Y186" t="str">
        <f t="shared" si="35"/>
        <v>NA</v>
      </c>
      <c r="Z186" t="str">
        <f>IF(C186="NA","NA",VLOOKUP(C186,MSSM_AdaptedSources!B:K,10,FALSE))</f>
        <v>NA</v>
      </c>
      <c r="AA186" t="str">
        <f>IF(C186="NA","0",VLOOKUP(C186,MultiFaultGeometry!B:C,2,FALSE)*IF(B186="NA",X$278/(X$278+X$276),X$278))</f>
        <v>0</v>
      </c>
      <c r="AB186">
        <f>AA186*IF(C186="NA",0,VLOOKUP(C186,MultiFaultGeometry!B:O,14,FALSE))</f>
        <v>0</v>
      </c>
      <c r="AC186">
        <f>IF(AB186=0,0,AA186*3.3*10^10*Z186*10^6*(1/Y186)*VLOOKUP(C186,MultiFaultGeometry!B:G,5,FALSE)*10^-3)</f>
        <v>0</v>
      </c>
      <c r="AE186" s="68">
        <f t="shared" si="30"/>
        <v>0</v>
      </c>
      <c r="AF186" s="68">
        <f t="shared" si="32"/>
        <v>0</v>
      </c>
      <c r="AG186" s="68"/>
    </row>
    <row r="187" spans="1:33" x14ac:dyDescent="0.2">
      <c r="A187" s="68" t="str">
        <f>Leonard2010!D189</f>
        <v>Lweya</v>
      </c>
      <c r="B187" s="68" t="str">
        <f>Leonard2010!E189</f>
        <v>Lweya North</v>
      </c>
      <c r="C187" s="68" t="str">
        <f>Leonard2010!F189</f>
        <v>NA</v>
      </c>
      <c r="D187">
        <f>IF(B187="NA","NA",VLOOKUP(B187,Leonard2010!E:H,3,FALSE))</f>
        <v>6.1</v>
      </c>
      <c r="E187">
        <f>IF(A187="NA","NA",VLOOKUP(A187,Leonard2010!D:I,6,FALSE))</f>
        <v>37.199999999999996</v>
      </c>
      <c r="F187" t="str">
        <f>IF(C187="NA","NA",VLOOKUP(C187,Leonard2010!F:K,6,FALSE))</f>
        <v>NA</v>
      </c>
      <c r="G187">
        <f>IF(B187="NA","NA",VLOOKUP(B187,Leonard2010!E:H,4,FALSE))</f>
        <v>145</v>
      </c>
      <c r="H187">
        <f>IF(A187="NA","NA",VLOOKUP(A187,Leonard2010!D:J,7,FALSE))</f>
        <v>195</v>
      </c>
      <c r="I187" t="str">
        <f>IF(C187="NA","NA",VLOOKUP(C187,Leonard2010!F:L,7,FALSE))</f>
        <v>NA</v>
      </c>
      <c r="J187">
        <f>IF(A187="NA","NA",VLOOKUP(A187,Leonard2010!D:N,11,FALSE))</f>
        <v>53</v>
      </c>
      <c r="K187" t="s">
        <v>211</v>
      </c>
      <c r="L187">
        <f>VLOOKUP(A187,Leonard2010!D:AJ,32,FALSE)</f>
        <v>59</v>
      </c>
      <c r="M187">
        <f>VLOOKUP($A187,Leonard2010!D:AK,33,FALSE)</f>
        <v>76</v>
      </c>
      <c r="N187">
        <f>VLOOKUP($A187,Leonard2010!D:AL,34,FALSE)</f>
        <v>93</v>
      </c>
      <c r="O187">
        <f t="shared" si="29"/>
        <v>0.93358042649720174</v>
      </c>
      <c r="P187">
        <f t="shared" si="38"/>
        <v>267.33096301635419</v>
      </c>
      <c r="Q187">
        <f>IF(B187="NA","0",VLOOKUP(B187,SectionGeometry!C:E,3,FALSE)*IF(C187="NA",X$277/(X$277+X$276),X$277))</f>
        <v>0.25</v>
      </c>
      <c r="R187">
        <f>Q187*IF(B187="NA",0,((VLOOKUP(B187,SectionGeometry!C:Z,24,FALSE))))</f>
        <v>12495947056304.141</v>
      </c>
      <c r="S187">
        <f>IF(R187=0,0,Q187*3.3*10^10*P187*10^6*(1/O187)*VLOOKUP(B187,SectionGeometry!C:AA,25,FALSE)*10^-3)</f>
        <v>104532460129359.73</v>
      </c>
      <c r="T187">
        <f t="shared" si="31"/>
        <v>0.87461970713939585</v>
      </c>
      <c r="U187">
        <f>IF(K187="N",E187*35/SIN(RADIANS(J187)),IF(K187="Y",VLOOKUP(A187,Leonard2010!D:U,18,FALSE),IF(C187="NA",VLOOKUP(A187,MSSM_AdaptedSources!B:K,10,FALSE),"CHECK")))</f>
        <v>1630.2806269194054</v>
      </c>
      <c r="V187">
        <f>(1*VLOOKUP(A187,FaultGeometry!B:C,2,FALSE))-Q187-AA187</f>
        <v>0.75</v>
      </c>
      <c r="W187">
        <f>V187*(VLOOKUP(A187,FaultGeometry!B:Y,24,FALSE))</f>
        <v>736017226891899.5</v>
      </c>
      <c r="X187">
        <f>V187*3.3*10^10*U187*10^6*(1/T187)*VLOOKUP(A187,FaultGeometry!B:O,14,FALSE)*10^-3</f>
        <v>1900238009976827.2</v>
      </c>
      <c r="Y187" t="str">
        <f t="shared" si="35"/>
        <v>NA</v>
      </c>
      <c r="Z187" t="str">
        <f>IF(C187="NA","NA",VLOOKUP(C187,MSSM_AdaptedSources!B:K,10,FALSE))</f>
        <v>NA</v>
      </c>
      <c r="AA187" t="str">
        <f>IF(C187="NA","0",VLOOKUP(C187,MultiFaultGeometry!B:C,2,FALSE)*IF(B187="NA",X$278/(X$278+X$276),X$278))</f>
        <v>0</v>
      </c>
      <c r="AB187">
        <f>AA187*IF(C187="NA",0,VLOOKUP(C187,MultiFaultGeometry!B:O,14,FALSE))</f>
        <v>0</v>
      </c>
      <c r="AC187">
        <f>IF(AB187=0,0,AA187*3.3*10^10*Z187*10^6*(1/Y187)*VLOOKUP(C187,MultiFaultGeometry!B:G,5,FALSE)*10^-3)</f>
        <v>0</v>
      </c>
      <c r="AE187" s="68">
        <f t="shared" si="30"/>
        <v>736017226891899.5</v>
      </c>
      <c r="AF187" s="68">
        <f t="shared" si="32"/>
        <v>1900238009976827.2</v>
      </c>
      <c r="AG187" s="68"/>
    </row>
    <row r="188" spans="1:33" x14ac:dyDescent="0.2">
      <c r="A188" s="68" t="str">
        <f>Leonard2010!D190</f>
        <v>Usisya Main</v>
      </c>
      <c r="B188" s="68" t="str">
        <f>Leonard2010!E190</f>
        <v>Usisya Main South</v>
      </c>
      <c r="C188" s="68" t="str">
        <f>Leonard2010!F190</f>
        <v>Usisya</v>
      </c>
      <c r="D188">
        <f>IF(B188="NA","NA",VLOOKUP(B188,Leonard2010!E:H,3,FALSE))</f>
        <v>50.9</v>
      </c>
      <c r="E188">
        <f>IF(A188="NA","NA",VLOOKUP(A188,Leonard2010!D:I,6,FALSE))</f>
        <v>120.9</v>
      </c>
      <c r="F188">
        <f>IF(C188="NA","NA",VLOOKUP(C188,Leonard2010!F:K,6,FALSE))</f>
        <v>214.20000000000002</v>
      </c>
      <c r="G188">
        <f>IF(B188="NA","NA",VLOOKUP(B188,Leonard2010!E:H,4,FALSE))</f>
        <v>340</v>
      </c>
      <c r="H188">
        <f>IF(A188="NA","NA",VLOOKUP(A188,Leonard2010!D:J,7,FALSE))</f>
        <v>347</v>
      </c>
      <c r="I188">
        <f>IF(C188="NA","NA",VLOOKUP(C188,Leonard2010!F:L,7,FALSE))</f>
        <v>2</v>
      </c>
      <c r="J188">
        <f>IF(A188="NA","NA",VLOOKUP(A188,Leonard2010!D:N,11,FALSE))</f>
        <v>53</v>
      </c>
      <c r="K188" t="s">
        <v>211</v>
      </c>
      <c r="L188">
        <f>VLOOKUP(A188,Leonard2010!D:AJ,32,FALSE)</f>
        <v>59</v>
      </c>
      <c r="M188">
        <f>VLOOKUP($A188,Leonard2010!D:AK,33,FALSE)</f>
        <v>76</v>
      </c>
      <c r="N188">
        <f>VLOOKUP($A188,Leonard2010!D:AL,34,FALSE)</f>
        <v>93</v>
      </c>
      <c r="O188">
        <f t="shared" si="29"/>
        <v>0.98162718344766386</v>
      </c>
      <c r="P188">
        <f t="shared" si="38"/>
        <v>2230.6796750053159</v>
      </c>
      <c r="Q188">
        <f>IF(B188="NA","0",VLOOKUP(B188,SectionGeometry!C:E,3,FALSE)*IF(C188="NA",X$277/(X$277+X$276),X$277))</f>
        <v>0.1</v>
      </c>
      <c r="R188">
        <f>Q188*IF(B188="NA",0,((VLOOKUP(B188,SectionGeometry!C:Z,24,FALSE))))</f>
        <v>5050501602341312</v>
      </c>
      <c r="S188">
        <f>IF(R188=0,0,Q188*3.3*10^10*P188*10^6*(1/O188)*VLOOKUP(B188,SectionGeometry!C:AA,25,FALSE)*10^-3)</f>
        <v>9868148405045970</v>
      </c>
      <c r="T188">
        <f t="shared" si="31"/>
        <v>0.96126169593831889</v>
      </c>
      <c r="U188">
        <f>IF(K188="N",E188*35/SIN(RADIANS(J188)),IF(K188="Y",VLOOKUP(A188,Leonard2010!D:U,18,FALSE),IF(C188="NA",VLOOKUP(A188,MSSM_AdaptedSources!B:K,10,FALSE),"CHECK")))</f>
        <v>5298.4120374880686</v>
      </c>
      <c r="V188">
        <f>(1*VLOOKUP(A188,FaultGeometry!B:C,2,FALSE))-Q188-AA188</f>
        <v>0.30000000000000004</v>
      </c>
      <c r="W188">
        <f>V188*(VLOOKUP(A188,FaultGeometry!B:Y,24,FALSE))</f>
        <v>6.9931972437679024E+16</v>
      </c>
      <c r="X188">
        <f>V188*3.3*10^10*U188*10^6*(1/T188)*VLOOKUP(A188,FaultGeometry!B:O,14,FALSE)*10^-3</f>
        <v>7.1479959273004032E+16</v>
      </c>
      <c r="Y188">
        <f t="shared" si="35"/>
        <v>0.96126169593831889</v>
      </c>
      <c r="Z188">
        <f>IF(C188="NA","NA",VLOOKUP(C188,MSSM_AdaptedSources!B:K,10,FALSE))</f>
        <v>8687.6855534565366</v>
      </c>
      <c r="AA188">
        <f>IF(C188="NA","0",VLOOKUP(C188,MultiFaultGeometry!B:C,2,FALSE)*IF(B188="NA",X$278/(X$278+X$276),X$278))</f>
        <v>0.6</v>
      </c>
      <c r="AB188">
        <f>AA188*IF(C188="NA",0,VLOOKUP(C188,MultiFaultGeometry!B:O,14,FALSE))</f>
        <v>2.0243335268998067E+17</v>
      </c>
      <c r="AC188">
        <f>IF(AB188=0,0,AA188*3.3*10^10*Z188*10^6*(1/Y188)*VLOOKUP(C188,MultiFaultGeometry!B:G,5,FALSE)*10^-3)</f>
        <v>2.2603823317732397E+17</v>
      </c>
      <c r="AE188" s="68">
        <f t="shared" si="30"/>
        <v>0</v>
      </c>
      <c r="AF188" s="68">
        <f t="shared" si="32"/>
        <v>0</v>
      </c>
      <c r="AG188" s="68"/>
    </row>
    <row r="189" spans="1:33" x14ac:dyDescent="0.2">
      <c r="A189" s="68" t="str">
        <f>Leonard2010!D191</f>
        <v>Usisya Main</v>
      </c>
      <c r="B189" s="68" t="str">
        <f>Leonard2010!E191</f>
        <v>Usisya Main Link</v>
      </c>
      <c r="C189" s="68" t="str">
        <f>Leonard2010!F191</f>
        <v>Usisya</v>
      </c>
      <c r="D189">
        <f>IF(B189="NA","NA",VLOOKUP(B189,Leonard2010!E:H,3,FALSE))</f>
        <v>3.5</v>
      </c>
      <c r="E189">
        <f>IF(A189="NA","NA",VLOOKUP(A189,Leonard2010!D:I,6,FALSE))</f>
        <v>120.9</v>
      </c>
      <c r="F189">
        <f>IF(C189="NA","NA",VLOOKUP(C189,Leonard2010!F:K,6,FALSE))</f>
        <v>214.20000000000002</v>
      </c>
      <c r="G189">
        <f>IF(B189="NA","NA",VLOOKUP(B189,Leonard2010!E:H,4,FALSE))</f>
        <v>294</v>
      </c>
      <c r="H189">
        <f>IF(A189="NA","NA",VLOOKUP(A189,Leonard2010!D:J,7,FALSE))</f>
        <v>347</v>
      </c>
      <c r="I189">
        <f>IF(C189="NA","NA",VLOOKUP(C189,Leonard2010!F:L,7,FALSE))</f>
        <v>2</v>
      </c>
      <c r="J189">
        <f>IF(A189="NA","NA",VLOOKUP(A189,Leonard2010!D:N,11,FALSE))</f>
        <v>53</v>
      </c>
      <c r="K189" t="s">
        <v>211</v>
      </c>
      <c r="L189">
        <f>VLOOKUP(A189,Leonard2010!D:AJ,32,FALSE)</f>
        <v>59</v>
      </c>
      <c r="M189">
        <f>VLOOKUP($A189,Leonard2010!D:AK,33,FALSE)</f>
        <v>76</v>
      </c>
      <c r="N189">
        <f>VLOOKUP($A189,Leonard2010!D:AL,34,FALSE)</f>
        <v>93</v>
      </c>
      <c r="O189">
        <f t="shared" si="29"/>
        <v>0.61566147532565851</v>
      </c>
      <c r="P189">
        <f t="shared" si="38"/>
        <v>153.38661812413764</v>
      </c>
      <c r="Q189">
        <f>IF(B189="NA","0",VLOOKUP(B189,SectionGeometry!C:E,3,FALSE)*IF(C189="NA",X$277/(X$277+X$276),X$277))</f>
        <v>0.1</v>
      </c>
      <c r="R189">
        <f>Q189*IF(B189="NA",0,((VLOOKUP(B189,SectionGeometry!C:Z,24,FALSE))))</f>
        <v>0</v>
      </c>
      <c r="S189">
        <f>IF(R189=0,0,Q189*3.3*10^10*P189*10^6*(1/O189)*VLOOKUP(B189,SectionGeometry!C:AA,25,FALSE)*10^-3)</f>
        <v>0</v>
      </c>
      <c r="T189">
        <f t="shared" si="31"/>
        <v>0.96126169593831889</v>
      </c>
      <c r="U189">
        <f>IF(K189="N",E189*35/SIN(RADIANS(J189)),IF(K189="Y",VLOOKUP(A189,Leonard2010!D:U,18,FALSE),IF(C189="NA",VLOOKUP(A189,MSSM_AdaptedSources!B:K,10,FALSE),"CHECK")))</f>
        <v>5298.4120374880686</v>
      </c>
      <c r="V189">
        <f>(1*VLOOKUP(A189,FaultGeometry!B:C,2,FALSE))-Q189-AA189</f>
        <v>0.30000000000000004</v>
      </c>
      <c r="W189">
        <f>V189*(VLOOKUP(A189,FaultGeometry!B:Y,24,FALSE))</f>
        <v>6.9931972437679024E+16</v>
      </c>
      <c r="X189">
        <f>V189*3.3*10^10*U189*10^6*(1/T189)*VLOOKUP(A189,FaultGeometry!B:O,14,FALSE)*10^-3</f>
        <v>7.1479959273004032E+16</v>
      </c>
      <c r="Y189">
        <f t="shared" si="35"/>
        <v>0.96126169593831889</v>
      </c>
      <c r="Z189">
        <f>IF(C189="NA","NA",VLOOKUP(C189,MSSM_AdaptedSources!B:K,10,FALSE))</f>
        <v>8687.6855534565366</v>
      </c>
      <c r="AA189">
        <f>IF(C189="NA","0",VLOOKUP(C189,MultiFaultGeometry!B:C,2,FALSE)*IF(B189="NA",X$278/(X$278+X$276),X$278))</f>
        <v>0.6</v>
      </c>
      <c r="AB189">
        <f>AA189*IF(C189="NA",0,VLOOKUP(C189,MultiFaultGeometry!B:O,14,FALSE))</f>
        <v>2.0243335268998067E+17</v>
      </c>
      <c r="AC189">
        <f>IF(AB189=0,0,AA189*3.3*10^10*Z189*10^6*(1/Y189)*VLOOKUP(C189,MultiFaultGeometry!B:G,5,FALSE)*10^-3)</f>
        <v>2.2603823317732397E+17</v>
      </c>
      <c r="AE189" s="68">
        <f t="shared" si="30"/>
        <v>0</v>
      </c>
      <c r="AF189" s="68">
        <f t="shared" si="32"/>
        <v>0</v>
      </c>
      <c r="AG189" s="68"/>
    </row>
    <row r="190" spans="1:33" x14ac:dyDescent="0.2">
      <c r="A190" s="68" t="str">
        <f>Leonard2010!D192</f>
        <v>Usisya Main</v>
      </c>
      <c r="B190" s="68" t="str">
        <f>Leonard2010!E192</f>
        <v>Usisya Main North</v>
      </c>
      <c r="C190" s="68" t="str">
        <f>Leonard2010!F192</f>
        <v>Usisya</v>
      </c>
      <c r="D190">
        <f>IF(B190="NA","NA",VLOOKUP(B190,Leonard2010!E:H,3,FALSE))</f>
        <v>66.5</v>
      </c>
      <c r="E190">
        <f>IF(A190="NA","NA",VLOOKUP(A190,Leonard2010!D:I,6,FALSE))</f>
        <v>120.9</v>
      </c>
      <c r="F190">
        <f>IF(C190="NA","NA",VLOOKUP(C190,Leonard2010!F:K,6,FALSE))</f>
        <v>214.20000000000002</v>
      </c>
      <c r="G190">
        <f>IF(B190="NA","NA",VLOOKUP(B190,Leonard2010!E:H,4,FALSE))</f>
        <v>355</v>
      </c>
      <c r="H190">
        <f>IF(A190="NA","NA",VLOOKUP(A190,Leonard2010!D:J,7,FALSE))</f>
        <v>347</v>
      </c>
      <c r="I190">
        <f>IF(C190="NA","NA",VLOOKUP(C190,Leonard2010!F:L,7,FALSE))</f>
        <v>2</v>
      </c>
      <c r="J190">
        <f>IF(A190="NA","NA",VLOOKUP(A190,Leonard2010!D:N,11,FALSE))</f>
        <v>53</v>
      </c>
      <c r="K190" t="s">
        <v>211</v>
      </c>
      <c r="L190">
        <f>VLOOKUP(A190,Leonard2010!D:AJ,32,FALSE)</f>
        <v>59</v>
      </c>
      <c r="M190">
        <f>VLOOKUP($A190,Leonard2010!D:AK,33,FALSE)</f>
        <v>76</v>
      </c>
      <c r="N190">
        <f>VLOOKUP($A190,Leonard2010!D:AL,34,FALSE)</f>
        <v>93</v>
      </c>
      <c r="O190">
        <f t="shared" si="29"/>
        <v>0.98768834059513777</v>
      </c>
      <c r="P190">
        <f t="shared" si="38"/>
        <v>2914.3457443586153</v>
      </c>
      <c r="Q190">
        <f>IF(B190="NA","0",VLOOKUP(B190,SectionGeometry!C:E,3,FALSE)*IF(C190="NA",X$277/(X$277+X$276),X$277))</f>
        <v>0.1</v>
      </c>
      <c r="R190">
        <f>Q190*IF(B190="NA",0,((VLOOKUP(B190,SectionGeometry!C:Z,24,FALSE))))</f>
        <v>7578762171632695</v>
      </c>
      <c r="S190">
        <f>IF(R190=0,0,Q190*3.3*10^10*P190*10^6*(1/O190)*VLOOKUP(B190,SectionGeometry!C:AA,25,FALSE)*10^-3)</f>
        <v>1.2622632875574256E+16</v>
      </c>
      <c r="T190">
        <f t="shared" si="31"/>
        <v>0.96126169593831889</v>
      </c>
      <c r="U190">
        <f>IF(K190="N",E190*35/SIN(RADIANS(J190)),IF(K190="Y",VLOOKUP(A190,Leonard2010!D:U,18,FALSE),IF(C190="NA",VLOOKUP(A190,MSSM_AdaptedSources!B:K,10,FALSE),"CHECK")))</f>
        <v>5298.4120374880686</v>
      </c>
      <c r="V190">
        <f>(1*VLOOKUP(A190,FaultGeometry!B:C,2,FALSE))-Q190-AA190</f>
        <v>0.30000000000000004</v>
      </c>
      <c r="W190">
        <f>V190*(VLOOKUP(A190,FaultGeometry!B:Y,24,FALSE))</f>
        <v>6.9931972437679024E+16</v>
      </c>
      <c r="X190">
        <f>V190*3.3*10^10*U190*10^6*(1/T190)*VLOOKUP(A190,FaultGeometry!B:O,14,FALSE)*10^-3</f>
        <v>7.1479959273004032E+16</v>
      </c>
      <c r="Y190">
        <f t="shared" si="35"/>
        <v>0.96126169593831889</v>
      </c>
      <c r="Z190">
        <f>IF(C190="NA","NA",VLOOKUP(C190,MSSM_AdaptedSources!B:K,10,FALSE))</f>
        <v>8687.6855534565366</v>
      </c>
      <c r="AA190">
        <f>IF(C190="NA","0",VLOOKUP(C190,MultiFaultGeometry!B:C,2,FALSE)*IF(B190="NA",X$278/(X$278+X$276),X$278))</f>
        <v>0.6</v>
      </c>
      <c r="AB190">
        <f>AA190*IF(C190="NA",0,VLOOKUP(C190,MultiFaultGeometry!B:O,14,FALSE))</f>
        <v>2.0243335268998067E+17</v>
      </c>
      <c r="AC190">
        <f>IF(AB190=0,0,AA190*3.3*10^10*Z190*10^6*(1/Y190)*VLOOKUP(C190,MultiFaultGeometry!B:G,5,FALSE)*10^-3)</f>
        <v>2.2603823317732397E+17</v>
      </c>
      <c r="AE190" s="68">
        <f t="shared" si="30"/>
        <v>6.9931972437679024E+16</v>
      </c>
      <c r="AF190" s="68">
        <f t="shared" si="32"/>
        <v>7.1479959273004032E+16</v>
      </c>
      <c r="AG190" s="68"/>
    </row>
    <row r="191" spans="1:33" x14ac:dyDescent="0.2">
      <c r="A191" s="68" t="str">
        <f>Leonard2010!D193</f>
        <v>Usisya North</v>
      </c>
      <c r="B191" s="68" t="str">
        <f>Leonard2010!E193</f>
        <v>NA</v>
      </c>
      <c r="C191" s="68" t="str">
        <f>Leonard2010!F193</f>
        <v>Usisya</v>
      </c>
      <c r="D191" t="str">
        <f>IF(B191="NA","NA",VLOOKUP(B191,Leonard2010!E:H,3,FALSE))</f>
        <v>NA</v>
      </c>
      <c r="E191">
        <f>IF(A191="NA","NA",VLOOKUP(A191,Leonard2010!D:I,6,FALSE))</f>
        <v>40.6</v>
      </c>
      <c r="F191">
        <f>IF(C191="NA","NA",VLOOKUP(C191,Leonard2010!F:K,6,FALSE))</f>
        <v>214.20000000000002</v>
      </c>
      <c r="G191" t="str">
        <f>IF(B191="NA","NA",VLOOKUP(B191,Leonard2010!E:H,4,FALSE))</f>
        <v>NA</v>
      </c>
      <c r="H191">
        <f>IF(A191="NA","NA",VLOOKUP(A191,Leonard2010!D:J,7,FALSE))</f>
        <v>356</v>
      </c>
      <c r="I191">
        <f>IF(C191="NA","NA",VLOOKUP(C191,Leonard2010!F:L,7,FALSE))</f>
        <v>2</v>
      </c>
      <c r="J191">
        <f>IF(A191="NA","NA",VLOOKUP(A191,Leonard2010!D:N,11,FALSE))</f>
        <v>53</v>
      </c>
      <c r="K191" t="s">
        <v>211</v>
      </c>
      <c r="L191">
        <f>VLOOKUP(A191,Leonard2010!D:AJ,32,FALSE)</f>
        <v>59</v>
      </c>
      <c r="M191">
        <f>VLOOKUP($A191,Leonard2010!D:AK,33,FALSE)</f>
        <v>76</v>
      </c>
      <c r="N191">
        <f>VLOOKUP($A191,Leonard2010!D:AL,34,FALSE)</f>
        <v>93</v>
      </c>
      <c r="O191" t="str">
        <f t="shared" si="29"/>
        <v>NA</v>
      </c>
      <c r="P191" t="str">
        <f t="shared" si="38"/>
        <v>NA</v>
      </c>
      <c r="Q191" t="str">
        <f>IF(B191="NA","0",VLOOKUP(B191,SectionGeometry!C:E,3,FALSE)*IF(C191="NA",X$277/(X$277+X$276),X$277))</f>
        <v>0</v>
      </c>
      <c r="R191">
        <f>Q191*IF(B191="NA",0,((VLOOKUP(B191,SectionGeometry!C:Z,24,FALSE))))</f>
        <v>0</v>
      </c>
      <c r="S191">
        <f>IF(R191=0,0,Q191*3.3*10^10*P191*10^6*(1/O191)*VLOOKUP(B191,SectionGeometry!C:AA,25,FALSE)*10^-3)</f>
        <v>0</v>
      </c>
      <c r="T191">
        <f t="shared" si="31"/>
        <v>0.98480775301220813</v>
      </c>
      <c r="U191">
        <f>IF(K191="N",E191*35/SIN(RADIANS(J191)),IF(K191="Y",VLOOKUP(A191,Leonard2010!D:U,18,FALSE),IF(C191="NA",VLOOKUP(A191,MSSM_AdaptedSources!B:K,10,FALSE),"CHECK")))</f>
        <v>1779.2847702399968</v>
      </c>
      <c r="V191">
        <f>(1*VLOOKUP(A191,FaultGeometry!B:C,2,FALSE))-Q191-AA191</f>
        <v>0.33333333333333326</v>
      </c>
      <c r="W191">
        <f>V191*(VLOOKUP(A191,FaultGeometry!B:Y,24,FALSE))</f>
        <v>1.2167016525694106E+16</v>
      </c>
      <c r="X191">
        <f>V191*3.3*10^10*U191*10^6*(1/T191)*VLOOKUP(A191,FaultGeometry!B:O,14,FALSE)*10^-3</f>
        <v>2.5784812133302016E+16</v>
      </c>
      <c r="Y191">
        <f t="shared" si="35"/>
        <v>0.96126169593831889</v>
      </c>
      <c r="Z191">
        <f>IF(C191="NA","NA",VLOOKUP(C191,MSSM_AdaptedSources!B:K,10,FALSE))</f>
        <v>8687.6855534565366</v>
      </c>
      <c r="AA191">
        <f>IF(C191="NA","0",VLOOKUP(C191,MultiFaultGeometry!B:C,2,FALSE)*IF(B191="NA",X$278/(X$278+X$276),X$278))</f>
        <v>0.66666666666666674</v>
      </c>
      <c r="AB191">
        <f>AA191*IF(C191="NA",0,VLOOKUP(C191,MultiFaultGeometry!B:O,14,FALSE))</f>
        <v>2.249259474333119E+17</v>
      </c>
      <c r="AC191">
        <f>IF(AB191=0,0,AA191*3.3*10^10*Z191*10^6*(1/Y191)*VLOOKUP(C191,MultiFaultGeometry!B:G,5,FALSE)*10^-3)</f>
        <v>2.5115359241924886E+17</v>
      </c>
      <c r="AE191" s="68">
        <f t="shared" si="30"/>
        <v>1.2167016525694106E+16</v>
      </c>
      <c r="AF191" s="68">
        <f t="shared" si="32"/>
        <v>2.5784812133302016E+16</v>
      </c>
      <c r="AG191" s="68"/>
    </row>
    <row r="192" spans="1:33" x14ac:dyDescent="0.2">
      <c r="A192" s="68" t="str">
        <f>Leonard2010!D194</f>
        <v>Usisya Tip-1</v>
      </c>
      <c r="B192" s="68" t="str">
        <f>Leonard2010!E194</f>
        <v>NA</v>
      </c>
      <c r="C192" s="68" t="str">
        <f>Leonard2010!F194</f>
        <v>Usisya</v>
      </c>
      <c r="D192" t="str">
        <f>IF(B192="NA","NA",VLOOKUP(B192,Leonard2010!E:H,3,FALSE))</f>
        <v>NA</v>
      </c>
      <c r="E192">
        <f>IF(A192="NA","NA",VLOOKUP(A192,Leonard2010!D:I,6,FALSE))</f>
        <v>14.9</v>
      </c>
      <c r="F192">
        <f>IF(C192="NA","NA",VLOOKUP(C192,Leonard2010!F:K,6,FALSE))</f>
        <v>214.20000000000002</v>
      </c>
      <c r="G192" t="str">
        <f>IF(B192="NA","NA",VLOOKUP(B192,Leonard2010!E:H,4,FALSE))</f>
        <v>NA</v>
      </c>
      <c r="H192">
        <f>IF(A192="NA","NA",VLOOKUP(A192,Leonard2010!D:J,7,FALSE))</f>
        <v>2</v>
      </c>
      <c r="I192">
        <f>IF(C192="NA","NA",VLOOKUP(C192,Leonard2010!F:L,7,FALSE))</f>
        <v>2</v>
      </c>
      <c r="J192">
        <f>IF(A192="NA","NA",VLOOKUP(A192,Leonard2010!D:N,11,FALSE))</f>
        <v>53</v>
      </c>
      <c r="K192" t="s">
        <v>211</v>
      </c>
      <c r="L192">
        <f>VLOOKUP(A192,Leonard2010!D:AJ,32,FALSE)</f>
        <v>59</v>
      </c>
      <c r="M192">
        <f>VLOOKUP($A192,Leonard2010!D:AK,33,FALSE)</f>
        <v>76</v>
      </c>
      <c r="N192">
        <f>VLOOKUP($A192,Leonard2010!D:AL,34,FALSE)</f>
        <v>93</v>
      </c>
      <c r="O192" t="str">
        <f t="shared" si="29"/>
        <v>NA</v>
      </c>
      <c r="P192" t="str">
        <f t="shared" si="38"/>
        <v>NA</v>
      </c>
      <c r="Q192" t="str">
        <f>IF(B192="NA","0",VLOOKUP(B192,SectionGeometry!C:E,3,FALSE)*IF(C192="NA",X$277/(X$277+X$276),X$277))</f>
        <v>0</v>
      </c>
      <c r="R192">
        <f>Q192*IF(B192="NA",0,((VLOOKUP(B192,SectionGeometry!C:Z,24,FALSE))))</f>
        <v>0</v>
      </c>
      <c r="S192">
        <f>IF(R192=0,0,Q192*3.3*10^10*P192*10^6*(1/O192)*VLOOKUP(B192,SectionGeometry!C:AA,25,FALSE)*10^-3)</f>
        <v>0</v>
      </c>
      <c r="T192">
        <f t="shared" si="31"/>
        <v>0.96126169593831889</v>
      </c>
      <c r="U192">
        <f>IF(K192="N",E192*35/SIN(RADIANS(J192)),IF(K192="Y",VLOOKUP(A192,Leonard2010!D:U,18,FALSE),IF(C192="NA",VLOOKUP(A192,MSSM_AdaptedSources!B:K,10,FALSE),"CHECK")))</f>
        <v>652.98874572847171</v>
      </c>
      <c r="V192">
        <f>(1*VLOOKUP(A192,FaultGeometry!B:C,2,FALSE))-Q192-AA192</f>
        <v>0.33333333333333326</v>
      </c>
      <c r="W192">
        <f>V192*(VLOOKUP(A192,FaultGeometry!B:Y,24,FALSE))</f>
        <v>2178959650685964.2</v>
      </c>
      <c r="X192">
        <f>V192*3.3*10^10*U192*10^6*(1/T192)*VLOOKUP(A192,FaultGeometry!B:O,14,FALSE)*10^-3</f>
        <v>9466389567261658</v>
      </c>
      <c r="Y192">
        <f t="shared" si="35"/>
        <v>0.96126169593831889</v>
      </c>
      <c r="Z192">
        <f>IF(C192="NA","NA",VLOOKUP(C192,MSSM_AdaptedSources!B:K,10,FALSE))</f>
        <v>8687.6855534565366</v>
      </c>
      <c r="AA192">
        <f>IF(C192="NA","0",VLOOKUP(C192,MultiFaultGeometry!B:C,2,FALSE)*IF(B192="NA",X$278/(X$278+X$276),X$278))</f>
        <v>0.66666666666666674</v>
      </c>
      <c r="AB192">
        <f>AA192*IF(C192="NA",0,VLOOKUP(C192,MultiFaultGeometry!B:O,14,FALSE))</f>
        <v>2.249259474333119E+17</v>
      </c>
      <c r="AC192">
        <f>IF(AB192=0,0,AA192*3.3*10^10*Z192*10^6*(1/Y192)*VLOOKUP(C192,MultiFaultGeometry!B:G,5,FALSE)*10^-3)</f>
        <v>2.5115359241924886E+17</v>
      </c>
      <c r="AE192" s="68">
        <f t="shared" si="30"/>
        <v>2178959650685964.2</v>
      </c>
      <c r="AF192" s="68">
        <f t="shared" si="32"/>
        <v>9466389567261658</v>
      </c>
      <c r="AG192" s="68"/>
    </row>
    <row r="193" spans="1:33" x14ac:dyDescent="0.2">
      <c r="A193" s="68" t="str">
        <f>Leonard2010!D195</f>
        <v>Usisya Tip-2</v>
      </c>
      <c r="B193" s="68" t="str">
        <f>Leonard2010!E195</f>
        <v>NA</v>
      </c>
      <c r="C193" s="68" t="str">
        <f>Leonard2010!F195</f>
        <v>Usisya</v>
      </c>
      <c r="D193" t="str">
        <f>IF(B193="NA","NA",VLOOKUP(B193,Leonard2010!E:H,3,FALSE))</f>
        <v>NA</v>
      </c>
      <c r="E193">
        <f>IF(A193="NA","NA",VLOOKUP(A193,Leonard2010!D:I,6,FALSE))</f>
        <v>13.3</v>
      </c>
      <c r="F193">
        <f>IF(C193="NA","NA",VLOOKUP(C193,Leonard2010!F:K,6,FALSE))</f>
        <v>214.20000000000002</v>
      </c>
      <c r="G193" t="str">
        <f>IF(B193="NA","NA",VLOOKUP(B193,Leonard2010!E:H,4,FALSE))</f>
        <v>NA</v>
      </c>
      <c r="H193">
        <f>IF(A193="NA","NA",VLOOKUP(A193,Leonard2010!D:J,7,FALSE))</f>
        <v>17</v>
      </c>
      <c r="I193">
        <f>IF(C193="NA","NA",VLOOKUP(C193,Leonard2010!F:L,7,FALSE))</f>
        <v>2</v>
      </c>
      <c r="J193">
        <f>IF(A193="NA","NA",VLOOKUP(A193,Leonard2010!D:N,11,FALSE))</f>
        <v>53</v>
      </c>
      <c r="K193" t="s">
        <v>308</v>
      </c>
      <c r="L193">
        <f>VLOOKUP(A193,Leonard2010!D:AJ,32,FALSE)</f>
        <v>59</v>
      </c>
      <c r="M193">
        <f>VLOOKUP($A193,Leonard2010!D:AK,33,FALSE)</f>
        <v>76</v>
      </c>
      <c r="N193">
        <f>VLOOKUP($A193,Leonard2010!D:AL,34,FALSE)</f>
        <v>93</v>
      </c>
      <c r="O193" t="str">
        <f t="shared" si="29"/>
        <v>NA</v>
      </c>
      <c r="P193" t="str">
        <f t="shared" si="38"/>
        <v>NA</v>
      </c>
      <c r="Q193" t="str">
        <f>IF(B193="NA","0",VLOOKUP(B193,SectionGeometry!C:E,3,FALSE)*IF(C193="NA",X$277/(X$277+X$276),X$277))</f>
        <v>0</v>
      </c>
      <c r="R193">
        <f>Q193*IF(B193="NA",0,((VLOOKUP(B193,SectionGeometry!C:Z,24,FALSE))))</f>
        <v>0</v>
      </c>
      <c r="S193">
        <f>IF(R193=0,0,Q193*3.3*10^10*P193*10^6*(1/O193)*VLOOKUP(B193,SectionGeometry!C:AA,25,FALSE)*10^-3)</f>
        <v>0</v>
      </c>
      <c r="T193">
        <f t="shared" si="31"/>
        <v>0.85716730070211233</v>
      </c>
      <c r="U193">
        <f>IF(K193="N",E193*35/SIN(RADIANS(J193)),IF(K193="Y",VLOOKUP(A193,Leonard2010!D:U,18,FALSE),IF(C193="NA",VLOOKUP(A193,MSSM_AdaptedSources!B:K,10,FALSE),"CHECK")))</f>
        <v>130.65442318902976</v>
      </c>
      <c r="V193">
        <f>(1*VLOOKUP(A193,FaultGeometry!B:C,2,FALSE))-Q193-AA193</f>
        <v>0.33333333333333326</v>
      </c>
      <c r="W193">
        <f>V193*(VLOOKUP(A193,FaultGeometry!B:Y,24,FALSE))</f>
        <v>1692429603030331.5</v>
      </c>
      <c r="X193">
        <f>V193*3.3*10^10*U193*10^6*(1/T193)*VLOOKUP(A193,FaultGeometry!B:O,14,FALSE)*10^-3</f>
        <v>1902830696399592.2</v>
      </c>
      <c r="Y193">
        <f t="shared" si="35"/>
        <v>0.96126169593831889</v>
      </c>
      <c r="Z193">
        <f>IF(C193="NA","NA",VLOOKUP(C193,MSSM_AdaptedSources!B:K,10,FALSE))</f>
        <v>8687.6855534565366</v>
      </c>
      <c r="AA193">
        <f>IF(C193="NA","0",VLOOKUP(C193,MultiFaultGeometry!B:C,2,FALSE)*IF(B193="NA",X$278/(X$278+X$276),X$278))</f>
        <v>0.66666666666666674</v>
      </c>
      <c r="AB193">
        <f>AA193*IF(C193="NA",0,VLOOKUP(C193,MultiFaultGeometry!B:O,14,FALSE))</f>
        <v>2.249259474333119E+17</v>
      </c>
      <c r="AC193">
        <f>IF(AB193=0,0,AA193*3.3*10^10*Z193*10^6*(1/Y193)*VLOOKUP(C193,MultiFaultGeometry!B:G,5,FALSE)*10^-3)</f>
        <v>2.5115359241924886E+17</v>
      </c>
      <c r="AE193" s="68">
        <f t="shared" si="30"/>
        <v>1692429603030331.5</v>
      </c>
      <c r="AF193" s="68">
        <f t="shared" si="32"/>
        <v>1902830696399592.2</v>
      </c>
      <c r="AG193" s="68"/>
    </row>
    <row r="194" spans="1:33" x14ac:dyDescent="0.2">
      <c r="A194" s="68" t="str">
        <f>Leonard2010!D196</f>
        <v>Usisya Tip-3</v>
      </c>
      <c r="B194" s="68" t="str">
        <f>Leonard2010!E196</f>
        <v>NA</v>
      </c>
      <c r="C194" s="68" t="str">
        <f>Leonard2010!F196</f>
        <v>Usisya</v>
      </c>
      <c r="D194" t="str">
        <f>IF(B194="NA","NA",VLOOKUP(B194,Leonard2010!E:H,3,FALSE))</f>
        <v>NA</v>
      </c>
      <c r="E194">
        <f>IF(A194="NA","NA",VLOOKUP(A194,Leonard2010!D:I,6,FALSE))</f>
        <v>16.3</v>
      </c>
      <c r="F194">
        <f>IF(C194="NA","NA",VLOOKUP(C194,Leonard2010!F:K,6,FALSE))</f>
        <v>214.20000000000002</v>
      </c>
      <c r="G194" t="str">
        <f>IF(B194="NA","NA",VLOOKUP(B194,Leonard2010!E:H,4,FALSE))</f>
        <v>NA</v>
      </c>
      <c r="H194">
        <f>IF(A194="NA","NA",VLOOKUP(A194,Leonard2010!D:J,7,FALSE))</f>
        <v>19</v>
      </c>
      <c r="I194">
        <f>IF(C194="NA","NA",VLOOKUP(C194,Leonard2010!F:L,7,FALSE))</f>
        <v>2</v>
      </c>
      <c r="J194">
        <f>IF(A194="NA","NA",VLOOKUP(A194,Leonard2010!D:N,11,FALSE))</f>
        <v>53</v>
      </c>
      <c r="K194" t="s">
        <v>308</v>
      </c>
      <c r="L194">
        <f>VLOOKUP(A194,Leonard2010!D:AJ,32,FALSE)</f>
        <v>59</v>
      </c>
      <c r="M194">
        <f>VLOOKUP($A194,Leonard2010!D:AK,33,FALSE)</f>
        <v>76</v>
      </c>
      <c r="N194">
        <f>VLOOKUP($A194,Leonard2010!D:AL,34,FALSE)</f>
        <v>93</v>
      </c>
      <c r="O194" t="str">
        <f t="shared" si="29"/>
        <v>NA</v>
      </c>
      <c r="P194" t="str">
        <f t="shared" si="38"/>
        <v>NA</v>
      </c>
      <c r="Q194" t="str">
        <f>IF(B194="NA","0",VLOOKUP(B194,SectionGeometry!C:E,3,FALSE)*IF(C194="NA",X$277/(X$277+X$276),X$277))</f>
        <v>0</v>
      </c>
      <c r="R194">
        <f>Q194*IF(B194="NA",0,((VLOOKUP(B194,SectionGeometry!C:Z,24,FALSE))))</f>
        <v>0</v>
      </c>
      <c r="S194">
        <f>IF(R194=0,0,Q194*3.3*10^10*P194*10^6*(1/O194)*VLOOKUP(B194,SectionGeometry!C:AA,25,FALSE)*10^-3)</f>
        <v>0</v>
      </c>
      <c r="T194">
        <f t="shared" si="31"/>
        <v>0.83867056794542405</v>
      </c>
      <c r="U194">
        <f>IF(K194="N",E194*35/SIN(RADIANS(J194)),IF(K194="Y",VLOOKUP(A194,Leonard2010!D:U,18,FALSE),IF(C194="NA",VLOOKUP(A194,MSSM_AdaptedSources!B:K,10,FALSE),"CHECK")))</f>
        <v>183.37947400606802</v>
      </c>
      <c r="V194">
        <f>(1*VLOOKUP(A194,FaultGeometry!B:C,2,FALSE))-Q194-AA194</f>
        <v>0.33333333333333326</v>
      </c>
      <c r="W194">
        <f>V194*(VLOOKUP(A194,FaultGeometry!B:Y,24,FALSE))</f>
        <v>2301960536804168.5</v>
      </c>
      <c r="X194">
        <f>V194*3.3*10^10*U194*10^6*(1/T194)*VLOOKUP(A194,FaultGeometry!B:O,14,FALSE)*10^-3</f>
        <v>2656574755936078.5</v>
      </c>
      <c r="Y194">
        <f t="shared" si="35"/>
        <v>0.96126169593831889</v>
      </c>
      <c r="Z194">
        <f>IF(C194="NA","NA",VLOOKUP(C194,MSSM_AdaptedSources!B:K,10,FALSE))</f>
        <v>8687.6855534565366</v>
      </c>
      <c r="AA194">
        <f>IF(C194="NA","0",VLOOKUP(C194,MultiFaultGeometry!B:C,2,FALSE)*IF(B194="NA",X$278/(X$278+X$276),X$278))</f>
        <v>0.66666666666666674</v>
      </c>
      <c r="AB194">
        <f>AA194*IF(C194="NA",0,VLOOKUP(C194,MultiFaultGeometry!B:O,14,FALSE))</f>
        <v>2.249259474333119E+17</v>
      </c>
      <c r="AC194">
        <f>IF(AB194=0,0,AA194*3.3*10^10*Z194*10^6*(1/Y194)*VLOOKUP(C194,MultiFaultGeometry!B:G,5,FALSE)*10^-3)</f>
        <v>2.5115359241924886E+17</v>
      </c>
      <c r="AE194" s="68">
        <f t="shared" ref="AE194:AE257" si="39">IF(MATCH(A195,_xlfn.UNIQUE(A$2:A$272),0)-(MATCH(A194,_xlfn.UNIQUE(A$2:A$272),0))=1,W194,0)</f>
        <v>2301960536804168.5</v>
      </c>
      <c r="AF194" s="68">
        <f t="shared" si="32"/>
        <v>2656574755936078.5</v>
      </c>
      <c r="AG194" s="68"/>
    </row>
    <row r="195" spans="1:33" x14ac:dyDescent="0.2">
      <c r="A195" s="68" t="str">
        <f>Leonard2010!D197</f>
        <v>Usisya Tip-4</v>
      </c>
      <c r="B195" s="68" t="str">
        <f>Leonard2010!E197</f>
        <v>NA</v>
      </c>
      <c r="C195" s="68" t="str">
        <f>Leonard2010!F197</f>
        <v>Usisya</v>
      </c>
      <c r="D195" t="str">
        <f>IF(B195="NA","NA",VLOOKUP(B195,Leonard2010!E:H,3,FALSE))</f>
        <v>NA</v>
      </c>
      <c r="E195">
        <f>IF(A195="NA","NA",VLOOKUP(A195,Leonard2010!D:I,6,FALSE))</f>
        <v>8.1999999999999993</v>
      </c>
      <c r="F195">
        <f>IF(C195="NA","NA",VLOOKUP(C195,Leonard2010!F:K,6,FALSE))</f>
        <v>214.20000000000002</v>
      </c>
      <c r="G195" t="str">
        <f>IF(B195="NA","NA",VLOOKUP(B195,Leonard2010!E:H,4,FALSE))</f>
        <v>NA</v>
      </c>
      <c r="H195">
        <f>IF(A195="NA","NA",VLOOKUP(A195,Leonard2010!D:J,7,FALSE))</f>
        <v>8</v>
      </c>
      <c r="I195">
        <f>IF(C195="NA","NA",VLOOKUP(C195,Leonard2010!F:L,7,FALSE))</f>
        <v>2</v>
      </c>
      <c r="J195">
        <f>IF(A195="NA","NA",VLOOKUP(A195,Leonard2010!D:N,11,FALSE))</f>
        <v>53</v>
      </c>
      <c r="K195" t="s">
        <v>308</v>
      </c>
      <c r="L195">
        <f>VLOOKUP(A195,Leonard2010!D:AJ,32,FALSE)</f>
        <v>59</v>
      </c>
      <c r="M195">
        <f>VLOOKUP($A195,Leonard2010!D:AK,33,FALSE)</f>
        <v>76</v>
      </c>
      <c r="N195">
        <f>VLOOKUP($A195,Leonard2010!D:AL,34,FALSE)</f>
        <v>93</v>
      </c>
      <c r="O195" t="str">
        <f t="shared" si="29"/>
        <v>NA</v>
      </c>
      <c r="P195" t="str">
        <f t="shared" si="38"/>
        <v>NA</v>
      </c>
      <c r="Q195" t="str">
        <f>IF(B195="NA","0",VLOOKUP(B195,SectionGeometry!C:E,3,FALSE)*IF(C195="NA",X$277/(X$277+X$276),X$277))</f>
        <v>0</v>
      </c>
      <c r="R195">
        <f>Q195*IF(B195="NA",0,((VLOOKUP(B195,SectionGeometry!C:Z,24,FALSE))))</f>
        <v>0</v>
      </c>
      <c r="S195">
        <f>IF(R195=0,0,Q195*3.3*10^10*P195*10^6*(1/O195)*VLOOKUP(B195,SectionGeometry!C:AA,25,FALSE)*10^-3)</f>
        <v>0</v>
      </c>
      <c r="T195">
        <f t="shared" ref="T195:T244" si="40">IF($A195="NA","NA",MEDIAN(ABS(COS(RADIANS($L195-$H195-90))),ABS(COS(RADIANS($M195-$H195-90))),ABS(COS(RADIANS($N195-$H195-90)))))</f>
        <v>0.92718385456678742</v>
      </c>
      <c r="U195">
        <f>IF(K195="N",E195*35/SIN(RADIANS(J195)),IF(K195="Y",VLOOKUP(A195,Leonard2010!D:U,18,FALSE),IF(C195="NA",VLOOKUP(A195,MSSM_AdaptedSources!B:K,10,FALSE),"CHECK")))</f>
        <v>58.352724210355568</v>
      </c>
      <c r="V195">
        <f>(1*VLOOKUP(A195,FaultGeometry!B:C,2,FALSE))-Q195-AA195</f>
        <v>0.33333333333333326</v>
      </c>
      <c r="W195">
        <f>V195*(VLOOKUP(A195,FaultGeometry!B:Y,24,FALSE))</f>
        <v>378119456866043.81</v>
      </c>
      <c r="X195">
        <f>V195*3.3*10^10*U195*10^6*(1/T195)*VLOOKUP(A195,FaultGeometry!B:O,14,FALSE)*10^-3</f>
        <v>406388722703677.75</v>
      </c>
      <c r="Y195">
        <f t="shared" si="35"/>
        <v>0.96126169593831889</v>
      </c>
      <c r="Z195">
        <f>IF(C195="NA","NA",VLOOKUP(C195,MSSM_AdaptedSources!B:K,10,FALSE))</f>
        <v>8687.6855534565366</v>
      </c>
      <c r="AA195">
        <f>IF(C195="NA","0",VLOOKUP(C195,MultiFaultGeometry!B:C,2,FALSE)*IF(B195="NA",X$278/(X$278+X$276),X$278))</f>
        <v>0.66666666666666674</v>
      </c>
      <c r="AB195">
        <f>AA195*IF(C195="NA",0,VLOOKUP(C195,MultiFaultGeometry!B:O,14,FALSE))</f>
        <v>2.249259474333119E+17</v>
      </c>
      <c r="AC195">
        <f>IF(AB195=0,0,AA195*3.3*10^10*Z195*10^6*(1/Y195)*VLOOKUP(C195,MultiFaultGeometry!B:G,5,FALSE)*10^-3)</f>
        <v>2.5115359241924886E+17</v>
      </c>
      <c r="AE195" s="68">
        <f t="shared" si="39"/>
        <v>378119456866043.81</v>
      </c>
      <c r="AF195" s="68">
        <f t="shared" ref="AF195:AF258" si="41">IF(AE195=0,0,X195)</f>
        <v>406388722703677.75</v>
      </c>
      <c r="AG195" s="68"/>
    </row>
    <row r="196" spans="1:33" x14ac:dyDescent="0.2">
      <c r="A196" s="68" t="str">
        <f>Leonard2010!D198</f>
        <v>Central Basin Fault 1</v>
      </c>
      <c r="B196" s="68" t="str">
        <f>Leonard2010!E198</f>
        <v>NA</v>
      </c>
      <c r="C196" s="68" t="str">
        <f>Leonard2010!F198</f>
        <v>Central Basin Fault 1-3</v>
      </c>
      <c r="D196" t="str">
        <f>IF(B196="NA","NA",VLOOKUP(B196,Leonard2010!E:H,3,FALSE))</f>
        <v>NA</v>
      </c>
      <c r="E196">
        <f>IF(A196="NA","NA",VLOOKUP(A196,Leonard2010!D:I,6,FALSE))</f>
        <v>34.799999999999997</v>
      </c>
      <c r="F196">
        <f>IF(C196="NA","NA",VLOOKUP(C196,Leonard2010!F:K,6,FALSE))</f>
        <v>50.199999999999996</v>
      </c>
      <c r="G196" t="str">
        <f>IF(B196="NA","NA",VLOOKUP(B196,Leonard2010!E:H,4,FALSE))</f>
        <v>NA</v>
      </c>
      <c r="H196">
        <f>IF(A196="NA","NA",VLOOKUP(A196,Leonard2010!D:J,7,FALSE))</f>
        <v>344</v>
      </c>
      <c r="I196">
        <f>IF(C196="NA","NA",VLOOKUP(C196,Leonard2010!F:L,7,FALSE))</f>
        <v>353</v>
      </c>
      <c r="J196">
        <f>IF(A196="NA","NA",VLOOKUP(A196,Leonard2010!D:N,11,FALSE))</f>
        <v>53</v>
      </c>
      <c r="K196" t="s">
        <v>211</v>
      </c>
      <c r="L196">
        <f>VLOOKUP(A196,Leonard2010!D:AJ,32,FALSE)</f>
        <v>59</v>
      </c>
      <c r="M196">
        <f>VLOOKUP($A196,Leonard2010!D:AK,33,FALSE)</f>
        <v>76</v>
      </c>
      <c r="N196">
        <f>VLOOKUP($A196,Leonard2010!D:AL,34,FALSE)</f>
        <v>93</v>
      </c>
      <c r="O196" t="str">
        <f t="shared" si="29"/>
        <v>NA</v>
      </c>
      <c r="P196" t="str">
        <f t="shared" si="38"/>
        <v>NA</v>
      </c>
      <c r="Q196" t="str">
        <f>IF(B196="NA","0",VLOOKUP(B196,SectionGeometry!C:E,3,FALSE)*IF(C196="NA",X$277/(X$277+X$276),X$277))</f>
        <v>0</v>
      </c>
      <c r="R196">
        <f>Q196*IF(B196="NA",0,((VLOOKUP(B196,SectionGeometry!C:Z,24,FALSE))))</f>
        <v>0</v>
      </c>
      <c r="S196">
        <f>IF(R196=0,0,Q196*3.3*10^10*P196*10^6*(1/O196)*VLOOKUP(B196,SectionGeometry!C:AA,25,FALSE)*10^-3)</f>
        <v>0</v>
      </c>
      <c r="T196">
        <f t="shared" si="40"/>
        <v>0.96592582628906842</v>
      </c>
      <c r="U196">
        <f>IF(K196="N",E196*35/SIN(RADIANS(J196)),IF(K196="Y",VLOOKUP(A196,Leonard2010!D:U,18,FALSE),IF(C196="NA",VLOOKUP(A196,MSSM_AdaptedSources!B:K,10,FALSE),"CHECK")))</f>
        <v>1525.1012316342828</v>
      </c>
      <c r="V196">
        <f>(1*VLOOKUP(A196,FaultGeometry!B:C,2,FALSE))-Q196-AA196</f>
        <v>0.33333333333333326</v>
      </c>
      <c r="W196">
        <f>V196*(VLOOKUP(A196,FaultGeometry!B:Y,24,FALSE))</f>
        <v>988899625959644.25</v>
      </c>
      <c r="X196">
        <f>V196*3.3*10^10*U196*10^6*(1/T196)*VLOOKUP(A196,FaultGeometry!B:O,14,FALSE)*10^-3</f>
        <v>2326373316711474</v>
      </c>
      <c r="Y196">
        <f t="shared" si="35"/>
        <v>0.98480775301220802</v>
      </c>
      <c r="Z196">
        <f>IF(C196="NA","NA",VLOOKUP(C196,MSSM_AdaptedSources!B:K,10,FALSE))</f>
        <v>2168.573746360767</v>
      </c>
      <c r="AA196">
        <f>IF(C196="NA","0",VLOOKUP(C196,MultiFaultGeometry!B:C,2,FALSE)*IF(B196="NA",X$278/(X$278+X$276),X$278))</f>
        <v>0.66666666666666674</v>
      </c>
      <c r="AB196">
        <f>AA196*IF(C196="NA",0,VLOOKUP(C196,MultiFaultGeometry!B:O,14,FALSE))</f>
        <v>3651701353246051</v>
      </c>
      <c r="AC196">
        <f>IF(AB196=0,0,AA196*3.3*10^10*Z196*10^6*(1/Y196)*VLOOKUP(C196,MultiFaultGeometry!B:G,5,FALSE)*10^-3)</f>
        <v>6504893571807886</v>
      </c>
      <c r="AE196" s="68">
        <f t="shared" si="39"/>
        <v>988899625959644.25</v>
      </c>
      <c r="AF196" s="68">
        <f t="shared" si="41"/>
        <v>2326373316711474</v>
      </c>
      <c r="AG196" s="68"/>
    </row>
    <row r="197" spans="1:33" x14ac:dyDescent="0.2">
      <c r="A197" s="68" t="str">
        <f>Leonard2010!D199</f>
        <v>Central Basin Fault 3</v>
      </c>
      <c r="B197" s="68" t="str">
        <f>Leonard2010!E199</f>
        <v>NA</v>
      </c>
      <c r="C197" s="68" t="str">
        <f>Leonard2010!F199</f>
        <v>Central Basin Fault 1-3</v>
      </c>
      <c r="D197" t="str">
        <f>IF(B197="NA","NA",VLOOKUP(B197,Leonard2010!E:H,3,FALSE))</f>
        <v>NA</v>
      </c>
      <c r="E197">
        <f>IF(A197="NA","NA",VLOOKUP(A197,Leonard2010!D:I,6,FALSE))</f>
        <v>15.4</v>
      </c>
      <c r="F197">
        <f>IF(C197="NA","NA",VLOOKUP(C197,Leonard2010!F:K,6,FALSE))</f>
        <v>50.199999999999996</v>
      </c>
      <c r="G197" t="str">
        <f>IF(B197="NA","NA",VLOOKUP(B197,Leonard2010!E:H,4,FALSE))</f>
        <v>NA</v>
      </c>
      <c r="H197">
        <f>IF(A197="NA","NA",VLOOKUP(A197,Leonard2010!D:J,7,FALSE))</f>
        <v>360</v>
      </c>
      <c r="I197">
        <f>IF(C197="NA","NA",VLOOKUP(C197,Leonard2010!F:L,7,FALSE))</f>
        <v>353</v>
      </c>
      <c r="J197">
        <f>IF(A197="NA","NA",VLOOKUP(A197,Leonard2010!D:N,11,FALSE))</f>
        <v>53</v>
      </c>
      <c r="K197" t="s">
        <v>211</v>
      </c>
      <c r="L197">
        <f>VLOOKUP(A197,Leonard2010!D:AJ,32,FALSE)</f>
        <v>59</v>
      </c>
      <c r="M197">
        <f>VLOOKUP($A197,Leonard2010!D:AK,33,FALSE)</f>
        <v>76</v>
      </c>
      <c r="N197">
        <f>VLOOKUP($A197,Leonard2010!D:AL,34,FALSE)</f>
        <v>93</v>
      </c>
      <c r="O197" t="str">
        <f t="shared" si="29"/>
        <v>NA</v>
      </c>
      <c r="P197" t="str">
        <f t="shared" si="38"/>
        <v>NA</v>
      </c>
      <c r="Q197" t="str">
        <f>IF(B197="NA","0",VLOOKUP(B197,SectionGeometry!C:E,3,FALSE)*IF(C197="NA",X$277/(X$277+X$276),X$277))</f>
        <v>0</v>
      </c>
      <c r="R197">
        <f>Q197*IF(B197="NA",0,((VLOOKUP(B197,SectionGeometry!C:Z,24,FALSE))))</f>
        <v>0</v>
      </c>
      <c r="S197">
        <f>IF(R197=0,0,Q197*3.3*10^10*P197*10^6*(1/O197)*VLOOKUP(B197,SectionGeometry!C:AA,25,FALSE)*10^-3)</f>
        <v>0</v>
      </c>
      <c r="T197">
        <f t="shared" si="40"/>
        <v>0.97029572627599658</v>
      </c>
      <c r="U197">
        <f>IF(K197="N",E197*35/SIN(RADIANS(J197)),IF(K197="Y",VLOOKUP(A197,Leonard2010!D:U,18,FALSE),IF(C197="NA",VLOOKUP(A197,MSSM_AdaptedSources!B:K,10,FALSE),"CHECK")))</f>
        <v>674.90111974620561</v>
      </c>
      <c r="V197">
        <f>(1*VLOOKUP(A197,FaultGeometry!B:C,2,FALSE))-Q197-AA197</f>
        <v>0.33333333333333326</v>
      </c>
      <c r="W197">
        <f>V197*(VLOOKUP(A197,FaultGeometry!B:Y,24,FALSE))</f>
        <v>251509992963688.62</v>
      </c>
      <c r="X197">
        <f>V197*3.3*10^10*U197*10^6*(1/T197)*VLOOKUP(A197,FaultGeometry!B:O,14,FALSE)*10^-3</f>
        <v>1007869046102049.4</v>
      </c>
      <c r="Y197">
        <f t="shared" si="35"/>
        <v>0.98480775301220802</v>
      </c>
      <c r="Z197">
        <f>IF(C197="NA","NA",VLOOKUP(C197,MSSM_AdaptedSources!B:K,10,FALSE))</f>
        <v>2168.573746360767</v>
      </c>
      <c r="AA197">
        <f>IF(C197="NA","0",VLOOKUP(C197,MultiFaultGeometry!B:C,2,FALSE)*IF(B197="NA",X$278/(X$278+X$276),X$278))</f>
        <v>0.66666666666666674</v>
      </c>
      <c r="AB197">
        <f>AA197*IF(C197="NA",0,VLOOKUP(C197,MultiFaultGeometry!B:O,14,FALSE))</f>
        <v>3651701353246051</v>
      </c>
      <c r="AC197">
        <f>IF(AB197=0,0,AA197*3.3*10^10*Z197*10^6*(1/Y197)*VLOOKUP(C197,MultiFaultGeometry!B:G,5,FALSE)*10^-3)</f>
        <v>6504893571807886</v>
      </c>
      <c r="AE197" s="68">
        <f t="shared" si="39"/>
        <v>251509992963688.62</v>
      </c>
      <c r="AF197" s="68">
        <f t="shared" si="41"/>
        <v>1007869046102049.4</v>
      </c>
      <c r="AG197" s="68"/>
    </row>
    <row r="198" spans="1:33" x14ac:dyDescent="0.2">
      <c r="A198" s="68" t="str">
        <f>Leonard2010!D200</f>
        <v>Central Basin Fault 2</v>
      </c>
      <c r="B198" s="68" t="str">
        <f>Leonard2010!E200</f>
        <v>NA</v>
      </c>
      <c r="C198" s="68" t="str">
        <f>Leonard2010!F200</f>
        <v>NA</v>
      </c>
      <c r="D198" t="str">
        <f>IF(B198="NA","NA",VLOOKUP(B198,Leonard2010!E:H,3,FALSE))</f>
        <v>NA</v>
      </c>
      <c r="E198">
        <f>IF(A198="NA","NA",VLOOKUP(A198,Leonard2010!D:I,6,FALSE))</f>
        <v>32</v>
      </c>
      <c r="F198" t="str">
        <f>IF(C198="NA","NA",VLOOKUP(C198,Leonard2010!F:K,6,FALSE))</f>
        <v>NA</v>
      </c>
      <c r="G198" t="str">
        <f>IF(B198="NA","NA",VLOOKUP(B198,Leonard2010!E:H,4,FALSE))</f>
        <v>NA</v>
      </c>
      <c r="H198">
        <f>IF(A198="NA","NA",VLOOKUP(A198,Leonard2010!D:J,7,FALSE))</f>
        <v>337</v>
      </c>
      <c r="I198" t="str">
        <f>IF(C198="NA","NA",VLOOKUP(C198,Leonard2010!F:L,7,FALSE))</f>
        <v>NA</v>
      </c>
      <c r="J198">
        <f>IF(A198="NA","NA",VLOOKUP(A198,Leonard2010!D:N,11,FALSE))</f>
        <v>53</v>
      </c>
      <c r="K198" t="s">
        <v>308</v>
      </c>
      <c r="L198">
        <f>VLOOKUP(A198,Leonard2010!D:AJ,32,FALSE)</f>
        <v>59</v>
      </c>
      <c r="M198">
        <f>VLOOKUP($A198,Leonard2010!D:AK,33,FALSE)</f>
        <v>76</v>
      </c>
      <c r="N198">
        <f>VLOOKUP($A198,Leonard2010!D:AL,34,FALSE)</f>
        <v>93</v>
      </c>
      <c r="O198" t="str">
        <f t="shared" si="29"/>
        <v>NA</v>
      </c>
      <c r="P198" t="str">
        <f t="shared" si="38"/>
        <v>NA</v>
      </c>
      <c r="Q198" t="str">
        <f>IF(B198="NA","0",VLOOKUP(B198,SectionGeometry!C:E,3,FALSE)*IF(C198="NA",X$277/(X$277+X$276),X$277))</f>
        <v>0</v>
      </c>
      <c r="R198">
        <f>Q198*IF(B198="NA",0,((VLOOKUP(B198,SectionGeometry!C:Z,24,FALSE))))</f>
        <v>0</v>
      </c>
      <c r="S198">
        <f>IF(R198=0,0,Q198*3.3*10^10*P198*10^6*(1/O198)*VLOOKUP(B198,SectionGeometry!C:AA,25,FALSE)*10^-3)</f>
        <v>0</v>
      </c>
      <c r="T198">
        <f t="shared" si="40"/>
        <v>0.98768834059513766</v>
      </c>
      <c r="U198">
        <f>IF(K198="N",E198*35/SIN(RADIANS(J198)),IF(K198="Y",VLOOKUP(A198,Leonard2010!D:U,18,FALSE),IF(C198="NA",VLOOKUP(A198,MSSM_AdaptedSources!B:K,10,FALSE),"CHECK")))</f>
        <v>457</v>
      </c>
      <c r="V198">
        <f>(1*VLOOKUP(A198,FaultGeometry!B:C,2,FALSE))-Q198-AA198</f>
        <v>1</v>
      </c>
      <c r="W198">
        <f>V198*(VLOOKUP(A198,FaultGeometry!B:Y,24,FALSE))</f>
        <v>2020788961408311.8</v>
      </c>
      <c r="X198">
        <f>V198*3.3*10^10*U198*10^6*(1/T198)*VLOOKUP(A198,FaultGeometry!B:O,14,FALSE)*10^-3</f>
        <v>2043270347482909.8</v>
      </c>
      <c r="Y198" t="str">
        <f t="shared" si="35"/>
        <v>NA</v>
      </c>
      <c r="Z198" t="str">
        <f>IF(C198="NA","NA",VLOOKUP(C198,MSSM_AdaptedSources!B:K,10,FALSE))</f>
        <v>NA</v>
      </c>
      <c r="AA198" t="str">
        <f>IF(C198="NA","0",VLOOKUP(C198,MultiFaultGeometry!B:C,2,FALSE)*IF(B198="NA",X$278/(X$278+X$276),X$278))</f>
        <v>0</v>
      </c>
      <c r="AB198">
        <f>AA198*IF(C198="NA",0,VLOOKUP(C198,MultiFaultGeometry!B:O,14,FALSE))</f>
        <v>0</v>
      </c>
      <c r="AC198">
        <f>IF(AB198=0,0,AA198*3.3*10^10*Z198*10^6*(1/Y198)*VLOOKUP(C198,MultiFaultGeometry!B:G,5,FALSE)*10^-3)</f>
        <v>0</v>
      </c>
      <c r="AE198" s="68">
        <f t="shared" si="39"/>
        <v>2020788961408311.8</v>
      </c>
      <c r="AF198" s="68">
        <f t="shared" si="41"/>
        <v>2043270347482909.8</v>
      </c>
      <c r="AG198" s="68"/>
    </row>
    <row r="199" spans="1:33" x14ac:dyDescent="0.2">
      <c r="A199" s="68" t="str">
        <f>Leonard2010!D201</f>
        <v>Central Basin Fault 5</v>
      </c>
      <c r="B199" s="68" t="str">
        <f>Leonard2010!E201</f>
        <v>NA</v>
      </c>
      <c r="C199" s="68" t="str">
        <f>Leonard2010!F201</f>
        <v>Central Basin Fault 5-27</v>
      </c>
      <c r="D199" t="str">
        <f>IF(B199="NA","NA",VLOOKUP(B199,Leonard2010!E:H,3,FALSE))</f>
        <v>NA</v>
      </c>
      <c r="E199">
        <f>IF(A199="NA","NA",VLOOKUP(A199,Leonard2010!D:I,6,FALSE))</f>
        <v>30.6</v>
      </c>
      <c r="F199">
        <f>IF(C199="NA","NA",VLOOKUP(C199,Leonard2010!F:K,6,FALSE))</f>
        <v>74.900000000000006</v>
      </c>
      <c r="G199" t="str">
        <f>IF(B199="NA","NA",VLOOKUP(B199,Leonard2010!E:H,4,FALSE))</f>
        <v>NA</v>
      </c>
      <c r="H199">
        <f>IF(A199="NA","NA",VLOOKUP(A199,Leonard2010!D:J,7,FALSE))</f>
        <v>30</v>
      </c>
      <c r="I199">
        <f>IF(C199="NA","NA",VLOOKUP(C199,Leonard2010!F:L,7,FALSE))</f>
        <v>22</v>
      </c>
      <c r="J199">
        <f>IF(A199="NA","NA",VLOOKUP(A199,Leonard2010!D:N,11,FALSE))</f>
        <v>53</v>
      </c>
      <c r="K199" t="s">
        <v>211</v>
      </c>
      <c r="L199">
        <f>VLOOKUP(A199,Leonard2010!D:AJ,32,FALSE)</f>
        <v>59</v>
      </c>
      <c r="M199">
        <f>VLOOKUP($A199,Leonard2010!D:AK,33,FALSE)</f>
        <v>76</v>
      </c>
      <c r="N199">
        <f>VLOOKUP($A199,Leonard2010!D:AL,34,FALSE)</f>
        <v>93</v>
      </c>
      <c r="O199" t="str">
        <f t="shared" si="29"/>
        <v>NA</v>
      </c>
      <c r="P199" t="str">
        <f t="shared" si="38"/>
        <v>NA</v>
      </c>
      <c r="Q199" t="str">
        <f>IF(B199="NA","0",VLOOKUP(B199,SectionGeometry!C:E,3,FALSE)*IF(C199="NA",X$277/(X$277+X$276),X$277))</f>
        <v>0</v>
      </c>
      <c r="R199">
        <f>Q199*IF(B199="NA",0,((VLOOKUP(B199,SectionGeometry!C:Z,24,FALSE))))</f>
        <v>0</v>
      </c>
      <c r="S199">
        <f>IF(R199=0,0,Q199*3.3*10^10*P199*10^6*(1/O199)*VLOOKUP(B199,SectionGeometry!C:AA,25,FALSE)*10^-3)</f>
        <v>0</v>
      </c>
      <c r="T199">
        <f t="shared" si="40"/>
        <v>0.71933980033865119</v>
      </c>
      <c r="U199">
        <f>IF(K199="N",E199*35/SIN(RADIANS(J199)),IF(K199="Y",VLOOKUP(A199,Leonard2010!D:U,18,FALSE),IF(C199="NA",VLOOKUP(A199,MSSM_AdaptedSources!B:K,10,FALSE),"CHECK")))</f>
        <v>1341.0372898853177</v>
      </c>
      <c r="V199">
        <f>(1*VLOOKUP(A199,FaultGeometry!B:C,2,FALSE))-Q199-AA199</f>
        <v>0.33333333333333326</v>
      </c>
      <c r="W199">
        <f>V199*(VLOOKUP(A199,FaultGeometry!B:Y,24,FALSE))</f>
        <v>578926611323084.25</v>
      </c>
      <c r="X199">
        <f>V199*3.3*10^10*U199*10^6*(1/T199)*VLOOKUP(A199,FaultGeometry!B:O,14,FALSE)*10^-3</f>
        <v>2001231084426130.2</v>
      </c>
      <c r="Y199">
        <f t="shared" si="35"/>
        <v>0.80901699437494745</v>
      </c>
      <c r="Z199">
        <f>IF(C199="NA","NA",VLOOKUP(C199,MSSM_AdaptedSources!B:K,10,FALSE))</f>
        <v>3282.473627856546</v>
      </c>
      <c r="AA199">
        <f>IF(C199="NA","0",VLOOKUP(C199,MultiFaultGeometry!B:C,2,FALSE)*IF(B199="NA",X$278/(X$278+X$276),X$278))</f>
        <v>0.66666666666666674</v>
      </c>
      <c r="AB199">
        <f>AA199*IF(C199="NA",0,VLOOKUP(C199,MultiFaultGeometry!B:O,14,FALSE))</f>
        <v>5651518444533089</v>
      </c>
      <c r="AC199">
        <f>IF(AB199=0,0,AA199*3.3*10^10*Z199*10^6*(1/Y199)*VLOOKUP(C199,MultiFaultGeometry!B:G,5,FALSE)*10^-3)</f>
        <v>9771462142934948</v>
      </c>
      <c r="AE199" s="68">
        <f t="shared" si="39"/>
        <v>578926611323084.25</v>
      </c>
      <c r="AF199" s="68">
        <f t="shared" si="41"/>
        <v>2001231084426130.2</v>
      </c>
      <c r="AG199" s="68"/>
    </row>
    <row r="200" spans="1:33" x14ac:dyDescent="0.2">
      <c r="A200" s="68" t="str">
        <f>Leonard2010!D202</f>
        <v>Central Basin Fault 27</v>
      </c>
      <c r="B200" s="68" t="str">
        <f>Leonard2010!E202</f>
        <v>NA</v>
      </c>
      <c r="C200" s="68" t="str">
        <f>Leonard2010!F202</f>
        <v>Central Basin Fault 5-27</v>
      </c>
      <c r="D200" t="str">
        <f>IF(B200="NA","NA",VLOOKUP(B200,Leonard2010!E:H,3,FALSE))</f>
        <v>NA</v>
      </c>
      <c r="E200">
        <f>IF(A200="NA","NA",VLOOKUP(A200,Leonard2010!D:I,6,FALSE))</f>
        <v>44.3</v>
      </c>
      <c r="F200">
        <f>IF(C200="NA","NA",VLOOKUP(C200,Leonard2010!F:K,6,FALSE))</f>
        <v>74.900000000000006</v>
      </c>
      <c r="G200" t="str">
        <f>IF(B200="NA","NA",VLOOKUP(B200,Leonard2010!E:H,4,FALSE))</f>
        <v>NA</v>
      </c>
      <c r="H200">
        <f>IF(A200="NA","NA",VLOOKUP(A200,Leonard2010!D:J,7,FALSE))</f>
        <v>21</v>
      </c>
      <c r="I200">
        <f>IF(C200="NA","NA",VLOOKUP(C200,Leonard2010!F:L,7,FALSE))</f>
        <v>22</v>
      </c>
      <c r="J200">
        <f>IF(A200="NA","NA",VLOOKUP(A200,Leonard2010!D:N,11,FALSE))</f>
        <v>53</v>
      </c>
      <c r="K200" t="s">
        <v>211</v>
      </c>
      <c r="L200">
        <f>VLOOKUP(A200,Leonard2010!D:AJ,32,FALSE)</f>
        <v>59</v>
      </c>
      <c r="M200">
        <f>VLOOKUP($A200,Leonard2010!D:AK,33,FALSE)</f>
        <v>76</v>
      </c>
      <c r="N200">
        <f>VLOOKUP($A200,Leonard2010!D:AL,34,FALSE)</f>
        <v>93</v>
      </c>
      <c r="O200" t="str">
        <f t="shared" si="29"/>
        <v>NA</v>
      </c>
      <c r="P200" t="str">
        <f t="shared" si="38"/>
        <v>NA</v>
      </c>
      <c r="Q200" t="str">
        <f>IF(B200="NA","0",VLOOKUP(B200,SectionGeometry!C:E,3,FALSE)*IF(C200="NA",X$277/(X$277+X$276),X$277))</f>
        <v>0</v>
      </c>
      <c r="R200">
        <f>Q200*IF(B200="NA",0,((VLOOKUP(B200,SectionGeometry!C:Z,24,FALSE))))</f>
        <v>0</v>
      </c>
      <c r="S200">
        <f>IF(R200=0,0,Q200*3.3*10^10*P200*10^6*(1/O200)*VLOOKUP(B200,SectionGeometry!C:AA,25,FALSE)*10^-3)</f>
        <v>0</v>
      </c>
      <c r="T200">
        <f t="shared" si="40"/>
        <v>0.8191520442889918</v>
      </c>
      <c r="U200">
        <f>IF(K200="N",E200*35/SIN(RADIANS(J200)),IF(K200="Y",VLOOKUP(A200,Leonard2010!D:U,18,FALSE),IF(C200="NA",VLOOKUP(A200,MSSM_AdaptedSources!B:K,10,FALSE),"CHECK")))</f>
        <v>1941.4363379712279</v>
      </c>
      <c r="V200">
        <f>(1*VLOOKUP(A200,FaultGeometry!B:C,2,FALSE))-Q200-AA200</f>
        <v>0.33333333333333326</v>
      </c>
      <c r="W200">
        <f>V200*(VLOOKUP(A200,FaultGeometry!B:Y,24,FALSE))</f>
        <v>1204926449193831.2</v>
      </c>
      <c r="X200">
        <f>V200*3.3*10^10*U200*10^6*(1/T200)*VLOOKUP(A200,FaultGeometry!B:O,14,FALSE)*10^-3</f>
        <v>2873860680585784.5</v>
      </c>
      <c r="Y200">
        <f t="shared" si="35"/>
        <v>0.80901699437494745</v>
      </c>
      <c r="Z200">
        <f>IF(C200="NA","NA",VLOOKUP(C200,MSSM_AdaptedSources!B:K,10,FALSE))</f>
        <v>3282.473627856546</v>
      </c>
      <c r="AA200">
        <f>IF(C200="NA","0",VLOOKUP(C200,MultiFaultGeometry!B:C,2,FALSE)*IF(B200="NA",X$278/(X$278+X$276),X$278))</f>
        <v>0.66666666666666674</v>
      </c>
      <c r="AB200">
        <f>AA200*IF(C200="NA",0,VLOOKUP(C200,MultiFaultGeometry!B:O,14,FALSE))</f>
        <v>5651518444533089</v>
      </c>
      <c r="AC200">
        <f>IF(AB200=0,0,AA200*3.3*10^10*Z200*10^6*(1/Y200)*VLOOKUP(C200,MultiFaultGeometry!B:G,5,FALSE)*10^-3)</f>
        <v>9771462142934948</v>
      </c>
      <c r="AE200" s="68">
        <f t="shared" si="39"/>
        <v>1204926449193831.2</v>
      </c>
      <c r="AF200" s="68">
        <f t="shared" si="41"/>
        <v>2873860680585784.5</v>
      </c>
      <c r="AG200" s="68"/>
    </row>
    <row r="201" spans="1:33" x14ac:dyDescent="0.2">
      <c r="A201" s="68" t="str">
        <f>Leonard2010!D203</f>
        <v>Central Basin Fault 6</v>
      </c>
      <c r="B201" s="68" t="str">
        <f>Leonard2010!E203</f>
        <v>NA</v>
      </c>
      <c r="C201" s="68" t="str">
        <f>Leonard2010!F203</f>
        <v>NA</v>
      </c>
      <c r="D201" t="str">
        <f>IF(B201="NA","NA",VLOOKUP(B201,Leonard2010!E:H,3,FALSE))</f>
        <v>NA</v>
      </c>
      <c r="E201">
        <f>IF(A201="NA","NA",VLOOKUP(A201,Leonard2010!D:I,6,FALSE))</f>
        <v>31.2</v>
      </c>
      <c r="F201" t="str">
        <f>IF(C201="NA","NA",VLOOKUP(C201,Leonard2010!F:K,6,FALSE))</f>
        <v>NA</v>
      </c>
      <c r="G201" t="str">
        <f>IF(B201="NA","NA",VLOOKUP(B201,Leonard2010!E:H,4,FALSE))</f>
        <v>NA</v>
      </c>
      <c r="H201">
        <f>IF(A201="NA","NA",VLOOKUP(A201,Leonard2010!D:J,7,FALSE))</f>
        <v>17</v>
      </c>
      <c r="I201" t="str">
        <f>IF(C201="NA","NA",VLOOKUP(C201,Leonard2010!F:L,7,FALSE))</f>
        <v>NA</v>
      </c>
      <c r="J201">
        <f>IF(A201="NA","NA",VLOOKUP(A201,Leonard2010!D:N,11,FALSE))</f>
        <v>53</v>
      </c>
      <c r="K201" t="s">
        <v>211</v>
      </c>
      <c r="L201">
        <f>VLOOKUP(A201,Leonard2010!D:AJ,32,FALSE)</f>
        <v>59</v>
      </c>
      <c r="M201">
        <f>VLOOKUP($A201,Leonard2010!D:AK,33,FALSE)</f>
        <v>76</v>
      </c>
      <c r="N201">
        <f>VLOOKUP($A201,Leonard2010!D:AL,34,FALSE)</f>
        <v>93</v>
      </c>
      <c r="O201" t="str">
        <f t="shared" si="29"/>
        <v>NA</v>
      </c>
      <c r="P201" t="str">
        <f t="shared" si="38"/>
        <v>NA</v>
      </c>
      <c r="Q201" t="str">
        <f>IF(B201="NA","0",VLOOKUP(B201,SectionGeometry!C:E,3,FALSE)*IF(C201="NA",X$277/(X$277+X$276),X$277))</f>
        <v>0</v>
      </c>
      <c r="R201">
        <f>Q201*IF(B201="NA",0,((VLOOKUP(B201,SectionGeometry!C:Z,24,FALSE))))</f>
        <v>0</v>
      </c>
      <c r="S201">
        <f>IF(R201=0,0,Q201*3.3*10^10*P201*10^6*(1/O201)*VLOOKUP(B201,SectionGeometry!C:AA,25,FALSE)*10^-3)</f>
        <v>0</v>
      </c>
      <c r="T201">
        <f t="shared" si="40"/>
        <v>0.85716730070211233</v>
      </c>
      <c r="U201">
        <f>IF(K201="N",E201*35/SIN(RADIANS(J201)),IF(K201="Y",VLOOKUP(A201,Leonard2010!D:U,18,FALSE),IF(C201="NA",VLOOKUP(A201,MSSM_AdaptedSources!B:K,10,FALSE),"CHECK")))</f>
        <v>1367.3321387065985</v>
      </c>
      <c r="V201">
        <f>(1*VLOOKUP(A201,FaultGeometry!B:C,2,FALSE))-Q201-AA201</f>
        <v>1</v>
      </c>
      <c r="W201">
        <f>V201*(VLOOKUP(A201,FaultGeometry!B:Y,24,FALSE))</f>
        <v>2101935680331533</v>
      </c>
      <c r="X201">
        <f>V201*3.3*10^10*U201*10^6*(1/T201)*VLOOKUP(A201,FaultGeometry!B:O,14,FALSE)*10^-3</f>
        <v>6141315098475998</v>
      </c>
      <c r="Y201" t="str">
        <f t="shared" si="35"/>
        <v>NA</v>
      </c>
      <c r="Z201" t="str">
        <f>IF(C201="NA","NA",VLOOKUP(C201,MSSM_AdaptedSources!B:K,10,FALSE))</f>
        <v>NA</v>
      </c>
      <c r="AA201" t="str">
        <f>IF(C201="NA","0",VLOOKUP(C201,MultiFaultGeometry!B:C,2,FALSE)*IF(B201="NA",X$278/(X$278+X$276),X$278))</f>
        <v>0</v>
      </c>
      <c r="AB201">
        <f>AA201*IF(C201="NA",0,VLOOKUP(C201,MultiFaultGeometry!B:O,14,FALSE))</f>
        <v>0</v>
      </c>
      <c r="AC201">
        <f>IF(AB201=0,0,AA201*3.3*10^10*Z201*10^6*(1/Y201)*VLOOKUP(C201,MultiFaultGeometry!B:G,5,FALSE)*10^-3)</f>
        <v>0</v>
      </c>
      <c r="AE201" s="68">
        <f t="shared" si="39"/>
        <v>2101935680331533</v>
      </c>
      <c r="AF201" s="68">
        <f t="shared" si="41"/>
        <v>6141315098475998</v>
      </c>
      <c r="AG201" s="68"/>
    </row>
    <row r="202" spans="1:33" x14ac:dyDescent="0.2">
      <c r="A202" s="68" t="str">
        <f>Leonard2010!D204</f>
        <v>Central Basin Fault 7</v>
      </c>
      <c r="B202" s="68" t="str">
        <f>Leonard2010!E204</f>
        <v>NA</v>
      </c>
      <c r="C202" s="68" t="str">
        <f>Leonard2010!F204</f>
        <v>Central Basin Fault 7-8</v>
      </c>
      <c r="D202" t="str">
        <f>IF(B202="NA","NA",VLOOKUP(B202,Leonard2010!E:H,3,FALSE))</f>
        <v>NA</v>
      </c>
      <c r="E202">
        <f>IF(A202="NA","NA",VLOOKUP(A202,Leonard2010!D:I,6,FALSE))</f>
        <v>29</v>
      </c>
      <c r="F202">
        <f>IF(C202="NA","NA",VLOOKUP(C202,Leonard2010!F:K,6,FALSE))</f>
        <v>36.4</v>
      </c>
      <c r="G202" t="str">
        <f>IF(B202="NA","NA",VLOOKUP(B202,Leonard2010!E:H,4,FALSE))</f>
        <v>NA</v>
      </c>
      <c r="H202">
        <f>IF(A202="NA","NA",VLOOKUP(A202,Leonard2010!D:J,7,FALSE))</f>
        <v>354</v>
      </c>
      <c r="I202">
        <f>IF(C202="NA","NA",VLOOKUP(C202,Leonard2010!F:L,7,FALSE))</f>
        <v>2</v>
      </c>
      <c r="J202">
        <f>IF(A202="NA","NA",VLOOKUP(A202,Leonard2010!D:N,11,FALSE))</f>
        <v>53</v>
      </c>
      <c r="K202" t="s">
        <v>211</v>
      </c>
      <c r="L202">
        <f>VLOOKUP(A202,Leonard2010!D:AJ,32,FALSE)</f>
        <v>59</v>
      </c>
      <c r="M202">
        <f>VLOOKUP($A202,Leonard2010!D:AK,33,FALSE)</f>
        <v>76</v>
      </c>
      <c r="N202">
        <f>VLOOKUP($A202,Leonard2010!D:AL,34,FALSE)</f>
        <v>93</v>
      </c>
      <c r="O202" t="str">
        <f t="shared" si="29"/>
        <v>NA</v>
      </c>
      <c r="P202" t="str">
        <f t="shared" si="38"/>
        <v>NA</v>
      </c>
      <c r="Q202" t="str">
        <f>IF(B202="NA","0",VLOOKUP(B202,SectionGeometry!C:E,3,FALSE)*IF(C202="NA",X$277/(X$277+X$276),X$277))</f>
        <v>0</v>
      </c>
      <c r="R202">
        <f>Q202*IF(B202="NA",0,((VLOOKUP(B202,SectionGeometry!C:Z,24,FALSE))))</f>
        <v>0</v>
      </c>
      <c r="S202">
        <f>IF(R202=0,0,Q202*3.3*10^10*P202*10^6*(1/O202)*VLOOKUP(B202,SectionGeometry!C:AA,25,FALSE)*10^-3)</f>
        <v>0</v>
      </c>
      <c r="T202">
        <f t="shared" si="40"/>
        <v>0.98768834059513766</v>
      </c>
      <c r="U202">
        <f>IF(K202="N",E202*35/SIN(RADIANS(J202)),IF(K202="Y",VLOOKUP(A202,Leonard2010!D:U,18,FALSE),IF(C202="NA",VLOOKUP(A202,MSSM_AdaptedSources!B:K,10,FALSE),"CHECK")))</f>
        <v>1270.9176930285691</v>
      </c>
      <c r="V202">
        <f>(1*VLOOKUP(A202,FaultGeometry!B:C,2,FALSE))-Q202-AA202</f>
        <v>0.33333333333333326</v>
      </c>
      <c r="W202">
        <f>V202*(VLOOKUP(A202,FaultGeometry!B:Y,24,FALSE))</f>
        <v>732423522046904.12</v>
      </c>
      <c r="X202">
        <f>V202*3.3*10^10*U202*10^6*(1/T202)*VLOOKUP(A202,FaultGeometry!B:O,14,FALSE)*10^-3</f>
        <v>1919316001436916.5</v>
      </c>
      <c r="Y202">
        <f t="shared" si="35"/>
        <v>0.96126169593831889</v>
      </c>
      <c r="Z202">
        <f>IF(C202="NA","NA",VLOOKUP(C202,MSSM_AdaptedSources!B:K,10,FALSE))</f>
        <v>1572.4319595125883</v>
      </c>
      <c r="AA202">
        <f>IF(C202="NA","0",VLOOKUP(C202,MultiFaultGeometry!B:C,2,FALSE)*IF(B202="NA",X$278/(X$278+X$276),X$278))</f>
        <v>0.66666666666666674</v>
      </c>
      <c r="AB202">
        <f>AA202*IF(C202="NA",0,VLOOKUP(C202,MultiFaultGeometry!B:O,14,FALSE))</f>
        <v>2125045202817650</v>
      </c>
      <c r="AC202">
        <f>IF(AB202=0,0,AA202*3.3*10^10*Z202*10^6*(1/Y202)*VLOOKUP(C202,MultiFaultGeometry!B:G,5,FALSE)*10^-3)</f>
        <v>4769770623151421</v>
      </c>
      <c r="AE202" s="68">
        <f t="shared" si="39"/>
        <v>732423522046904.12</v>
      </c>
      <c r="AF202" s="68">
        <f t="shared" si="41"/>
        <v>1919316001436916.5</v>
      </c>
      <c r="AG202" s="68"/>
    </row>
    <row r="203" spans="1:33" x14ac:dyDescent="0.2">
      <c r="A203" s="68" t="str">
        <f>Leonard2010!D205</f>
        <v>Central Basin Fault 8</v>
      </c>
      <c r="B203" s="68" t="str">
        <f>Leonard2010!E205</f>
        <v>NA</v>
      </c>
      <c r="C203" s="68" t="str">
        <f>Leonard2010!F205</f>
        <v>Central Basin Fault 7-8</v>
      </c>
      <c r="D203" t="str">
        <f>IF(B203="NA","NA",VLOOKUP(B203,Leonard2010!E:H,3,FALSE))</f>
        <v>NA</v>
      </c>
      <c r="E203">
        <f>IF(A203="NA","NA",VLOOKUP(A203,Leonard2010!D:I,6,FALSE))</f>
        <v>7.4</v>
      </c>
      <c r="F203">
        <f>IF(C203="NA","NA",VLOOKUP(C203,Leonard2010!F:K,6,FALSE))</f>
        <v>36.4</v>
      </c>
      <c r="G203" t="str">
        <f>IF(B203="NA","NA",VLOOKUP(B203,Leonard2010!E:H,4,FALSE))</f>
        <v>NA</v>
      </c>
      <c r="H203">
        <f>IF(A203="NA","NA",VLOOKUP(A203,Leonard2010!D:J,7,FALSE))</f>
        <v>3</v>
      </c>
      <c r="I203">
        <f>IF(C203="NA","NA",VLOOKUP(C203,Leonard2010!F:L,7,FALSE))</f>
        <v>2</v>
      </c>
      <c r="J203">
        <f>IF(A203="NA","NA",VLOOKUP(A203,Leonard2010!D:N,11,FALSE))</f>
        <v>53</v>
      </c>
      <c r="K203" t="s">
        <v>211</v>
      </c>
      <c r="L203">
        <f>VLOOKUP(A203,Leonard2010!D:AJ,32,FALSE)</f>
        <v>59</v>
      </c>
      <c r="M203">
        <f>VLOOKUP($A203,Leonard2010!D:AK,33,FALSE)</f>
        <v>76</v>
      </c>
      <c r="N203">
        <f>VLOOKUP($A203,Leonard2010!D:AL,34,FALSE)</f>
        <v>93</v>
      </c>
      <c r="O203" t="str">
        <f t="shared" ref="O203:O244" si="42">IF($B203="NA","NA",MEDIAN(ABS(COS(RADIANS($L203-$G203-90))),ABS(COS(RADIANS($M203-$G203-90))),ABS(COS(RADIANS($N203-$G203-90)))))</f>
        <v>NA</v>
      </c>
      <c r="P203" t="str">
        <f t="shared" si="38"/>
        <v>NA</v>
      </c>
      <c r="Q203" t="str">
        <f>IF(B203="NA","0",VLOOKUP(B203,SectionGeometry!C:E,3,FALSE)*IF(C203="NA",X$277/(X$277+X$276),X$277))</f>
        <v>0</v>
      </c>
      <c r="R203">
        <f>Q203*IF(B203="NA",0,((VLOOKUP(B203,SectionGeometry!C:Z,24,FALSE))))</f>
        <v>0</v>
      </c>
      <c r="S203">
        <f>IF(R203=0,0,Q203*3.3*10^10*P203*10^6*(1/O203)*VLOOKUP(B203,SectionGeometry!C:AA,25,FALSE)*10^-3)</f>
        <v>0</v>
      </c>
      <c r="T203">
        <f t="shared" si="40"/>
        <v>0.95630475596303544</v>
      </c>
      <c r="U203">
        <f>IF(K203="N",E203*35/SIN(RADIANS(J203)),IF(K203="Y",VLOOKUP(A203,Leonard2010!D:U,18,FALSE),IF(C203="NA",VLOOKUP(A203,MSSM_AdaptedSources!B:K,10,FALSE),"CHECK")))</f>
        <v>324.30313546246248</v>
      </c>
      <c r="V203">
        <f>(1*VLOOKUP(A203,FaultGeometry!B:C,2,FALSE))-Q203-AA203</f>
        <v>0.33333333333333326</v>
      </c>
      <c r="W203">
        <f>V203*(VLOOKUP(A203,FaultGeometry!B:Y,24,FALSE))</f>
        <v>69662452404041.883</v>
      </c>
      <c r="X203">
        <f>V203*3.3*10^10*U203*10^6*(1/T203)*VLOOKUP(A203,FaultGeometry!B:O,14,FALSE)*10^-3</f>
        <v>481800270669798.62</v>
      </c>
      <c r="Y203">
        <f t="shared" si="35"/>
        <v>0.96126169593831889</v>
      </c>
      <c r="Z203">
        <f>IF(C203="NA","NA",VLOOKUP(C203,MSSM_AdaptedSources!B:K,10,FALSE))</f>
        <v>1572.4319595125883</v>
      </c>
      <c r="AA203">
        <f>IF(C203="NA","0",VLOOKUP(C203,MultiFaultGeometry!B:C,2,FALSE)*IF(B203="NA",X$278/(X$278+X$276),X$278))</f>
        <v>0.66666666666666674</v>
      </c>
      <c r="AB203">
        <f>AA203*IF(C203="NA",0,VLOOKUP(C203,MultiFaultGeometry!B:O,14,FALSE))</f>
        <v>2125045202817650</v>
      </c>
      <c r="AC203">
        <f>IF(AB203=0,0,AA203*3.3*10^10*Z203*10^6*(1/Y203)*VLOOKUP(C203,MultiFaultGeometry!B:G,5,FALSE)*10^-3)</f>
        <v>4769770623151421</v>
      </c>
      <c r="AE203" s="68">
        <f t="shared" si="39"/>
        <v>69662452404041.883</v>
      </c>
      <c r="AF203" s="68">
        <f t="shared" si="41"/>
        <v>481800270669798.62</v>
      </c>
      <c r="AG203" s="68"/>
    </row>
    <row r="204" spans="1:33" x14ac:dyDescent="0.2">
      <c r="A204" s="68" t="str">
        <f>Leonard2010!D206</f>
        <v>Central Basin Fault 11</v>
      </c>
      <c r="B204" s="68" t="str">
        <f>Leonard2010!E206</f>
        <v>NA</v>
      </c>
      <c r="C204" s="68" t="str">
        <f>Leonard2010!F206</f>
        <v>NA</v>
      </c>
      <c r="D204" t="str">
        <f>IF(B204="NA","NA",VLOOKUP(B204,Leonard2010!E:H,3,FALSE))</f>
        <v>NA</v>
      </c>
      <c r="E204">
        <f>IF(A204="NA","NA",VLOOKUP(A204,Leonard2010!D:I,6,FALSE))</f>
        <v>29.9</v>
      </c>
      <c r="F204" t="str">
        <f>IF(C204="NA","NA",VLOOKUP(C204,Leonard2010!F:K,6,FALSE))</f>
        <v>NA</v>
      </c>
      <c r="G204" t="str">
        <f>IF(B204="NA","NA",VLOOKUP(B204,Leonard2010!E:H,4,FALSE))</f>
        <v>NA</v>
      </c>
      <c r="H204">
        <f>IF(A204="NA","NA",VLOOKUP(A204,Leonard2010!D:J,7,FALSE))</f>
        <v>342</v>
      </c>
      <c r="I204" t="str">
        <f>IF(C204="NA","NA",VLOOKUP(C204,Leonard2010!F:L,7,FALSE))</f>
        <v>NA</v>
      </c>
      <c r="J204">
        <f>IF(A204="NA","NA",VLOOKUP(A204,Leonard2010!D:N,11,FALSE))</f>
        <v>53</v>
      </c>
      <c r="K204" t="s">
        <v>308</v>
      </c>
      <c r="L204">
        <f>VLOOKUP(A204,Leonard2010!D:AJ,32,FALSE)</f>
        <v>59</v>
      </c>
      <c r="M204">
        <f>VLOOKUP($A204,Leonard2010!D:AK,33,FALSE)</f>
        <v>76</v>
      </c>
      <c r="N204">
        <f>VLOOKUP($A204,Leonard2010!D:AL,34,FALSE)</f>
        <v>93</v>
      </c>
      <c r="O204" t="str">
        <f t="shared" si="42"/>
        <v>NA</v>
      </c>
      <c r="P204" t="str">
        <f t="shared" si="38"/>
        <v>NA</v>
      </c>
      <c r="Q204" t="str">
        <f>IF(B204="NA","0",VLOOKUP(B204,SectionGeometry!C:E,3,FALSE)*IF(C204="NA",X$277/(X$277+X$276),X$277))</f>
        <v>0</v>
      </c>
      <c r="R204">
        <f>Q204*IF(B204="NA",0,((VLOOKUP(B204,SectionGeometry!C:Z,24,FALSE))))</f>
        <v>0</v>
      </c>
      <c r="S204">
        <f>IF(R204=0,0,Q204*3.3*10^10*P204*10^6*(1/O204)*VLOOKUP(B204,SectionGeometry!C:AA,25,FALSE)*10^-3)</f>
        <v>0</v>
      </c>
      <c r="T204">
        <f t="shared" si="40"/>
        <v>0.97437006478523525</v>
      </c>
      <c r="U204">
        <f>IF(K204="N",E204*35/SIN(RADIANS(J204)),IF(K204="Y",VLOOKUP(A204,Leonard2010!D:U,18,FALSE),IF(C204="NA",VLOOKUP(A204,MSSM_AdaptedSources!B:K,10,FALSE),"CHECK")))</f>
        <v>300</v>
      </c>
      <c r="V204">
        <f>(1*VLOOKUP(A204,FaultGeometry!B:C,2,FALSE))-Q204-AA204</f>
        <v>1</v>
      </c>
      <c r="W204">
        <f>V204*(VLOOKUP(A204,FaultGeometry!B:Y,24,FALSE))</f>
        <v>1339447126819632.8</v>
      </c>
      <c r="X204">
        <f>V204*3.3*10^10*U204*10^6*(1/T204)*VLOOKUP(A204,FaultGeometry!B:O,14,FALSE)*10^-3</f>
        <v>1373952862896536</v>
      </c>
      <c r="Y204" t="str">
        <f t="shared" si="35"/>
        <v>NA</v>
      </c>
      <c r="Z204" t="str">
        <f>IF(C204="NA","NA",VLOOKUP(C204,MSSM_AdaptedSources!B:K,10,FALSE))</f>
        <v>NA</v>
      </c>
      <c r="AA204" t="str">
        <f>IF(C204="NA","0",VLOOKUP(C204,MultiFaultGeometry!B:C,2,FALSE)*IF(B204="NA",X$278/(X$278+X$276),X$278))</f>
        <v>0</v>
      </c>
      <c r="AB204">
        <f>AA204*IF(C204="NA",0,VLOOKUP(C204,MultiFaultGeometry!B:O,14,FALSE))</f>
        <v>0</v>
      </c>
      <c r="AC204">
        <f>IF(AB204=0,0,AA204*3.3*10^10*Z204*10^6*(1/Y204)*VLOOKUP(C204,MultiFaultGeometry!B:G,5,FALSE)*10^-3)</f>
        <v>0</v>
      </c>
      <c r="AE204" s="68">
        <f t="shared" si="39"/>
        <v>1339447126819632.8</v>
      </c>
      <c r="AF204" s="68">
        <f t="shared" si="41"/>
        <v>1373952862896536</v>
      </c>
      <c r="AG204" s="68"/>
    </row>
    <row r="205" spans="1:33" x14ac:dyDescent="0.2">
      <c r="A205" s="68" t="str">
        <f>Leonard2010!D207</f>
        <v>Central Basin Fault 19</v>
      </c>
      <c r="B205" s="68" t="str">
        <f>Leonard2010!E207</f>
        <v>Central Basin Fault 19 South</v>
      </c>
      <c r="C205" s="68" t="str">
        <f>Leonard2010!F207</f>
        <v>Central Basin Fault 19-20</v>
      </c>
      <c r="D205">
        <f>IF(B205="NA","NA",VLOOKUP(B205,Leonard2010!E:H,3,FALSE))</f>
        <v>24.3</v>
      </c>
      <c r="E205">
        <f>IF(A205="NA","NA",VLOOKUP(A205,Leonard2010!D:I,6,FALSE))</f>
        <v>42.900000000000006</v>
      </c>
      <c r="F205">
        <f>IF(C205="NA","NA",VLOOKUP(C205,Leonard2010!F:K,6,FALSE))</f>
        <v>72.600000000000009</v>
      </c>
      <c r="G205">
        <f>IF(B205="NA","NA",VLOOKUP(B205,Leonard2010!E:H,4,FALSE))</f>
        <v>178</v>
      </c>
      <c r="H205">
        <f>IF(A205="NA","NA",VLOOKUP(A205,Leonard2010!D:J,7,FALSE))</f>
        <v>169</v>
      </c>
      <c r="I205">
        <f>IF(C205="NA","NA",VLOOKUP(C205,Leonard2010!F:L,7,FALSE))</f>
        <v>171</v>
      </c>
      <c r="J205">
        <f>IF(A205="NA","NA",VLOOKUP(A205,Leonard2010!D:N,11,FALSE))</f>
        <v>53</v>
      </c>
      <c r="K205" t="s">
        <v>308</v>
      </c>
      <c r="L205">
        <f>VLOOKUP(A205,Leonard2010!D:AJ,32,FALSE)</f>
        <v>59</v>
      </c>
      <c r="M205">
        <f>VLOOKUP($A205,Leonard2010!D:AK,33,FALSE)</f>
        <v>76</v>
      </c>
      <c r="N205">
        <f>VLOOKUP($A205,Leonard2010!D:AL,34,FALSE)</f>
        <v>93</v>
      </c>
      <c r="O205">
        <f t="shared" si="42"/>
        <v>0.97814760073380558</v>
      </c>
      <c r="P205">
        <f>D205*(682/E205)</f>
        <v>386.30769230769226</v>
      </c>
      <c r="Q205">
        <f>IF(B205="NA","0",VLOOKUP(B205,SectionGeometry!C:E,3,FALSE)*IF(C205="NA",X$277/(X$277+X$276),X$277))</f>
        <v>0.1</v>
      </c>
      <c r="R205">
        <f>Q205*IF(B205="NA",0,((VLOOKUP(B205,SectionGeometry!C:Z,24,FALSE))))</f>
        <v>146577105580858.03</v>
      </c>
      <c r="S205">
        <f>IF(R205=0,0,Q205*3.3*10^10*P205*10^6*(1/O205)*VLOOKUP(B205,SectionGeometry!C:AA,25,FALSE)*10^-3)</f>
        <v>172775770424417.75</v>
      </c>
      <c r="T205">
        <f t="shared" si="40"/>
        <v>0.97029572627599647</v>
      </c>
      <c r="U205">
        <f>IF(K205="N",E205*35/SIN(RADIANS(J205)),IF(K205="Y",VLOOKUP(A205,Leonard2010!D:U,18,FALSE),IF(C205="NA",VLOOKUP(A205,MSSM_AdaptedSources!B:K,10,FALSE),"CHECK")))</f>
        <v>682</v>
      </c>
      <c r="V205">
        <f>(1*VLOOKUP(A205,FaultGeometry!B:C,2,FALSE))-Q205-AA205</f>
        <v>0.30000000000000004</v>
      </c>
      <c r="W205">
        <f>V205*(VLOOKUP(A205,FaultGeometry!B:Y,24,FALSE))</f>
        <v>924009839019759.88</v>
      </c>
      <c r="X205">
        <f>V205*3.3*10^10*U205*10^6*(1/T205)*VLOOKUP(A205,FaultGeometry!B:O,14,FALSE)*10^-3</f>
        <v>944735754764842.5</v>
      </c>
      <c r="Y205">
        <f t="shared" si="35"/>
        <v>0.97814760073380569</v>
      </c>
      <c r="Z205">
        <f>IF(C205="NA","NA",VLOOKUP(C205,MSSM_AdaptedSources!B:K,10,FALSE))</f>
        <v>1581</v>
      </c>
      <c r="AA205">
        <f>IF(C205="NA","0",VLOOKUP(C205,MultiFaultGeometry!B:C,2,FALSE)*IF(B205="NA",X$278/(X$278+X$276),X$278))</f>
        <v>0.6</v>
      </c>
      <c r="AB205">
        <f>AA205*IF(C205="NA",0,VLOOKUP(C205,MultiFaultGeometry!B:O,14,FALSE))</f>
        <v>3237151737595932.5</v>
      </c>
      <c r="AC205">
        <f>IF(AB205=0,0,AA205*3.3*10^10*Z205*10^6*(1/Y205)*VLOOKUP(C205,MultiFaultGeometry!B:G,5,FALSE)*10^-3)</f>
        <v>4372839323602084</v>
      </c>
      <c r="AE205" s="68">
        <f t="shared" si="39"/>
        <v>0</v>
      </c>
      <c r="AF205" s="68">
        <f t="shared" si="41"/>
        <v>0</v>
      </c>
      <c r="AG205" s="68"/>
    </row>
    <row r="206" spans="1:33" x14ac:dyDescent="0.2">
      <c r="A206" s="68" t="str">
        <f>Leonard2010!D208</f>
        <v>Central Basin Fault 19</v>
      </c>
      <c r="B206" s="68" t="str">
        <f>Leonard2010!E208</f>
        <v>Central Basin Fault 19 North</v>
      </c>
      <c r="C206" s="68" t="str">
        <f>Leonard2010!F208</f>
        <v>Central Basin Fault 19-20</v>
      </c>
      <c r="D206">
        <f>IF(B206="NA","NA",VLOOKUP(B206,Leonard2010!E:H,3,FALSE))</f>
        <v>18.600000000000001</v>
      </c>
      <c r="E206">
        <f>IF(A206="NA","NA",VLOOKUP(A206,Leonard2010!D:I,6,FALSE))</f>
        <v>42.900000000000006</v>
      </c>
      <c r="F206">
        <f>IF(C206="NA","NA",VLOOKUP(C206,Leonard2010!F:K,6,FALSE))</f>
        <v>72.600000000000009</v>
      </c>
      <c r="G206">
        <f>IF(B206="NA","NA",VLOOKUP(B206,Leonard2010!E:H,4,FALSE))</f>
        <v>157</v>
      </c>
      <c r="H206">
        <f>IF(A206="NA","NA",VLOOKUP(A206,Leonard2010!D:J,7,FALSE))</f>
        <v>169</v>
      </c>
      <c r="I206">
        <f>IF(C206="NA","NA",VLOOKUP(C206,Leonard2010!F:L,7,FALSE))</f>
        <v>171</v>
      </c>
      <c r="J206">
        <f>IF(A206="NA","NA",VLOOKUP(A206,Leonard2010!D:N,11,FALSE))</f>
        <v>53</v>
      </c>
      <c r="K206" t="s">
        <v>308</v>
      </c>
      <c r="L206">
        <f>VLOOKUP(A206,Leonard2010!D:AJ,32,FALSE)</f>
        <v>59</v>
      </c>
      <c r="M206">
        <f>VLOOKUP($A206,Leonard2010!D:AK,33,FALSE)</f>
        <v>76</v>
      </c>
      <c r="N206">
        <f>VLOOKUP($A206,Leonard2010!D:AL,34,FALSE)</f>
        <v>93</v>
      </c>
      <c r="O206">
        <f t="shared" si="42"/>
        <v>0.98768834059513766</v>
      </c>
      <c r="P206">
        <f>D206*(682/E206)</f>
        <v>295.69230769230768</v>
      </c>
      <c r="Q206">
        <f>IF(B206="NA","0",VLOOKUP(B206,SectionGeometry!C:E,3,FALSE)*IF(C206="NA",X$277/(X$277+X$276),X$277))</f>
        <v>0.1</v>
      </c>
      <c r="R206">
        <f>Q206*IF(B206="NA",0,((VLOOKUP(B206,SectionGeometry!C:Z,24,FALSE))))</f>
        <v>94874325164565.906</v>
      </c>
      <c r="S206">
        <f>IF(R206=0,0,Q206*3.3*10^10*P206*10^6*(1/O206)*VLOOKUP(B206,SectionGeometry!C:AA,25,FALSE)*10^-3)</f>
        <v>130555087885472.67</v>
      </c>
      <c r="T206">
        <f t="shared" si="40"/>
        <v>0.97029572627599647</v>
      </c>
      <c r="U206">
        <f>IF(K206="N",E206*35/SIN(RADIANS(J206)),IF(K206="Y",VLOOKUP(A206,Leonard2010!D:U,18,FALSE),IF(C206="NA",VLOOKUP(A206,MSSM_AdaptedSources!B:K,10,FALSE),"CHECK")))</f>
        <v>682</v>
      </c>
      <c r="V206">
        <f>(1*VLOOKUP(A206,FaultGeometry!B:C,2,FALSE))-Q206-AA206</f>
        <v>0.30000000000000004</v>
      </c>
      <c r="W206">
        <f>V206*(VLOOKUP(A206,FaultGeometry!B:Y,24,FALSE))</f>
        <v>924009839019759.88</v>
      </c>
      <c r="X206">
        <f>V206*3.3*10^10*U206*10^6*(1/T206)*VLOOKUP(A206,FaultGeometry!B:O,14,FALSE)*10^-3</f>
        <v>944735754764842.5</v>
      </c>
      <c r="Y206">
        <f t="shared" si="35"/>
        <v>0.97814760073380569</v>
      </c>
      <c r="Z206">
        <f>IF(C206="NA","NA",VLOOKUP(C206,MSSM_AdaptedSources!B:K,10,FALSE))</f>
        <v>1581</v>
      </c>
      <c r="AA206">
        <f>IF(C206="NA","0",VLOOKUP(C206,MultiFaultGeometry!B:C,2,FALSE)*IF(B206="NA",X$278/(X$278+X$276),X$278))</f>
        <v>0.6</v>
      </c>
      <c r="AB206">
        <f>AA206*IF(C206="NA",0,VLOOKUP(C206,MultiFaultGeometry!B:O,14,FALSE))</f>
        <v>3237151737595932.5</v>
      </c>
      <c r="AC206">
        <f>IF(AB206=0,0,AA206*3.3*10^10*Z206*10^6*(1/Y206)*VLOOKUP(C206,MultiFaultGeometry!B:G,5,FALSE)*10^-3)</f>
        <v>4372839323602084</v>
      </c>
      <c r="AE206" s="68">
        <f t="shared" si="39"/>
        <v>924009839019759.88</v>
      </c>
      <c r="AF206" s="68">
        <f t="shared" si="41"/>
        <v>944735754764842.5</v>
      </c>
      <c r="AG206" s="68"/>
    </row>
    <row r="207" spans="1:33" x14ac:dyDescent="0.2">
      <c r="A207" s="68" t="str">
        <f>Leonard2010!D209</f>
        <v>Central Basin Fault 20</v>
      </c>
      <c r="B207" s="68" t="str">
        <f>Leonard2010!E209</f>
        <v>Central Basin Fault 20 South</v>
      </c>
      <c r="C207" s="68" t="str">
        <f>Leonard2010!F209</f>
        <v>Central Basin Fault 19-20</v>
      </c>
      <c r="D207">
        <f>IF(B207="NA","NA",VLOOKUP(B207,Leonard2010!E:H,3,FALSE))</f>
        <v>14.2</v>
      </c>
      <c r="E207">
        <f>IF(A207="NA","NA",VLOOKUP(A207,Leonard2010!D:I,6,FALSE))</f>
        <v>29.7</v>
      </c>
      <c r="F207">
        <f>IF(C207="NA","NA",VLOOKUP(C207,Leonard2010!F:K,6,FALSE))</f>
        <v>72.600000000000009</v>
      </c>
      <c r="G207">
        <f>IF(B207="NA","NA",VLOOKUP(B207,Leonard2010!E:H,4,FALSE))</f>
        <v>345</v>
      </c>
      <c r="H207">
        <f>IF(A207="NA","NA",VLOOKUP(A207,Leonard2010!D:J,7,FALSE))</f>
        <v>2</v>
      </c>
      <c r="I207">
        <f>IF(C207="NA","NA",VLOOKUP(C207,Leonard2010!F:L,7,FALSE))</f>
        <v>171</v>
      </c>
      <c r="J207">
        <f>IF(A207="NA","NA",VLOOKUP(A207,Leonard2010!D:N,11,FALSE))</f>
        <v>53</v>
      </c>
      <c r="K207" t="s">
        <v>308</v>
      </c>
      <c r="L207">
        <f>VLOOKUP(A207,Leonard2010!D:AJ,32,FALSE)</f>
        <v>59</v>
      </c>
      <c r="M207">
        <f>VLOOKUP($A207,Leonard2010!D:AK,33,FALSE)</f>
        <v>76</v>
      </c>
      <c r="N207">
        <f>VLOOKUP($A207,Leonard2010!D:AL,34,FALSE)</f>
        <v>93</v>
      </c>
      <c r="O207">
        <f t="shared" si="42"/>
        <v>0.96126169593831878</v>
      </c>
      <c r="P207">
        <f>D207*(630/E207)</f>
        <v>301.21212121212119</v>
      </c>
      <c r="Q207">
        <f>IF(B207="NA","0",VLOOKUP(B207,SectionGeometry!C:E,3,FALSE)*IF(C207="NA",X$277/(X$277+X$276),X$277))</f>
        <v>0.1</v>
      </c>
      <c r="R207">
        <f>Q207*IF(B207="NA",0,((VLOOKUP(B207,SectionGeometry!C:Z,24,FALSE))))</f>
        <v>60158732638793.828</v>
      </c>
      <c r="S207">
        <f>IF(R207=0,0,Q207*3.3*10^10*P207*10^6*(1/O207)*VLOOKUP(B207,SectionGeometry!C:AA,25,FALSE)*10^-3)</f>
        <v>138592891468910</v>
      </c>
      <c r="T207">
        <f t="shared" si="40"/>
        <v>0.96126169593831889</v>
      </c>
      <c r="U207">
        <f>IF(K207="N",E207*35/SIN(RADIANS(J207)),IF(K207="Y",VLOOKUP(A207,Leonard2010!D:U,18,FALSE),IF(C207="NA",VLOOKUP(A207,MSSM_AdaptedSources!B:K,10,FALSE),"CHECK")))</f>
        <v>498.46208630350122</v>
      </c>
      <c r="V207">
        <f>(1*VLOOKUP(A207,FaultGeometry!B:C,2,FALSE))-Q207-AA207</f>
        <v>0.30000000000000004</v>
      </c>
      <c r="W207">
        <f>V207*(VLOOKUP(A207,FaultGeometry!B:Y,24,FALSE))</f>
        <v>665938752564447.75</v>
      </c>
      <c r="X207">
        <f>V207*3.3*10^10*U207*10^6*(1/T207)*VLOOKUP(A207,FaultGeometry!B:O,14,FALSE)*10^-3</f>
        <v>666998775298343.25</v>
      </c>
      <c r="Y207">
        <f t="shared" si="35"/>
        <v>0.97814760073380569</v>
      </c>
      <c r="Z207">
        <f>IF(C207="NA","NA",VLOOKUP(C207,MSSM_AdaptedSources!B:K,10,FALSE))</f>
        <v>1581</v>
      </c>
      <c r="AA207">
        <f>IF(C207="NA","0",VLOOKUP(C207,MultiFaultGeometry!B:C,2,FALSE)*IF(B207="NA",X$278/(X$278+X$276),X$278))</f>
        <v>0.6</v>
      </c>
      <c r="AB207">
        <f>AA207*IF(C207="NA",0,VLOOKUP(C207,MultiFaultGeometry!B:O,14,FALSE))</f>
        <v>3237151737595932.5</v>
      </c>
      <c r="AC207">
        <f>IF(AB207=0,0,AA207*3.3*10^10*Z207*10^6*(1/Y207)*VLOOKUP(C207,MultiFaultGeometry!B:G,5,FALSE)*10^-3)</f>
        <v>4372839323602084</v>
      </c>
      <c r="AE207" s="68">
        <f t="shared" si="39"/>
        <v>0</v>
      </c>
      <c r="AF207" s="68">
        <f t="shared" si="41"/>
        <v>0</v>
      </c>
      <c r="AG207" s="68"/>
    </row>
    <row r="208" spans="1:33" x14ac:dyDescent="0.2">
      <c r="A208" s="68" t="str">
        <f>Leonard2010!D210</f>
        <v>Central Basin Fault 20</v>
      </c>
      <c r="B208" s="68" t="str">
        <f>Leonard2010!E210</f>
        <v>Central Basin Fault 20 North</v>
      </c>
      <c r="C208" s="68" t="str">
        <f>Leonard2010!F210</f>
        <v>Central Basin Fault 19-20</v>
      </c>
      <c r="D208">
        <f>IF(B208="NA","NA",VLOOKUP(B208,Leonard2010!E:H,3,FALSE))</f>
        <v>15.5</v>
      </c>
      <c r="E208">
        <f>IF(A208="NA","NA",VLOOKUP(A208,Leonard2010!D:I,6,FALSE))</f>
        <v>29.7</v>
      </c>
      <c r="F208">
        <f>IF(C208="NA","NA",VLOOKUP(C208,Leonard2010!F:K,6,FALSE))</f>
        <v>72.600000000000009</v>
      </c>
      <c r="G208">
        <f>IF(B208="NA","NA",VLOOKUP(B208,Leonard2010!E:H,4,FALSE))</f>
        <v>17</v>
      </c>
      <c r="H208">
        <f>IF(A208="NA","NA",VLOOKUP(A208,Leonard2010!D:J,7,FALSE))</f>
        <v>2</v>
      </c>
      <c r="I208">
        <f>IF(C208="NA","NA",VLOOKUP(C208,Leonard2010!F:L,7,FALSE))</f>
        <v>171</v>
      </c>
      <c r="J208">
        <f>IF(A208="NA","NA",VLOOKUP(A208,Leonard2010!D:N,11,FALSE))</f>
        <v>53</v>
      </c>
      <c r="K208" t="s">
        <v>308</v>
      </c>
      <c r="L208">
        <f>VLOOKUP(A208,Leonard2010!D:AJ,32,FALSE)</f>
        <v>59</v>
      </c>
      <c r="M208">
        <f>VLOOKUP($A208,Leonard2010!D:AK,33,FALSE)</f>
        <v>76</v>
      </c>
      <c r="N208">
        <f>VLOOKUP($A208,Leonard2010!D:AL,34,FALSE)</f>
        <v>93</v>
      </c>
      <c r="O208">
        <f t="shared" si="42"/>
        <v>0.85716730070211233</v>
      </c>
      <c r="P208">
        <f>D208*(630/E208)</f>
        <v>328.78787878787875</v>
      </c>
      <c r="Q208">
        <f>IF(B208="NA","0",VLOOKUP(B208,SectionGeometry!C:E,3,FALSE)*IF(C208="NA",X$277/(X$277+X$276),X$277))</f>
        <v>0.1</v>
      </c>
      <c r="R208">
        <f>Q208*IF(B208="NA",0,((VLOOKUP(B208,SectionGeometry!C:Z,24,FALSE))))</f>
        <v>60679799085629.828</v>
      </c>
      <c r="S208">
        <f>IF(R208=0,0,Q208*3.3*10^10*P208*10^6*(1/O208)*VLOOKUP(B208,SectionGeometry!C:AA,25,FALSE)*10^-3)</f>
        <v>147955235122463.72</v>
      </c>
      <c r="T208">
        <f t="shared" si="40"/>
        <v>0.96126169593831889</v>
      </c>
      <c r="U208">
        <f>IF(K208="N",E208*35/SIN(RADIANS(J208)),IF(K208="Y",VLOOKUP(A208,Leonard2010!D:U,18,FALSE),IF(C208="NA",VLOOKUP(A208,MSSM_AdaptedSources!B:K,10,FALSE),"CHECK")))</f>
        <v>498.46208630350122</v>
      </c>
      <c r="V208">
        <f>(1*VLOOKUP(A208,FaultGeometry!B:C,2,FALSE))-Q208-AA208</f>
        <v>0.30000000000000004</v>
      </c>
      <c r="W208">
        <f>V208*(VLOOKUP(A208,FaultGeometry!B:Y,24,FALSE))</f>
        <v>665938752564447.75</v>
      </c>
      <c r="X208">
        <f>V208*3.3*10^10*U208*10^6*(1/T208)*VLOOKUP(A208,FaultGeometry!B:O,14,FALSE)*10^-3</f>
        <v>666998775298343.25</v>
      </c>
      <c r="Y208">
        <f t="shared" si="35"/>
        <v>0.97814760073380569</v>
      </c>
      <c r="Z208">
        <f>IF(C208="NA","NA",VLOOKUP(C208,MSSM_AdaptedSources!B:K,10,FALSE))</f>
        <v>1581</v>
      </c>
      <c r="AA208">
        <f>IF(C208="NA","0",VLOOKUP(C208,MultiFaultGeometry!B:C,2,FALSE)*IF(B208="NA",X$278/(X$278+X$276),X$278))</f>
        <v>0.6</v>
      </c>
      <c r="AB208">
        <f>AA208*IF(C208="NA",0,VLOOKUP(C208,MultiFaultGeometry!B:O,14,FALSE))</f>
        <v>3237151737595932.5</v>
      </c>
      <c r="AC208">
        <f>IF(AB208=0,0,AA208*3.3*10^10*Z208*10^6*(1/Y208)*VLOOKUP(C208,MultiFaultGeometry!B:G,5,FALSE)*10^-3)</f>
        <v>4372839323602084</v>
      </c>
      <c r="AE208" s="68">
        <f t="shared" si="39"/>
        <v>665938752564447.75</v>
      </c>
      <c r="AF208" s="68">
        <f t="shared" si="41"/>
        <v>666998775298343.25</v>
      </c>
      <c r="AG208" s="68"/>
    </row>
    <row r="209" spans="1:33" x14ac:dyDescent="0.2">
      <c r="A209" s="68" t="str">
        <f>Leonard2010!D211</f>
        <v>Lipichili</v>
      </c>
      <c r="B209" s="68" t="str">
        <f>Leonard2010!E211</f>
        <v>Lipichili-1</v>
      </c>
      <c r="C209" s="68" t="str">
        <f>Leonard2010!F211</f>
        <v>Lipichili-All</v>
      </c>
      <c r="D209">
        <f>IF(B209="NA","NA",VLOOKUP(B209,Leonard2010!E:H,3,FALSE))</f>
        <v>28.1</v>
      </c>
      <c r="E209">
        <f>IF(A209="NA","NA",VLOOKUP(A209,Leonard2010!D:I,6,FALSE))</f>
        <v>68.3</v>
      </c>
      <c r="F209">
        <f>IF(C209="NA","NA",VLOOKUP(C209,Leonard2010!F:K,6,FALSE))</f>
        <v>97.5</v>
      </c>
      <c r="G209">
        <f>IF(B209="NA","NA",VLOOKUP(B209,Leonard2010!E:H,4,FALSE))</f>
        <v>203</v>
      </c>
      <c r="H209">
        <f>IF(A209="NA","NA",VLOOKUP(A209,Leonard2010!D:J,7,FALSE))</f>
        <v>190</v>
      </c>
      <c r="I209">
        <f>IF(C209="NA","NA",VLOOKUP(C209,Leonard2010!F:L,7,FALSE))</f>
        <v>183</v>
      </c>
      <c r="J209">
        <f>IF(A209="NA","NA",VLOOKUP(A209,Leonard2010!D:N,11,FALSE))</f>
        <v>53</v>
      </c>
      <c r="K209" t="s">
        <v>308</v>
      </c>
      <c r="L209">
        <f>VLOOKUP(A209,Leonard2010!D:AJ,32,FALSE)</f>
        <v>59</v>
      </c>
      <c r="M209">
        <f>VLOOKUP($A209,Leonard2010!D:AK,33,FALSE)</f>
        <v>76</v>
      </c>
      <c r="N209">
        <f>VLOOKUP($A209,Leonard2010!D:AL,34,FALSE)</f>
        <v>93</v>
      </c>
      <c r="O209">
        <f t="shared" si="42"/>
        <v>0.79863551004729283</v>
      </c>
      <c r="P209">
        <f>D209*((1441-290)/E209)</f>
        <v>473.5446559297219</v>
      </c>
      <c r="Q209">
        <f>IF(B209="NA","0",VLOOKUP(B209,SectionGeometry!C:E,3,FALSE)*IF(C209="NA",X$277/(X$277+X$276),X$277))</f>
        <v>0.1</v>
      </c>
      <c r="R209">
        <f>Q209*IF(B209="NA",0,((VLOOKUP(B209,SectionGeometry!C:Z,24,FALSE))))</f>
        <v>154472899695604.28</v>
      </c>
      <c r="S209">
        <f>IF(R209=0,0,Q209*3.3*10^10*P209*10^6*(1/O209)*VLOOKUP(B209,SectionGeometry!C:AA,25,FALSE)*10^-3)</f>
        <v>211287963111920.25</v>
      </c>
      <c r="T209">
        <f t="shared" si="40"/>
        <v>0.91354545764260087</v>
      </c>
      <c r="U209">
        <f>IF(K209="N",E209*35/SIN(RADIANS(J209)),IF(K209="Y",VLOOKUP(A209,Leonard2010!D:U,18,FALSE),IF(C209="NA",VLOOKUP(A209,MSSM_AdaptedSources!B:K,10,FALSE),"CHECK")))</f>
        <v>1151</v>
      </c>
      <c r="V209">
        <f>(1*VLOOKUP(A209,FaultGeometry!B:C,2,FALSE))-Q209-AA209</f>
        <v>0.30000000000000004</v>
      </c>
      <c r="W209">
        <f>V209*(VLOOKUP(A209,FaultGeometry!B:Y,24,FALSE))</f>
        <v>1431120585133927</v>
      </c>
      <c r="X209">
        <f>V209*3.3*10^10*U209*10^6*(1/T209)*VLOOKUP(A209,FaultGeometry!B:O,14,FALSE)*10^-3</f>
        <v>1567252959587823.8</v>
      </c>
      <c r="Y209">
        <f t="shared" si="35"/>
        <v>0.95630475596303544</v>
      </c>
      <c r="Z209">
        <f>IF(C209="NA","NA",VLOOKUP(C209,MSSM_AdaptedSources!B:K,10,FALSE))</f>
        <v>3453</v>
      </c>
      <c r="AA209">
        <f>IF(C209="NA","0",VLOOKUP(C209,MultiFaultGeometry!B:C,2,FALSE)*IF(B209="NA",X$278/(X$278+X$276),X$278))</f>
        <v>0.6</v>
      </c>
      <c r="AB209">
        <f>AA209*IF(C209="NA",0,VLOOKUP(C209,MultiFaultGeometry!B:O,14,FALSE))</f>
        <v>8929895582273422</v>
      </c>
      <c r="AC209">
        <f>IF(AB209=0,0,AA209*3.3*10^10*Z209*10^6*(1/Y209)*VLOOKUP(C209,MultiFaultGeometry!B:G,5,FALSE)*10^-3)</f>
        <v>9284656290162944</v>
      </c>
      <c r="AE209" s="68">
        <f t="shared" si="39"/>
        <v>0</v>
      </c>
      <c r="AF209" s="68">
        <f t="shared" si="41"/>
        <v>0</v>
      </c>
      <c r="AG209" s="68"/>
    </row>
    <row r="210" spans="1:33" x14ac:dyDescent="0.2">
      <c r="A210" s="68" t="str">
        <f>Leonard2010!D212</f>
        <v>Lipichili</v>
      </c>
      <c r="B210" s="68" t="str">
        <f>Leonard2010!E212</f>
        <v>Lipichili-2</v>
      </c>
      <c r="C210" s="68" t="str">
        <f>Leonard2010!F212</f>
        <v>Lipichili-All</v>
      </c>
      <c r="D210">
        <f>IF(B210="NA","NA",VLOOKUP(B210,Leonard2010!E:H,3,FALSE))</f>
        <v>15</v>
      </c>
      <c r="E210">
        <f>IF(A210="NA","NA",VLOOKUP(A210,Leonard2010!D:I,6,FALSE))</f>
        <v>68.3</v>
      </c>
      <c r="F210">
        <f>IF(C210="NA","NA",VLOOKUP(C210,Leonard2010!F:K,6,FALSE))</f>
        <v>97.5</v>
      </c>
      <c r="G210">
        <f>IF(B210="NA","NA",VLOOKUP(B210,Leonard2010!E:H,4,FALSE))</f>
        <v>166</v>
      </c>
      <c r="H210">
        <f>IF(A210="NA","NA",VLOOKUP(A210,Leonard2010!D:J,7,FALSE))</f>
        <v>190</v>
      </c>
      <c r="I210">
        <f>IF(C210="NA","NA",VLOOKUP(C210,Leonard2010!F:L,7,FALSE))</f>
        <v>183</v>
      </c>
      <c r="J210">
        <f>IF(A210="NA","NA",VLOOKUP(A210,Leonard2010!D:N,11,FALSE))</f>
        <v>53</v>
      </c>
      <c r="K210" t="s">
        <v>308</v>
      </c>
      <c r="L210">
        <f>VLOOKUP(A210,Leonard2010!D:AJ,32,FALSE)</f>
        <v>59</v>
      </c>
      <c r="M210">
        <f>VLOOKUP($A210,Leonard2010!D:AK,33,FALSE)</f>
        <v>76</v>
      </c>
      <c r="N210">
        <f>VLOOKUP($A210,Leonard2010!D:AL,34,FALSE)</f>
        <v>93</v>
      </c>
      <c r="O210">
        <f t="shared" si="42"/>
        <v>0.95630475596303555</v>
      </c>
      <c r="P210">
        <f>D210*((1441-290)/E210)</f>
        <v>252.78184480234262</v>
      </c>
      <c r="Q210">
        <f>IF(B210="NA","0",VLOOKUP(B210,SectionGeometry!C:E,3,FALSE)*IF(C210="NA",X$277/(X$277+X$276),X$277))</f>
        <v>0.1</v>
      </c>
      <c r="R210">
        <f>Q210*IF(B210="NA",0,((VLOOKUP(B210,SectionGeometry!C:Z,24,FALSE))))</f>
        <v>69460599882056.156</v>
      </c>
      <c r="S210">
        <f>IF(R210=0,0,Q210*3.3*10^10*P210*10^6*(1/O210)*VLOOKUP(B210,SectionGeometry!C:AA,25,FALSE)*10^-3)</f>
        <v>120504624073867.83</v>
      </c>
      <c r="T210">
        <f t="shared" si="40"/>
        <v>0.91354545764260087</v>
      </c>
      <c r="U210">
        <f>IF(K210="N",E210*35/SIN(RADIANS(J210)),IF(K210="Y",VLOOKUP(A210,Leonard2010!D:U,18,FALSE),IF(C210="NA",VLOOKUP(A210,MSSM_AdaptedSources!B:K,10,FALSE),"CHECK")))</f>
        <v>1151</v>
      </c>
      <c r="V210">
        <f>(1*VLOOKUP(A210,FaultGeometry!B:C,2,FALSE))-Q210-AA210</f>
        <v>0.30000000000000004</v>
      </c>
      <c r="W210">
        <f>V210*(VLOOKUP(A210,FaultGeometry!B:Y,24,FALSE))</f>
        <v>1431120585133927</v>
      </c>
      <c r="X210">
        <f>V210*3.3*10^10*U210*10^6*(1/T210)*VLOOKUP(A210,FaultGeometry!B:O,14,FALSE)*10^-3</f>
        <v>1567252959587823.8</v>
      </c>
      <c r="Y210">
        <f t="shared" si="35"/>
        <v>0.95630475596303544</v>
      </c>
      <c r="Z210">
        <f>IF(C210="NA","NA",VLOOKUP(C210,MSSM_AdaptedSources!B:K,10,FALSE))</f>
        <v>3453</v>
      </c>
      <c r="AA210">
        <f>IF(C210="NA","0",VLOOKUP(C210,MultiFaultGeometry!B:C,2,FALSE)*IF(B210="NA",X$278/(X$278+X$276),X$278))</f>
        <v>0.6</v>
      </c>
      <c r="AB210">
        <f>AA210*IF(C210="NA",0,VLOOKUP(C210,MultiFaultGeometry!B:O,14,FALSE))</f>
        <v>8929895582273422</v>
      </c>
      <c r="AC210">
        <f>IF(AB210=0,0,AA210*3.3*10^10*Z210*10^6*(1/Y210)*VLOOKUP(C210,MultiFaultGeometry!B:G,5,FALSE)*10^-3)</f>
        <v>9284656290162944</v>
      </c>
      <c r="AE210" s="68">
        <f t="shared" si="39"/>
        <v>0</v>
      </c>
      <c r="AF210" s="68">
        <f t="shared" si="41"/>
        <v>0</v>
      </c>
      <c r="AG210" s="68"/>
    </row>
    <row r="211" spans="1:33" x14ac:dyDescent="0.2">
      <c r="A211" s="68" t="str">
        <f>Leonard2010!D213</f>
        <v>Lipichili</v>
      </c>
      <c r="B211" s="68" t="str">
        <f>Leonard2010!E213</f>
        <v>Lipichili-3</v>
      </c>
      <c r="C211" s="68" t="str">
        <f>Leonard2010!F213</f>
        <v>Lipichili-All</v>
      </c>
      <c r="D211">
        <f>IF(B211="NA","NA",VLOOKUP(B211,Leonard2010!E:H,3,FALSE))</f>
        <v>25.2</v>
      </c>
      <c r="E211">
        <f>IF(A211="NA","NA",VLOOKUP(A211,Leonard2010!D:I,6,FALSE))</f>
        <v>68.3</v>
      </c>
      <c r="F211">
        <f>IF(C211="NA","NA",VLOOKUP(C211,Leonard2010!F:K,6,FALSE))</f>
        <v>97.5</v>
      </c>
      <c r="G211">
        <f>IF(B211="NA","NA",VLOOKUP(B211,Leonard2010!E:H,4,FALSE))</f>
        <v>190</v>
      </c>
      <c r="H211">
        <f>IF(A211="NA","NA",VLOOKUP(A211,Leonard2010!D:J,7,FALSE))</f>
        <v>190</v>
      </c>
      <c r="I211">
        <f>IF(C211="NA","NA",VLOOKUP(C211,Leonard2010!F:L,7,FALSE))</f>
        <v>183</v>
      </c>
      <c r="J211">
        <f>IF(A211="NA","NA",VLOOKUP(A211,Leonard2010!D:N,11,FALSE))</f>
        <v>53</v>
      </c>
      <c r="K211" t="s">
        <v>308</v>
      </c>
      <c r="L211">
        <f>VLOOKUP(A211,Leonard2010!D:AJ,32,FALSE)</f>
        <v>59</v>
      </c>
      <c r="M211">
        <f>VLOOKUP($A211,Leonard2010!D:AK,33,FALSE)</f>
        <v>76</v>
      </c>
      <c r="N211">
        <f>VLOOKUP($A211,Leonard2010!D:AL,34,FALSE)</f>
        <v>93</v>
      </c>
      <c r="O211">
        <f t="shared" si="42"/>
        <v>0.91354545764260087</v>
      </c>
      <c r="P211">
        <f>D211*((1441-290)/E211)</f>
        <v>424.6734992679356</v>
      </c>
      <c r="Q211">
        <f>IF(B211="NA","0",VLOOKUP(B211,SectionGeometry!C:E,3,FALSE)*IF(C211="NA",X$277/(X$277+X$276),X$277))</f>
        <v>0.1</v>
      </c>
      <c r="R211">
        <f>Q211*IF(B211="NA",0,((VLOOKUP(B211,SectionGeometry!C:Z,24,FALSE))))</f>
        <v>148919940810739.84</v>
      </c>
      <c r="S211">
        <f>IF(R211=0,0,Q211*3.3*10^10*P211*10^6*(1/O211)*VLOOKUP(B211,SectionGeometry!C:AA,25,FALSE)*10^-3)</f>
        <v>191135349456556.19</v>
      </c>
      <c r="T211">
        <f t="shared" si="40"/>
        <v>0.91354545764260087</v>
      </c>
      <c r="U211">
        <f>IF(K211="N",E211*35/SIN(RADIANS(J211)),IF(K211="Y",VLOOKUP(A211,Leonard2010!D:U,18,FALSE),IF(C211="NA",VLOOKUP(A211,MSSM_AdaptedSources!B:K,10,FALSE),"CHECK")))</f>
        <v>1151</v>
      </c>
      <c r="V211">
        <f>(1*VLOOKUP(A211,FaultGeometry!B:C,2,FALSE))-Q211-AA211</f>
        <v>0.30000000000000004</v>
      </c>
      <c r="W211">
        <f>V211*(VLOOKUP(A211,FaultGeometry!B:Y,24,FALSE))</f>
        <v>1431120585133927</v>
      </c>
      <c r="X211">
        <f>V211*3.3*10^10*U211*10^6*(1/T211)*VLOOKUP(A211,FaultGeometry!B:O,14,FALSE)*10^-3</f>
        <v>1567252959587823.8</v>
      </c>
      <c r="Y211">
        <f t="shared" si="35"/>
        <v>0.95630475596303544</v>
      </c>
      <c r="Z211">
        <f>IF(C211="NA","NA",VLOOKUP(C211,MSSM_AdaptedSources!B:K,10,FALSE))</f>
        <v>3453</v>
      </c>
      <c r="AA211">
        <f>IF(C211="NA","0",VLOOKUP(C211,MultiFaultGeometry!B:C,2,FALSE)*IF(B211="NA",X$278/(X$278+X$276),X$278))</f>
        <v>0.6</v>
      </c>
      <c r="AB211">
        <f>AA211*IF(C211="NA",0,VLOOKUP(C211,MultiFaultGeometry!B:O,14,FALSE))</f>
        <v>8929895582273422</v>
      </c>
      <c r="AC211">
        <f>IF(AB211=0,0,AA211*3.3*10^10*Z211*10^6*(1/Y211)*VLOOKUP(C211,MultiFaultGeometry!B:G,5,FALSE)*10^-3)</f>
        <v>9284656290162944</v>
      </c>
      <c r="AE211" s="68">
        <f t="shared" si="39"/>
        <v>1431120585133927</v>
      </c>
      <c r="AF211" s="68">
        <f t="shared" si="41"/>
        <v>1567252959587823.8</v>
      </c>
      <c r="AG211" s="68"/>
    </row>
    <row r="212" spans="1:33" x14ac:dyDescent="0.2">
      <c r="A212" s="68" t="str">
        <f>Leonard2010!D214</f>
        <v>Lipichili North</v>
      </c>
      <c r="B212" s="68" t="str">
        <f>Leonard2010!E214</f>
        <v>NA</v>
      </c>
      <c r="C212" s="68" t="str">
        <f>Leonard2010!F214</f>
        <v>Lipichili-All</v>
      </c>
      <c r="D212" t="str">
        <f>IF(B212="NA","NA",VLOOKUP(B212,Leonard2010!E:H,3,FALSE))</f>
        <v>NA</v>
      </c>
      <c r="E212">
        <f>IF(A212="NA","NA",VLOOKUP(A212,Leonard2010!D:I,6,FALSE))</f>
        <v>13.9</v>
      </c>
      <c r="F212">
        <f>IF(C212="NA","NA",VLOOKUP(C212,Leonard2010!F:K,6,FALSE))</f>
        <v>97.5</v>
      </c>
      <c r="G212" t="str">
        <f>IF(B212="NA","NA",VLOOKUP(B212,Leonard2010!E:H,4,FALSE))</f>
        <v>NA</v>
      </c>
      <c r="H212">
        <f>IF(A212="NA","NA",VLOOKUP(A212,Leonard2010!D:J,7,FALSE))</f>
        <v>158</v>
      </c>
      <c r="I212">
        <f>IF(C212="NA","NA",VLOOKUP(C212,Leonard2010!F:L,7,FALSE))</f>
        <v>183</v>
      </c>
      <c r="J212">
        <f>IF(A212="NA","NA",VLOOKUP(A212,Leonard2010!D:N,11,FALSE))</f>
        <v>53</v>
      </c>
      <c r="K212" t="s">
        <v>308</v>
      </c>
      <c r="L212">
        <f>VLOOKUP(A212,Leonard2010!D:AJ,32,FALSE)</f>
        <v>59</v>
      </c>
      <c r="M212">
        <f>VLOOKUP($A212,Leonard2010!D:AK,33,FALSE)</f>
        <v>76</v>
      </c>
      <c r="N212">
        <f>VLOOKUP($A212,Leonard2010!D:AL,34,FALSE)</f>
        <v>93</v>
      </c>
      <c r="O212" t="str">
        <f t="shared" si="42"/>
        <v>NA</v>
      </c>
      <c r="P212" t="str">
        <f t="shared" si="38"/>
        <v>NA</v>
      </c>
      <c r="Q212" t="str">
        <f>IF(B212="NA","0",VLOOKUP(B212,SectionGeometry!C:E,3,FALSE)*IF(C212="NA",X$277/(X$277+X$276),X$277))</f>
        <v>0</v>
      </c>
      <c r="R212">
        <f>Q212*IF(B212="NA",0,((VLOOKUP(B212,SectionGeometry!C:Z,24,FALSE))))</f>
        <v>0</v>
      </c>
      <c r="S212">
        <f>IF(R212=0,0,Q212*3.3*10^10*P212*10^6*(1/O212)*VLOOKUP(B212,SectionGeometry!C:AA,25,FALSE)*10^-3)</f>
        <v>0</v>
      </c>
      <c r="T212">
        <f t="shared" si="40"/>
        <v>0.98768834059513777</v>
      </c>
      <c r="U212">
        <f>IF(K212="N",E212*35/SIN(RADIANS(J212)),IF(K212="Y",VLOOKUP(A212,Leonard2010!D:U,18,FALSE),IF(C212="NA",VLOOKUP(A212,MSSM_AdaptedSources!B:K,10,FALSE),"CHECK")))</f>
        <v>140.62505838814229</v>
      </c>
      <c r="V212">
        <f>(1*VLOOKUP(A212,FaultGeometry!B:C,2,FALSE))-Q212-AA212</f>
        <v>0.33333333333333326</v>
      </c>
      <c r="W212">
        <f>V212*(VLOOKUP(A212,FaultGeometry!B:Y,24,FALSE))</f>
        <v>214287516103436.06</v>
      </c>
      <c r="X212">
        <f>V212*3.3*10^10*U212*10^6*(1/T212)*VLOOKUP(A212,FaultGeometry!B:O,14,FALSE)*10^-3</f>
        <v>208875434268418.31</v>
      </c>
      <c r="Y212">
        <f t="shared" si="35"/>
        <v>0.95630475596303544</v>
      </c>
      <c r="Z212">
        <f>IF(C212="NA","NA",VLOOKUP(C212,MSSM_AdaptedSources!B:K,10,FALSE))</f>
        <v>3453</v>
      </c>
      <c r="AA212">
        <f>IF(C212="NA","0",VLOOKUP(C212,MultiFaultGeometry!B:C,2,FALSE)*IF(B212="NA",X$278/(X$278+X$276),X$278))</f>
        <v>0.66666666666666674</v>
      </c>
      <c r="AB212">
        <f>AA212*IF(C212="NA",0,VLOOKUP(C212,MultiFaultGeometry!B:O,14,FALSE))</f>
        <v>9922106202526026</v>
      </c>
      <c r="AC212">
        <f>IF(AB212=0,0,AA212*3.3*10^10*Z212*10^6*(1/Y212)*VLOOKUP(C212,MultiFaultGeometry!B:G,5,FALSE)*10^-3)</f>
        <v>1.0316284766847718E+16</v>
      </c>
      <c r="AE212" s="68">
        <f t="shared" si="39"/>
        <v>214287516103436.06</v>
      </c>
      <c r="AF212" s="68">
        <f t="shared" si="41"/>
        <v>208875434268418.31</v>
      </c>
      <c r="AG212" s="68"/>
    </row>
    <row r="213" spans="1:33" x14ac:dyDescent="0.2">
      <c r="A213" s="68" t="str">
        <f>Leonard2010!D215</f>
        <v>Lipichili South</v>
      </c>
      <c r="B213" s="68" t="str">
        <f>Leonard2010!E215</f>
        <v>NA</v>
      </c>
      <c r="C213" s="68" t="str">
        <f>Leonard2010!F215</f>
        <v>Lipichili-All</v>
      </c>
      <c r="D213" t="str">
        <f>IF(B213="NA","NA",VLOOKUP(B213,Leonard2010!E:H,3,FALSE))</f>
        <v>NA</v>
      </c>
      <c r="E213">
        <f>IF(A213="NA","NA",VLOOKUP(A213,Leonard2010!D:I,6,FALSE))</f>
        <v>15.3</v>
      </c>
      <c r="F213">
        <f>IF(C213="NA","NA",VLOOKUP(C213,Leonard2010!F:K,6,FALSE))</f>
        <v>97.5</v>
      </c>
      <c r="G213" t="str">
        <f>IF(B213="NA","NA",VLOOKUP(B213,Leonard2010!E:H,4,FALSE))</f>
        <v>NA</v>
      </c>
      <c r="H213">
        <f>IF(A213="NA","NA",VLOOKUP(A213,Leonard2010!D:J,7,FALSE))</f>
        <v>187</v>
      </c>
      <c r="I213">
        <f>IF(C213="NA","NA",VLOOKUP(C213,Leonard2010!F:L,7,FALSE))</f>
        <v>183</v>
      </c>
      <c r="J213">
        <f>IF(A213="NA","NA",VLOOKUP(A213,Leonard2010!D:N,11,FALSE))</f>
        <v>53</v>
      </c>
      <c r="K213" t="s">
        <v>308</v>
      </c>
      <c r="L213">
        <f>VLOOKUP(A213,Leonard2010!D:AJ,32,FALSE)</f>
        <v>59</v>
      </c>
      <c r="M213">
        <f>VLOOKUP($A213,Leonard2010!D:AK,33,FALSE)</f>
        <v>76</v>
      </c>
      <c r="N213">
        <f>VLOOKUP($A213,Leonard2010!D:AL,34,FALSE)</f>
        <v>93</v>
      </c>
      <c r="O213" t="str">
        <f t="shared" si="42"/>
        <v>NA</v>
      </c>
      <c r="P213" t="str">
        <f t="shared" si="38"/>
        <v>NA</v>
      </c>
      <c r="Q213" t="str">
        <f>IF(B213="NA","0",VLOOKUP(B213,SectionGeometry!C:E,3,FALSE)*IF(C213="NA",X$277/(X$277+X$276),X$277))</f>
        <v>0</v>
      </c>
      <c r="R213">
        <f>Q213*IF(B213="NA",0,((VLOOKUP(B213,SectionGeometry!C:Z,24,FALSE))))</f>
        <v>0</v>
      </c>
      <c r="S213">
        <f>IF(R213=0,0,Q213*3.3*10^10*P213*10^6*(1/O213)*VLOOKUP(B213,SectionGeometry!C:AA,25,FALSE)*10^-3)</f>
        <v>0</v>
      </c>
      <c r="T213">
        <f t="shared" si="40"/>
        <v>0.93358042649720163</v>
      </c>
      <c r="U213">
        <f>IF(K213="N",E213*35/SIN(RADIANS(J213)),IF(K213="Y",VLOOKUP(A213,Leonard2010!D:U,18,FALSE),IF(C213="NA",VLOOKUP(A213,MSSM_AdaptedSources!B:K,10,FALSE),"CHECK")))</f>
        <v>155</v>
      </c>
      <c r="V213">
        <f>(1*VLOOKUP(A213,FaultGeometry!B:C,2,FALSE))-Q213-AA213</f>
        <v>0.33333333333333326</v>
      </c>
      <c r="W213">
        <f>V213*(VLOOKUP(A213,FaultGeometry!B:Y,24,FALSE))</f>
        <v>212113929075200.81</v>
      </c>
      <c r="X213">
        <f>V213*3.3*10^10*U213*10^6*(1/T213)*VLOOKUP(A213,FaultGeometry!B:O,14,FALSE)*10^-3</f>
        <v>229198251180854.31</v>
      </c>
      <c r="Y213">
        <f t="shared" si="35"/>
        <v>0.95630475596303544</v>
      </c>
      <c r="Z213">
        <f>IF(C213="NA","NA",VLOOKUP(C213,MSSM_AdaptedSources!B:K,10,FALSE))</f>
        <v>3453</v>
      </c>
      <c r="AA213">
        <f>IF(C213="NA","0",VLOOKUP(C213,MultiFaultGeometry!B:C,2,FALSE)*IF(B213="NA",X$278/(X$278+X$276),X$278))</f>
        <v>0.66666666666666674</v>
      </c>
      <c r="AB213">
        <f>AA213*IF(C213="NA",0,VLOOKUP(C213,MultiFaultGeometry!B:O,14,FALSE))</f>
        <v>9922106202526026</v>
      </c>
      <c r="AC213">
        <f>IF(AB213=0,0,AA213*3.3*10^10*Z213*10^6*(1/Y213)*VLOOKUP(C213,MultiFaultGeometry!B:G,5,FALSE)*10^-3)</f>
        <v>1.0316284766847718E+16</v>
      </c>
      <c r="AE213" s="68">
        <f t="shared" si="39"/>
        <v>212113929075200.81</v>
      </c>
      <c r="AF213" s="68">
        <f t="shared" si="41"/>
        <v>229198251180854.31</v>
      </c>
      <c r="AG213" s="68"/>
    </row>
    <row r="214" spans="1:33" x14ac:dyDescent="0.2">
      <c r="A214" s="68" t="str">
        <f>Leonard2010!D216</f>
        <v>Central Basin Fault 23</v>
      </c>
      <c r="B214" s="68" t="str">
        <f>Leonard2010!E216</f>
        <v>NA</v>
      </c>
      <c r="C214" s="68" t="str">
        <f>Leonard2010!F216</f>
        <v>NA</v>
      </c>
      <c r="D214" t="str">
        <f>IF(B214="NA","NA",VLOOKUP(B214,Leonard2010!E:H,3,FALSE))</f>
        <v>NA</v>
      </c>
      <c r="E214">
        <f>IF(A214="NA","NA",VLOOKUP(A214,Leonard2010!D:I,6,FALSE))</f>
        <v>11.7</v>
      </c>
      <c r="F214" t="str">
        <f>IF(C214="NA","NA",VLOOKUP(C214,Leonard2010!F:K,6,FALSE))</f>
        <v>NA</v>
      </c>
      <c r="G214" t="str">
        <f>IF(B214="NA","NA",VLOOKUP(B214,Leonard2010!E:H,4,FALSE))</f>
        <v>NA</v>
      </c>
      <c r="H214">
        <f>IF(A214="NA","NA",VLOOKUP(A214,Leonard2010!D:J,7,FALSE))</f>
        <v>342</v>
      </c>
      <c r="I214" t="str">
        <f>IF(C214="NA","NA",VLOOKUP(C214,Leonard2010!F:L,7,FALSE))</f>
        <v>NA</v>
      </c>
      <c r="J214">
        <f>IF(A214="NA","NA",VLOOKUP(A214,Leonard2010!D:N,11,FALSE))</f>
        <v>53</v>
      </c>
      <c r="K214" t="s">
        <v>211</v>
      </c>
      <c r="L214">
        <f>VLOOKUP(A214,Leonard2010!D:AJ,32,FALSE)</f>
        <v>59</v>
      </c>
      <c r="M214">
        <f>VLOOKUP($A214,Leonard2010!D:AK,33,FALSE)</f>
        <v>76</v>
      </c>
      <c r="N214">
        <f>VLOOKUP($A214,Leonard2010!D:AL,34,FALSE)</f>
        <v>93</v>
      </c>
      <c r="O214" t="str">
        <f t="shared" si="42"/>
        <v>NA</v>
      </c>
      <c r="P214" t="str">
        <f t="shared" si="38"/>
        <v>NA</v>
      </c>
      <c r="Q214" t="str">
        <f>IF(B214="NA","0",VLOOKUP(B214,SectionGeometry!C:E,3,FALSE)*IF(C214="NA",X$277/(X$277+X$276),X$277))</f>
        <v>0</v>
      </c>
      <c r="R214">
        <f>Q214*IF(B214="NA",0,((VLOOKUP(B214,SectionGeometry!C:Z,24,FALSE))))</f>
        <v>0</v>
      </c>
      <c r="S214">
        <f>IF(R214=0,0,Q214*3.3*10^10*P214*10^6*(1/O214)*VLOOKUP(B214,SectionGeometry!C:AA,25,FALSE)*10^-3)</f>
        <v>0</v>
      </c>
      <c r="T214">
        <f t="shared" si="40"/>
        <v>0.97437006478523525</v>
      </c>
      <c r="U214">
        <f>IF(K214="N",E214*35/SIN(RADIANS(J214)),IF(K214="Y",VLOOKUP(A214,Leonard2010!D:U,18,FALSE),IF(C214="NA",VLOOKUP(A214,MSSM_AdaptedSources!B:K,10,FALSE),"CHECK")))</f>
        <v>512.74955201497437</v>
      </c>
      <c r="V214">
        <f>(1*VLOOKUP(A214,FaultGeometry!B:C,2,FALSE))-Q214-AA214</f>
        <v>1</v>
      </c>
      <c r="W214">
        <f>V214*(VLOOKUP(A214,FaultGeometry!B:Y,24,FALSE))</f>
        <v>495138350023979</v>
      </c>
      <c r="X214">
        <f>V214*3.3*10^10*U214*10^6*(1/T214)*VLOOKUP(A214,FaultGeometry!B:O,14,FALSE)*10^-3</f>
        <v>2382129606371957.5</v>
      </c>
      <c r="Y214" t="str">
        <f t="shared" si="35"/>
        <v>NA</v>
      </c>
      <c r="Z214" t="str">
        <f>IF(C214="NA","NA",VLOOKUP(C214,MSSM_AdaptedSources!B:K,10,FALSE))</f>
        <v>NA</v>
      </c>
      <c r="AA214" t="str">
        <f>IF(C214="NA","0",VLOOKUP(C214,MultiFaultGeometry!B:C,2,FALSE)*IF(B214="NA",X$278/(X$278+X$276),X$278))</f>
        <v>0</v>
      </c>
      <c r="AB214">
        <f>AA214*IF(C214="NA",0,VLOOKUP(C214,MultiFaultGeometry!B:O,14,FALSE))</f>
        <v>0</v>
      </c>
      <c r="AC214">
        <f>IF(AB214=0,0,AA214*3.3*10^10*Z214*10^6*(1/Y214)*VLOOKUP(C214,MultiFaultGeometry!B:G,5,FALSE)*10^-3)</f>
        <v>0</v>
      </c>
      <c r="AE214" s="68">
        <f t="shared" si="39"/>
        <v>495138350023979</v>
      </c>
      <c r="AF214" s="68">
        <f t="shared" si="41"/>
        <v>2382129606371957.5</v>
      </c>
      <c r="AG214" s="68"/>
    </row>
    <row r="215" spans="1:33" x14ac:dyDescent="0.2">
      <c r="A215" s="68" t="str">
        <f>Leonard2010!D217</f>
        <v>Central Basin Fault 25</v>
      </c>
      <c r="B215" s="68" t="str">
        <f>Leonard2010!E217</f>
        <v>NA</v>
      </c>
      <c r="C215" s="68" t="str">
        <f>Leonard2010!F217</f>
        <v>NA</v>
      </c>
      <c r="D215" t="str">
        <f>IF(B215="NA","NA",VLOOKUP(B215,Leonard2010!E:H,3,FALSE))</f>
        <v>NA</v>
      </c>
      <c r="E215">
        <f>IF(A215="NA","NA",VLOOKUP(A215,Leonard2010!D:I,6,FALSE))</f>
        <v>57.2</v>
      </c>
      <c r="F215" t="str">
        <f>IF(C215="NA","NA",VLOOKUP(C215,Leonard2010!F:K,6,FALSE))</f>
        <v>NA</v>
      </c>
      <c r="G215" t="str">
        <f>IF(B215="NA","NA",VLOOKUP(B215,Leonard2010!E:H,4,FALSE))</f>
        <v>NA</v>
      </c>
      <c r="H215">
        <f>IF(A215="NA","NA",VLOOKUP(A215,Leonard2010!D:J,7,FALSE))</f>
        <v>12</v>
      </c>
      <c r="I215" t="str">
        <f>IF(C215="NA","NA",VLOOKUP(C215,Leonard2010!F:L,7,FALSE))</f>
        <v>NA</v>
      </c>
      <c r="J215">
        <f>IF(A215="NA","NA",VLOOKUP(A215,Leonard2010!D:N,11,FALSE))</f>
        <v>53</v>
      </c>
      <c r="K215" t="s">
        <v>211</v>
      </c>
      <c r="L215">
        <f>VLOOKUP(A215,Leonard2010!D:AJ,32,FALSE)</f>
        <v>59</v>
      </c>
      <c r="M215">
        <f>VLOOKUP($A215,Leonard2010!D:AK,33,FALSE)</f>
        <v>76</v>
      </c>
      <c r="N215">
        <f>VLOOKUP($A215,Leonard2010!D:AL,34,FALSE)</f>
        <v>93</v>
      </c>
      <c r="O215" t="str">
        <f t="shared" si="42"/>
        <v>NA</v>
      </c>
      <c r="P215" t="str">
        <f t="shared" si="38"/>
        <v>NA</v>
      </c>
      <c r="Q215" t="str">
        <f>IF(B215="NA","0",VLOOKUP(B215,SectionGeometry!C:E,3,FALSE)*IF(C215="NA",X$277/(X$277+X$276),X$277))</f>
        <v>0</v>
      </c>
      <c r="R215">
        <f>Q215*IF(B215="NA",0,((VLOOKUP(B215,SectionGeometry!C:Z,24,FALSE))))</f>
        <v>0</v>
      </c>
      <c r="S215">
        <f>IF(R215=0,0,Q215*3.3*10^10*P215*10^6*(1/O215)*VLOOKUP(B215,SectionGeometry!C:AA,25,FALSE)*10^-3)</f>
        <v>0</v>
      </c>
      <c r="T215">
        <f t="shared" si="40"/>
        <v>0.89879404629916704</v>
      </c>
      <c r="U215">
        <f>IF(K215="N",E215*35/SIN(RADIANS(J215)),IF(K215="Y",VLOOKUP(A215,Leonard2010!D:U,18,FALSE),IF(C215="NA",VLOOKUP(A215,MSSM_AdaptedSources!B:K,10,FALSE),"CHECK")))</f>
        <v>2506.7755876287638</v>
      </c>
      <c r="V215">
        <f>(1*VLOOKUP(A215,FaultGeometry!B:C,2,FALSE))-Q215-AA215</f>
        <v>1</v>
      </c>
      <c r="W215">
        <f>V215*(VLOOKUP(A215,FaultGeometry!B:Y,24,FALSE))</f>
        <v>6112763218327806</v>
      </c>
      <c r="X215">
        <f>V215*3.3*10^10*U215*10^6*(1/T215)*VLOOKUP(A215,FaultGeometry!B:O,14,FALSE)*10^-3</f>
        <v>1.1056673580248272E+16</v>
      </c>
      <c r="Y215" t="str">
        <f t="shared" si="35"/>
        <v>NA</v>
      </c>
      <c r="Z215" t="str">
        <f>IF(C215="NA","NA",VLOOKUP(C215,MSSM_AdaptedSources!B:K,10,FALSE))</f>
        <v>NA</v>
      </c>
      <c r="AA215" t="str">
        <f>IF(C215="NA","0",VLOOKUP(C215,MultiFaultGeometry!B:C,2,FALSE)*IF(B215="NA",X$278/(X$278+X$276),X$278))</f>
        <v>0</v>
      </c>
      <c r="AB215">
        <f>AA215*IF(C215="NA",0,VLOOKUP(C215,MultiFaultGeometry!B:O,14,FALSE))</f>
        <v>0</v>
      </c>
      <c r="AC215">
        <f>IF(AB215=0,0,AA215*3.3*10^10*Z215*10^6*(1/Y215)*VLOOKUP(C215,MultiFaultGeometry!B:G,5,FALSE)*10^-3)</f>
        <v>0</v>
      </c>
      <c r="AE215" s="68">
        <f t="shared" si="39"/>
        <v>6112763218327806</v>
      </c>
      <c r="AF215" s="68">
        <f t="shared" si="41"/>
        <v>1.1056673580248272E+16</v>
      </c>
      <c r="AG215" s="68"/>
    </row>
    <row r="216" spans="1:33" x14ac:dyDescent="0.2">
      <c r="A216" s="68" t="str">
        <f>Leonard2010!D218</f>
        <v>South Karonga-1</v>
      </c>
      <c r="B216" s="68" t="str">
        <f>Leonard2010!E218</f>
        <v>NA</v>
      </c>
      <c r="C216" s="68" t="str">
        <f>Leonard2010!F218</f>
        <v>South Karonga-Sabi-Wovwe-1</v>
      </c>
      <c r="D216" t="str">
        <f>IF(B216="NA","NA",VLOOKUP(B216,Leonard2010!E:H,3,FALSE))</f>
        <v>NA</v>
      </c>
      <c r="E216">
        <f>IF(A216="NA","NA",VLOOKUP(A216,Leonard2010!D:I,6,FALSE))</f>
        <v>18.399999999999999</v>
      </c>
      <c r="F216">
        <f>IF(C216="NA","NA",VLOOKUP(C216,Leonard2010!F:K,6,FALSE))</f>
        <v>70.3</v>
      </c>
      <c r="G216" t="str">
        <f>IF(B216="NA","NA",VLOOKUP(B216,Leonard2010!E:H,4,FALSE))</f>
        <v>NA</v>
      </c>
      <c r="H216">
        <f>IF(A216="NA","NA",VLOOKUP(A216,Leonard2010!D:J,7,FALSE))</f>
        <v>332</v>
      </c>
      <c r="I216">
        <f>IF(C216="NA","NA",VLOOKUP(C216,Leonard2010!F:L,7,FALSE))</f>
        <v>333</v>
      </c>
      <c r="J216">
        <f>IF(A216="NA","NA",VLOOKUP(A216,Leonard2010!D:N,11,FALSE))</f>
        <v>53</v>
      </c>
      <c r="K216" t="s">
        <v>308</v>
      </c>
      <c r="L216">
        <f>VLOOKUP(A216,Leonard2010!D:AJ,32,FALSE)</f>
        <v>61</v>
      </c>
      <c r="M216">
        <f>VLOOKUP($A216,Leonard2010!D:AK,33,FALSE)</f>
        <v>76</v>
      </c>
      <c r="N216">
        <f>VLOOKUP($A216,Leonard2010!D:AL,34,FALSE)</f>
        <v>92</v>
      </c>
      <c r="O216" t="str">
        <f t="shared" si="42"/>
        <v>NA</v>
      </c>
      <c r="P216" t="str">
        <f t="shared" si="38"/>
        <v>NA</v>
      </c>
      <c r="Q216" t="str">
        <f>IF(B216="NA","0",VLOOKUP(B216,SectionGeometry!C:E,3,FALSE)*IF(C216="NA",X$277/(X$277+X$276),X$277))</f>
        <v>0</v>
      </c>
      <c r="R216">
        <f>Q216*IF(B216="NA",0,((VLOOKUP(B216,SectionGeometry!C:Z,24,FALSE))))</f>
        <v>0</v>
      </c>
      <c r="S216">
        <f>IF(R216=0,0,Q216*3.3*10^10*P216*10^6*(1/O216)*VLOOKUP(B216,SectionGeometry!C:AA,25,FALSE)*10^-3)</f>
        <v>0</v>
      </c>
      <c r="T216">
        <f t="shared" si="40"/>
        <v>0.97029572627599647</v>
      </c>
      <c r="U216">
        <f>IF(K216="N",E216*35/SIN(RADIANS(J216)),IF(K216="Y",VLOOKUP(A216,Leonard2010!D:U,18,FALSE),IF(C216="NA",VLOOKUP(A216,MSSM_AdaptedSources!B:K,10,FALSE),"CHECK")))</f>
        <v>112</v>
      </c>
      <c r="V216">
        <f>(1*VLOOKUP(A216,FaultGeometry!B:C,2,FALSE))-Q216-AA216</f>
        <v>0.16666666666666663</v>
      </c>
      <c r="W216">
        <f>V216*(VLOOKUP(A216,FaultGeometry!B:Y,24,FALSE))</f>
        <v>77576194148421.656</v>
      </c>
      <c r="X216">
        <f>V216*3.3*10^10*U216*10^6*(1/T216)*VLOOKUP(A216,FaultGeometry!B:O,14,FALSE)*10^-3</f>
        <v>160626123776769</v>
      </c>
      <c r="Y216">
        <f t="shared" si="35"/>
        <v>0.97437006478523513</v>
      </c>
      <c r="Z216">
        <f>IF(C216="NA","NA",VLOOKUP(C216,MSSM_AdaptedSources!B:K,10,FALSE))</f>
        <v>922</v>
      </c>
      <c r="AA216">
        <f>IF(C216="NA","0",VLOOKUP(C216,MultiFaultGeometry!B:C,2,FALSE)*IF(B216="NA",X$278/(X$278+X$276),X$278))</f>
        <v>0.33333333333333337</v>
      </c>
      <c r="AB216">
        <f>AA216*IF(C216="NA",0,VLOOKUP(C216,MultiFaultGeometry!B:O,14,FALSE))</f>
        <v>1211188262854215.2</v>
      </c>
      <c r="AC216">
        <f>IF(AB216=0,0,AA216*3.3*10^10*Z216*10^6*(1/Y216)*VLOOKUP(C216,MultiFaultGeometry!B:G,5,FALSE)*10^-3)</f>
        <v>2649380309490039.5</v>
      </c>
      <c r="AE216" s="68">
        <f t="shared" si="39"/>
        <v>77576194148421.656</v>
      </c>
      <c r="AF216" s="68">
        <f t="shared" si="41"/>
        <v>160626123776769</v>
      </c>
      <c r="AG216" s="68"/>
    </row>
    <row r="217" spans="1:33" x14ac:dyDescent="0.2">
      <c r="A217" s="68" t="str">
        <f>Leonard2010!D219</f>
        <v>Sabi-1</v>
      </c>
      <c r="B217" s="68" t="str">
        <f>Leonard2010!E219</f>
        <v>NA</v>
      </c>
      <c r="C217" s="68" t="str">
        <f>Leonard2010!F219</f>
        <v>South Karonga-Sabi-Wovwe-1</v>
      </c>
      <c r="D217" t="str">
        <f>IF(B217="NA","NA",VLOOKUP(B217,Leonard2010!E:H,3,FALSE))</f>
        <v>NA</v>
      </c>
      <c r="E217">
        <f>IF(A217="NA","NA",VLOOKUP(A217,Leonard2010!D:I,6,FALSE))</f>
        <v>12</v>
      </c>
      <c r="F217">
        <f>IF(C217="NA","NA",VLOOKUP(C217,Leonard2010!F:K,6,FALSE))</f>
        <v>70.3</v>
      </c>
      <c r="G217" t="str">
        <f>IF(B217="NA","NA",VLOOKUP(B217,Leonard2010!E:H,4,FALSE))</f>
        <v>NA</v>
      </c>
      <c r="H217">
        <f>IF(A217="NA","NA",VLOOKUP(A217,Leonard2010!D:J,7,FALSE))</f>
        <v>318</v>
      </c>
      <c r="I217">
        <f>IF(C217="NA","NA",VLOOKUP(C217,Leonard2010!F:L,7,FALSE))</f>
        <v>333</v>
      </c>
      <c r="J217">
        <f>IF(A217="NA","NA",VLOOKUP(A217,Leonard2010!D:N,11,FALSE))</f>
        <v>53</v>
      </c>
      <c r="K217" t="s">
        <v>308</v>
      </c>
      <c r="L217">
        <f>VLOOKUP(A217,Leonard2010!D:AJ,32,FALSE)</f>
        <v>61</v>
      </c>
      <c r="M217">
        <f>VLOOKUP($A217,Leonard2010!D:AK,33,FALSE)</f>
        <v>76</v>
      </c>
      <c r="N217">
        <f>VLOOKUP($A217,Leonard2010!D:AL,34,FALSE)</f>
        <v>92</v>
      </c>
      <c r="O217" t="str">
        <f t="shared" si="42"/>
        <v>NA</v>
      </c>
      <c r="P217" t="str">
        <f t="shared" si="38"/>
        <v>NA</v>
      </c>
      <c r="Q217" t="str">
        <f>IF(B217="NA","0",VLOOKUP(B217,SectionGeometry!C:E,3,FALSE)*IF(C217="NA",X$277/(X$277+X$276),X$277))</f>
        <v>0</v>
      </c>
      <c r="R217">
        <f>Q217*IF(B217="NA",0,((VLOOKUP(B217,SectionGeometry!C:Z,24,FALSE))))</f>
        <v>0</v>
      </c>
      <c r="S217">
        <f>IF(R217=0,0,Q217*3.3*10^10*P217*10^6*(1/O217)*VLOOKUP(B217,SectionGeometry!C:AA,25,FALSE)*10^-3)</f>
        <v>0</v>
      </c>
      <c r="T217">
        <f t="shared" si="40"/>
        <v>0.88294759285892699</v>
      </c>
      <c r="U217">
        <f>IF(K217="N",E217*35/SIN(RADIANS(J217)),IF(K217="Y",VLOOKUP(A217,Leonard2010!D:U,18,FALSE),IF(C217="NA",VLOOKUP(A217,MSSM_AdaptedSources!B:K,10,FALSE),"CHECK")))</f>
        <v>107</v>
      </c>
      <c r="V217">
        <f>(1*VLOOKUP(A217,FaultGeometry!B:C,2,FALSE))-Q217-AA217</f>
        <v>0.16666666666666663</v>
      </c>
      <c r="W217">
        <f>V217*(VLOOKUP(A217,FaultGeometry!B:Y,24,FALSE))</f>
        <v>66923514606207.109</v>
      </c>
      <c r="X217">
        <f>V217*3.3*10^10*U217*10^6*(1/T217)*VLOOKUP(A217,FaultGeometry!B:O,14,FALSE)*10^-3</f>
        <v>151950371726441.81</v>
      </c>
      <c r="Y217">
        <f t="shared" si="35"/>
        <v>0.97437006478523513</v>
      </c>
      <c r="Z217">
        <f>IF(C217="NA","NA",VLOOKUP(C217,MSSM_AdaptedSources!B:K,10,FALSE))</f>
        <v>922</v>
      </c>
      <c r="AA217">
        <f>IF(C217="NA","0",VLOOKUP(C217,MultiFaultGeometry!B:C,2,FALSE)*IF(B217="NA",X$278/(X$278+X$276),X$278))</f>
        <v>0.33333333333333337</v>
      </c>
      <c r="AB217">
        <f>AA217*IF(C217="NA",0,VLOOKUP(C217,MultiFaultGeometry!B:O,14,FALSE))</f>
        <v>1211188262854215.2</v>
      </c>
      <c r="AC217">
        <f>IF(AB217=0,0,AA217*3.3*10^10*Z217*10^6*(1/Y217)*VLOOKUP(C217,MultiFaultGeometry!B:G,5,FALSE)*10^-3)</f>
        <v>2649380309490039.5</v>
      </c>
      <c r="AE217" s="68">
        <f t="shared" si="39"/>
        <v>66923514606207.109</v>
      </c>
      <c r="AF217" s="68">
        <f t="shared" si="41"/>
        <v>151950371726441.81</v>
      </c>
      <c r="AG217" s="68"/>
    </row>
    <row r="218" spans="1:33" x14ac:dyDescent="0.2">
      <c r="A218" s="68" t="str">
        <f>Leonard2010!D220</f>
        <v>Wovwe-1</v>
      </c>
      <c r="B218" s="68" t="str">
        <f>Leonard2010!E220</f>
        <v>NA</v>
      </c>
      <c r="C218" s="68" t="str">
        <f>Leonard2010!F220</f>
        <v>South Karonga-Sabi-Wovwe-1</v>
      </c>
      <c r="D218" t="str">
        <f>IF(B218="NA","NA",VLOOKUP(B218,Leonard2010!E:H,3,FALSE))</f>
        <v>NA</v>
      </c>
      <c r="E218">
        <f>IF(A218="NA","NA",VLOOKUP(A218,Leonard2010!D:I,6,FALSE))</f>
        <v>39.9</v>
      </c>
      <c r="F218">
        <f>IF(C218="NA","NA",VLOOKUP(C218,Leonard2010!F:K,6,FALSE))</f>
        <v>70.3</v>
      </c>
      <c r="G218" t="str">
        <f>IF(B218="NA","NA",VLOOKUP(B218,Leonard2010!E:H,4,FALSE))</f>
        <v>NA</v>
      </c>
      <c r="H218">
        <f>IF(A218="NA","NA",VLOOKUP(A218,Leonard2010!D:J,7,FALSE))</f>
        <v>326</v>
      </c>
      <c r="I218">
        <f>IF(C218="NA","NA",VLOOKUP(C218,Leonard2010!F:L,7,FALSE))</f>
        <v>333</v>
      </c>
      <c r="J218">
        <f>IF(A218="NA","NA",VLOOKUP(A218,Leonard2010!D:N,11,FALSE))</f>
        <v>53</v>
      </c>
      <c r="K218" t="s">
        <v>308</v>
      </c>
      <c r="L218">
        <f>VLOOKUP(A218,Leonard2010!D:AJ,32,FALSE)</f>
        <v>61</v>
      </c>
      <c r="M218">
        <f>VLOOKUP($A218,Leonard2010!D:AK,33,FALSE)</f>
        <v>76</v>
      </c>
      <c r="N218">
        <f>VLOOKUP($A218,Leonard2010!D:AL,34,FALSE)</f>
        <v>92</v>
      </c>
      <c r="O218" t="str">
        <f t="shared" si="42"/>
        <v>NA</v>
      </c>
      <c r="P218" t="str">
        <f t="shared" si="38"/>
        <v>NA</v>
      </c>
      <c r="Q218" t="str">
        <f>IF(B218="NA","0",VLOOKUP(B218,SectionGeometry!C:E,3,FALSE)*IF(C218="NA",X$277/(X$277+X$276),X$277))</f>
        <v>0</v>
      </c>
      <c r="R218">
        <f>Q218*IF(B218="NA",0,((VLOOKUP(B218,SectionGeometry!C:Z,24,FALSE))))</f>
        <v>0</v>
      </c>
      <c r="S218">
        <f>IF(R218=0,0,Q218*3.3*10^10*P218*10^6*(1/O218)*VLOOKUP(B218,SectionGeometry!C:AA,25,FALSE)*10^-3)</f>
        <v>0</v>
      </c>
      <c r="T218">
        <f t="shared" si="40"/>
        <v>0.93969262078590843</v>
      </c>
      <c r="U218">
        <f>IF(K218="N",E218*35/SIN(RADIANS(J218)),IF(K218="Y",VLOOKUP(A218,Leonard2010!D:U,18,FALSE),IF(C218="NA",VLOOKUP(A218,MSSM_AdaptedSources!B:K,10,FALSE),"CHECK")))</f>
        <v>642</v>
      </c>
      <c r="V218">
        <f>(1*VLOOKUP(A218,FaultGeometry!B:C,2,FALSE))-Q218-AA218</f>
        <v>0.16666666666666663</v>
      </c>
      <c r="W218">
        <f>V218*(VLOOKUP(A218,FaultGeometry!B:Y,24,FALSE))</f>
        <v>437916152220516.75</v>
      </c>
      <c r="X218">
        <f>V218*3.3*10^10*U218*10^6*(1/T218)*VLOOKUP(A218,FaultGeometry!B:O,14,FALSE)*10^-3</f>
        <v>925559603256847.38</v>
      </c>
      <c r="Y218">
        <f t="shared" si="35"/>
        <v>0.97437006478523513</v>
      </c>
      <c r="Z218">
        <f>IF(C218="NA","NA",VLOOKUP(C218,MSSM_AdaptedSources!B:K,10,FALSE))</f>
        <v>922</v>
      </c>
      <c r="AA218">
        <f>IF(C218="NA","0",VLOOKUP(C218,MultiFaultGeometry!B:C,2,FALSE)*IF(B218="NA",X$278/(X$278+X$276),X$278))</f>
        <v>0.33333333333333337</v>
      </c>
      <c r="AB218">
        <f>AA218*IF(C218="NA",0,VLOOKUP(C218,MultiFaultGeometry!B:O,14,FALSE))</f>
        <v>1211188262854215.2</v>
      </c>
      <c r="AC218">
        <f>IF(AB218=0,0,AA218*3.3*10^10*Z218*10^6*(1/Y218)*VLOOKUP(C218,MultiFaultGeometry!B:G,5,FALSE)*10^-3)</f>
        <v>2649380309490039.5</v>
      </c>
      <c r="AE218" s="68">
        <f t="shared" si="39"/>
        <v>437916152220516.75</v>
      </c>
      <c r="AF218" s="68">
        <f t="shared" si="41"/>
        <v>925559603256847.38</v>
      </c>
      <c r="AG218" s="68"/>
    </row>
    <row r="219" spans="1:33" x14ac:dyDescent="0.2">
      <c r="A219" s="68" t="str">
        <f>Leonard2010!D221</f>
        <v>South Karonga-2</v>
      </c>
      <c r="B219" s="68" t="str">
        <f>Leonard2010!E221</f>
        <v>NA</v>
      </c>
      <c r="C219" s="68" t="str">
        <f>Leonard2010!F221</f>
        <v>South Karonga-Sabi-Wovwe-2</v>
      </c>
      <c r="D219" t="str">
        <f>IF(B219="NA","NA",VLOOKUP(B219,Leonard2010!E:H,3,FALSE))</f>
        <v>NA</v>
      </c>
      <c r="E219">
        <f>IF(A219="NA","NA",VLOOKUP(A219,Leonard2010!D:I,6,FALSE))</f>
        <v>18.399999999999999</v>
      </c>
      <c r="F219">
        <f>IF(C219="NA","NA",VLOOKUP(C219,Leonard2010!F:K,6,FALSE))</f>
        <v>64.3</v>
      </c>
      <c r="G219" t="str">
        <f>IF(B219="NA","NA",VLOOKUP(B219,Leonard2010!E:H,4,FALSE))</f>
        <v>NA</v>
      </c>
      <c r="H219">
        <f>IF(A219="NA","NA",VLOOKUP(A219,Leonard2010!D:J,7,FALSE))</f>
        <v>332</v>
      </c>
      <c r="I219">
        <f>IF(C219="NA","NA",VLOOKUP(C219,Leonard2010!F:L,7,FALSE))</f>
        <v>333</v>
      </c>
      <c r="J219">
        <f>IF(A219="NA","NA",VLOOKUP(A219,Leonard2010!D:N,11,FALSE))</f>
        <v>53</v>
      </c>
      <c r="K219" t="s">
        <v>308</v>
      </c>
      <c r="L219">
        <f>VLOOKUP(A219,Leonard2010!D:AJ,32,FALSE)</f>
        <v>61</v>
      </c>
      <c r="M219">
        <f>VLOOKUP($A219,Leonard2010!D:AK,33,FALSE)</f>
        <v>76</v>
      </c>
      <c r="N219">
        <f>VLOOKUP($A219,Leonard2010!D:AL,34,FALSE)</f>
        <v>92</v>
      </c>
      <c r="O219" t="str">
        <f t="shared" si="42"/>
        <v>NA</v>
      </c>
      <c r="P219" t="str">
        <f t="shared" si="38"/>
        <v>NA</v>
      </c>
      <c r="Q219" t="str">
        <f>IF(B219="NA","0",VLOOKUP(B219,SectionGeometry!C:E,3,FALSE)*IF(C219="NA",X$277/(X$277+X$276),X$277))</f>
        <v>0</v>
      </c>
      <c r="R219">
        <f>Q219*IF(B219="NA",0,((VLOOKUP(B219,SectionGeometry!C:Z,24,FALSE))))</f>
        <v>0</v>
      </c>
      <c r="S219">
        <f>IF(R219=0,0,Q219*3.3*10^10*P219*10^6*(1/O219)*VLOOKUP(B219,SectionGeometry!C:AA,25,FALSE)*10^-3)</f>
        <v>0</v>
      </c>
      <c r="T219">
        <f t="shared" si="40"/>
        <v>0.97029572627599647</v>
      </c>
      <c r="U219">
        <f>IF(K219="N",E219*35/SIN(RADIANS(J219)),IF(K219="Y",VLOOKUP(A219,Leonard2010!D:U,18,FALSE),IF(C219="NA",VLOOKUP(A219,MSSM_AdaptedSources!B:K,10,FALSE),"CHECK")))</f>
        <v>112</v>
      </c>
      <c r="V219">
        <f>(1*VLOOKUP(A219,FaultGeometry!B:C,2,FALSE))-Q219-AA219</f>
        <v>0.16666666666666663</v>
      </c>
      <c r="W219">
        <f>V219*(VLOOKUP(A219,FaultGeometry!B:Y,24,FALSE))</f>
        <v>77217595397999.469</v>
      </c>
      <c r="X219">
        <f>V219*3.3*10^10*U219*10^6*(1/T219)*VLOOKUP(A219,FaultGeometry!B:O,14,FALSE)*10^-3</f>
        <v>159359095640747.59</v>
      </c>
      <c r="Y219">
        <f t="shared" si="35"/>
        <v>0.97437006478523513</v>
      </c>
      <c r="Z219">
        <f>IF(C219="NA","NA",VLOOKUP(C219,MSSM_AdaptedSources!B:K,10,FALSE))</f>
        <v>746</v>
      </c>
      <c r="AA219">
        <f>IF(C219="NA","0",VLOOKUP(C219,MultiFaultGeometry!B:C,2,FALSE)*IF(B219="NA",X$278/(X$278+X$276),X$278))</f>
        <v>0.33333333333333337</v>
      </c>
      <c r="AB219">
        <f>AA219*IF(C219="NA",0,VLOOKUP(C219,MultiFaultGeometry!B:O,14,FALSE))</f>
        <v>1014295076477062.6</v>
      </c>
      <c r="AC219">
        <f>IF(AB219=0,0,AA219*3.3*10^10*Z219*10^6*(1/Y219)*VLOOKUP(C219,MultiFaultGeometry!B:G,5,FALSE)*10^-3)</f>
        <v>2168827134352161.8</v>
      </c>
      <c r="AE219" s="68">
        <f t="shared" si="39"/>
        <v>77217595397999.469</v>
      </c>
      <c r="AF219" s="68">
        <f t="shared" si="41"/>
        <v>159359095640747.59</v>
      </c>
      <c r="AG219" s="68"/>
    </row>
    <row r="220" spans="1:33" x14ac:dyDescent="0.2">
      <c r="A220" s="68" t="str">
        <f>Leonard2010!D222</f>
        <v>Sabi-2</v>
      </c>
      <c r="B220" s="68" t="str">
        <f>Leonard2010!E222</f>
        <v>NA</v>
      </c>
      <c r="C220" s="68" t="str">
        <f>Leonard2010!F222</f>
        <v>South Karonga-Sabi-Wovwe-2</v>
      </c>
      <c r="D220" t="str">
        <f>IF(B220="NA","NA",VLOOKUP(B220,Leonard2010!E:H,3,FALSE))</f>
        <v>NA</v>
      </c>
      <c r="E220">
        <f>IF(A220="NA","NA",VLOOKUP(A220,Leonard2010!D:I,6,FALSE))</f>
        <v>12</v>
      </c>
      <c r="F220">
        <f>IF(C220="NA","NA",VLOOKUP(C220,Leonard2010!F:K,6,FALSE))</f>
        <v>64.3</v>
      </c>
      <c r="G220" t="str">
        <f>IF(B220="NA","NA",VLOOKUP(B220,Leonard2010!E:H,4,FALSE))</f>
        <v>NA</v>
      </c>
      <c r="H220">
        <f>IF(A220="NA","NA",VLOOKUP(A220,Leonard2010!D:J,7,FALSE))</f>
        <v>318</v>
      </c>
      <c r="I220">
        <f>IF(C220="NA","NA",VLOOKUP(C220,Leonard2010!F:L,7,FALSE))</f>
        <v>333</v>
      </c>
      <c r="J220">
        <f>IF(A220="NA","NA",VLOOKUP(A220,Leonard2010!D:N,11,FALSE))</f>
        <v>53</v>
      </c>
      <c r="K220" t="s">
        <v>308</v>
      </c>
      <c r="L220">
        <f>VLOOKUP(A220,Leonard2010!D:AJ,32,FALSE)</f>
        <v>61</v>
      </c>
      <c r="M220">
        <f>VLOOKUP($A220,Leonard2010!D:AK,33,FALSE)</f>
        <v>76</v>
      </c>
      <c r="N220">
        <f>VLOOKUP($A220,Leonard2010!D:AL,34,FALSE)</f>
        <v>92</v>
      </c>
      <c r="O220" t="str">
        <f t="shared" si="42"/>
        <v>NA</v>
      </c>
      <c r="P220" t="str">
        <f t="shared" si="38"/>
        <v>NA</v>
      </c>
      <c r="Q220" t="str">
        <f>IF(B220="NA","0",VLOOKUP(B220,SectionGeometry!C:E,3,FALSE)*IF(C220="NA",X$277/(X$277+X$276),X$277))</f>
        <v>0</v>
      </c>
      <c r="R220">
        <f>Q220*IF(B220="NA",0,((VLOOKUP(B220,SectionGeometry!C:Z,24,FALSE))))</f>
        <v>0</v>
      </c>
      <c r="S220">
        <f>IF(R220=0,0,Q220*3.3*10^10*P220*10^6*(1/O220)*VLOOKUP(B220,SectionGeometry!C:AA,25,FALSE)*10^-3)</f>
        <v>0</v>
      </c>
      <c r="T220">
        <f t="shared" si="40"/>
        <v>0.88294759285892699</v>
      </c>
      <c r="U220">
        <f>IF(K220="N",E220*35/SIN(RADIANS(J220)),IF(K220="Y",VLOOKUP(A220,Leonard2010!D:U,18,FALSE),IF(C220="NA",VLOOKUP(A220,MSSM_AdaptedSources!B:K,10,FALSE),"CHECK")))</f>
        <v>107</v>
      </c>
      <c r="V220">
        <f>(1*VLOOKUP(A220,FaultGeometry!B:C,2,FALSE))-Q220-AA220</f>
        <v>0.16666666666666663</v>
      </c>
      <c r="W220">
        <f>V220*(VLOOKUP(A220,FaultGeometry!B:Y,24,FALSE))</f>
        <v>67941843273839.422</v>
      </c>
      <c r="X220">
        <f>V220*3.3*10^10*U220*10^6*(1/T220)*VLOOKUP(A220,FaultGeometry!B:O,14,FALSE)*10^-3</f>
        <v>153341508129259.47</v>
      </c>
      <c r="Y220">
        <f t="shared" si="35"/>
        <v>0.97437006478523513</v>
      </c>
      <c r="Z220">
        <f>IF(C220="NA","NA",VLOOKUP(C220,MSSM_AdaptedSources!B:K,10,FALSE))</f>
        <v>746</v>
      </c>
      <c r="AA220">
        <f>IF(C220="NA","0",VLOOKUP(C220,MultiFaultGeometry!B:C,2,FALSE)*IF(B220="NA",X$278/(X$278+X$276),X$278))</f>
        <v>0.33333333333333337</v>
      </c>
      <c r="AB220">
        <f>AA220*IF(C220="NA",0,VLOOKUP(C220,MultiFaultGeometry!B:O,14,FALSE))</f>
        <v>1014295076477062.6</v>
      </c>
      <c r="AC220">
        <f>IF(AB220=0,0,AA220*3.3*10^10*Z220*10^6*(1/Y220)*VLOOKUP(C220,MultiFaultGeometry!B:G,5,FALSE)*10^-3)</f>
        <v>2168827134352161.8</v>
      </c>
      <c r="AE220" s="68">
        <f t="shared" si="39"/>
        <v>67941843273839.422</v>
      </c>
      <c r="AF220" s="68">
        <f t="shared" si="41"/>
        <v>153341508129259.47</v>
      </c>
      <c r="AG220" s="68"/>
    </row>
    <row r="221" spans="1:33" x14ac:dyDescent="0.2">
      <c r="A221" s="68" t="str">
        <f>Leonard2010!D223</f>
        <v>Wovwe-2</v>
      </c>
      <c r="B221" s="68" t="str">
        <f>Leonard2010!E223</f>
        <v>Wovwe-2 South</v>
      </c>
      <c r="C221" s="68" t="str">
        <f>Leonard2010!F223</f>
        <v>South Karonga-Sabi-Wovwe-2</v>
      </c>
      <c r="D221">
        <f>IF(B221="NA","NA",VLOOKUP(B221,Leonard2010!E:H,3,FALSE))</f>
        <v>19.7</v>
      </c>
      <c r="E221">
        <f>IF(A221="NA","NA",VLOOKUP(A221,Leonard2010!D:I,6,FALSE))</f>
        <v>33.9</v>
      </c>
      <c r="F221">
        <f>IF(C221="NA","NA",VLOOKUP(C221,Leonard2010!F:K,6,FALSE))</f>
        <v>64.3</v>
      </c>
      <c r="G221">
        <f>IF(B221="NA","NA",VLOOKUP(B221,Leonard2010!E:H,4,FALSE))</f>
        <v>327</v>
      </c>
      <c r="H221">
        <f>IF(A221="NA","NA",VLOOKUP(A221,Leonard2010!D:J,7,FALSE))</f>
        <v>341</v>
      </c>
      <c r="I221">
        <f>IF(C221="NA","NA",VLOOKUP(C221,Leonard2010!F:L,7,FALSE))</f>
        <v>333</v>
      </c>
      <c r="J221">
        <f>IF(A221="NA","NA",VLOOKUP(A221,Leonard2010!D:N,11,FALSE))</f>
        <v>53</v>
      </c>
      <c r="K221" t="s">
        <v>308</v>
      </c>
      <c r="L221">
        <f>VLOOKUP(A221,Leonard2010!D:AJ,32,FALSE)</f>
        <v>61</v>
      </c>
      <c r="M221">
        <f>VLOOKUP($A221,Leonard2010!D:AK,33,FALSE)</f>
        <v>76</v>
      </c>
      <c r="N221">
        <f>VLOOKUP($A221,Leonard2010!D:AL,34,FALSE)</f>
        <v>92</v>
      </c>
      <c r="O221">
        <f t="shared" si="42"/>
        <v>0.94551857559931685</v>
      </c>
      <c r="P221">
        <f>D221*(505/E221)</f>
        <v>293.4660766961652</v>
      </c>
      <c r="Q221">
        <f>IF(B221="NA","0",VLOOKUP(B221,SectionGeometry!C:E,3,FALSE)*IF(C221="NA",X$277/(X$277+X$276),X$277))</f>
        <v>0.05</v>
      </c>
      <c r="R221">
        <f>Q221*IF(B221="NA",0,((VLOOKUP(B221,SectionGeometry!C:Z,24,FALSE))))</f>
        <v>48169186086186.719</v>
      </c>
      <c r="S221">
        <f>IF(R221=0,0,Q221*3.3*10^10*P221*10^6*(1/O221)*VLOOKUP(B221,SectionGeometry!C:AA,25,FALSE)*10^-3)</f>
        <v>126517011074872.81</v>
      </c>
      <c r="T221">
        <f t="shared" si="40"/>
        <v>0.98480775301220813</v>
      </c>
      <c r="U221">
        <f>IF(K221="N",E221*35/SIN(RADIANS(J221)),IF(K221="Y",VLOOKUP(A221,Leonard2010!D:U,18,FALSE),IF(C221="NA",VLOOKUP(A221,MSSM_AdaptedSources!B:K,10,FALSE),"CHECK")))</f>
        <v>505</v>
      </c>
      <c r="V221">
        <f>(1*VLOOKUP(A221,FaultGeometry!B:C,2,FALSE))-Q221-AA221</f>
        <v>0.15000000000000002</v>
      </c>
      <c r="W221">
        <f>V221*(VLOOKUP(A221,FaultGeometry!B:Y,24,FALSE))</f>
        <v>323570921984919.94</v>
      </c>
      <c r="X221">
        <f>V221*3.3*10^10*U221*10^6*(1/T221)*VLOOKUP(A221,FaultGeometry!B:O,14,FALSE)*10^-3</f>
        <v>653201337480633.88</v>
      </c>
      <c r="Y221">
        <f t="shared" si="35"/>
        <v>0.97437006478523513</v>
      </c>
      <c r="Z221">
        <f>IF(C221="NA","NA",VLOOKUP(C221,MSSM_AdaptedSources!B:K,10,FALSE))</f>
        <v>746</v>
      </c>
      <c r="AA221">
        <f>IF(C221="NA","0",VLOOKUP(C221,MultiFaultGeometry!B:C,2,FALSE)*IF(B221="NA",X$278/(X$278+X$276),X$278))</f>
        <v>0.3</v>
      </c>
      <c r="AB221">
        <f>AA221*IF(C221="NA",0,VLOOKUP(C221,MultiFaultGeometry!B:O,14,FALSE))</f>
        <v>912865568829356.25</v>
      </c>
      <c r="AC221">
        <f>IF(AB221=0,0,AA221*3.3*10^10*Z221*10^6*(1/Y221)*VLOOKUP(C221,MultiFaultGeometry!B:G,5,FALSE)*10^-3)</f>
        <v>1951944420916945.5</v>
      </c>
      <c r="AE221" s="68">
        <f t="shared" si="39"/>
        <v>0</v>
      </c>
      <c r="AF221" s="68">
        <f t="shared" si="41"/>
        <v>0</v>
      </c>
      <c r="AG221" s="68"/>
    </row>
    <row r="222" spans="1:33" x14ac:dyDescent="0.2">
      <c r="A222" s="68" t="str">
        <f>Leonard2010!D224</f>
        <v>Wovwe-2</v>
      </c>
      <c r="B222" s="68" t="str">
        <f>Leonard2010!E224</f>
        <v>Wovwe-2 North</v>
      </c>
      <c r="C222" s="68" t="str">
        <f>Leonard2010!F224</f>
        <v>South Karonga-Sabi-Wovwe-2</v>
      </c>
      <c r="D222">
        <f>IF(B222="NA","NA",VLOOKUP(B222,Leonard2010!E:H,3,FALSE))</f>
        <v>14.2</v>
      </c>
      <c r="E222">
        <f>IF(A222="NA","NA",VLOOKUP(A222,Leonard2010!D:I,6,FALSE))</f>
        <v>33.9</v>
      </c>
      <c r="F222">
        <f>IF(C222="NA","NA",VLOOKUP(C222,Leonard2010!F:K,6,FALSE))</f>
        <v>64.3</v>
      </c>
      <c r="G222">
        <f>IF(B222="NA","NA",VLOOKUP(B222,Leonard2010!E:H,4,FALSE))</f>
        <v>360</v>
      </c>
      <c r="H222">
        <f>IF(A222="NA","NA",VLOOKUP(A222,Leonard2010!D:J,7,FALSE))</f>
        <v>341</v>
      </c>
      <c r="I222">
        <f>IF(C222="NA","NA",VLOOKUP(C222,Leonard2010!F:L,7,FALSE))</f>
        <v>333</v>
      </c>
      <c r="J222">
        <f>IF(A222="NA","NA",VLOOKUP(A222,Leonard2010!D:N,11,FALSE))</f>
        <v>53</v>
      </c>
      <c r="K222" t="s">
        <v>308</v>
      </c>
      <c r="L222">
        <f>VLOOKUP(A222,Leonard2010!D:AJ,32,FALSE)</f>
        <v>61</v>
      </c>
      <c r="M222">
        <f>VLOOKUP($A222,Leonard2010!D:AK,33,FALSE)</f>
        <v>76</v>
      </c>
      <c r="N222">
        <f>VLOOKUP($A222,Leonard2010!D:AL,34,FALSE)</f>
        <v>92</v>
      </c>
      <c r="O222">
        <f t="shared" si="42"/>
        <v>0.97029572627599658</v>
      </c>
      <c r="P222">
        <f>D222*(505/E222)</f>
        <v>211.5339233038348</v>
      </c>
      <c r="Q222">
        <f>IF(B222="NA","0",VLOOKUP(B222,SectionGeometry!C:E,3,FALSE)*IF(C222="NA",X$277/(X$277+X$276),X$277))</f>
        <v>0.05</v>
      </c>
      <c r="R222">
        <f>Q222*IF(B222="NA",0,((VLOOKUP(B222,SectionGeometry!C:Z,24,FALSE))))</f>
        <v>28776460658027.926</v>
      </c>
      <c r="S222">
        <f>IF(R222=0,0,Q222*3.3*10^10*P222*10^6*(1/O222)*VLOOKUP(B222,SectionGeometry!C:AA,25,FALSE)*10^-3)</f>
        <v>93552849725261.688</v>
      </c>
      <c r="T222">
        <f t="shared" si="40"/>
        <v>0.98480775301220813</v>
      </c>
      <c r="U222">
        <f>IF(K222="N",E222*35/SIN(RADIANS(J222)),IF(K222="Y",VLOOKUP(A222,Leonard2010!D:U,18,FALSE),IF(C222="NA",VLOOKUP(A222,MSSM_AdaptedSources!B:K,10,FALSE),"CHECK")))</f>
        <v>505</v>
      </c>
      <c r="V222">
        <f>(1*VLOOKUP(A222,FaultGeometry!B:C,2,FALSE))-Q222-AA222</f>
        <v>0.15000000000000002</v>
      </c>
      <c r="W222">
        <f>V222*(VLOOKUP(A222,FaultGeometry!B:Y,24,FALSE))</f>
        <v>323570921984919.94</v>
      </c>
      <c r="X222">
        <f>V222*3.3*10^10*U222*10^6*(1/T222)*VLOOKUP(A222,FaultGeometry!B:O,14,FALSE)*10^-3</f>
        <v>653201337480633.88</v>
      </c>
      <c r="Y222">
        <f t="shared" si="35"/>
        <v>0.97437006478523513</v>
      </c>
      <c r="Z222">
        <f>IF(C222="NA","NA",VLOOKUP(C222,MSSM_AdaptedSources!B:K,10,FALSE))</f>
        <v>746</v>
      </c>
      <c r="AA222">
        <f>IF(C222="NA","0",VLOOKUP(C222,MultiFaultGeometry!B:C,2,FALSE)*IF(B222="NA",X$278/(X$278+X$276),X$278))</f>
        <v>0.3</v>
      </c>
      <c r="AB222">
        <f>AA222*IF(C222="NA",0,VLOOKUP(C222,MultiFaultGeometry!B:O,14,FALSE))</f>
        <v>912865568829356.25</v>
      </c>
      <c r="AC222">
        <f>IF(AB222=0,0,AA222*3.3*10^10*Z222*10^6*(1/Y222)*VLOOKUP(C222,MultiFaultGeometry!B:G,5,FALSE)*10^-3)</f>
        <v>1951944420916945.5</v>
      </c>
      <c r="AE222" s="68">
        <f t="shared" si="39"/>
        <v>323570921984919.94</v>
      </c>
      <c r="AF222" s="68">
        <f t="shared" si="41"/>
        <v>653201337480633.88</v>
      </c>
      <c r="AG222" s="68"/>
    </row>
    <row r="223" spans="1:33" x14ac:dyDescent="0.2">
      <c r="A223" s="68" t="str">
        <f>Leonard2010!D225</f>
        <v>Mbiri-1</v>
      </c>
      <c r="B223" s="68" t="str">
        <f>Leonard2010!E225</f>
        <v>Mbiri-1 South</v>
      </c>
      <c r="C223" s="68" t="str">
        <f>Leonard2010!F225</f>
        <v>Karonga-1-Katesula-1-Mbiri-1</v>
      </c>
      <c r="D223">
        <f>IF(B223="NA","NA",VLOOKUP(B223,Leonard2010!E:H,3,FALSE))</f>
        <v>10.199999999999999</v>
      </c>
      <c r="E223">
        <f>IF(A223="NA","NA",VLOOKUP(A223,Leonard2010!D:I,6,FALSE))</f>
        <v>54.4</v>
      </c>
      <c r="F223">
        <f>IF(C223="NA","NA",VLOOKUP(C223,Leonard2010!F:K,6,FALSE))</f>
        <v>95.2</v>
      </c>
      <c r="G223">
        <f>IF(B223="NA","NA",VLOOKUP(B223,Leonard2010!E:H,4,FALSE))</f>
        <v>148</v>
      </c>
      <c r="H223">
        <f>IF(A223="NA","NA",VLOOKUP(A223,Leonard2010!D:J,7,FALSE))</f>
        <v>140</v>
      </c>
      <c r="I223">
        <f>IF(C223="NA","NA",VLOOKUP(C223,Leonard2010!F:L,7,FALSE))</f>
        <v>149</v>
      </c>
      <c r="J223">
        <f>IF(A223="NA","NA",VLOOKUP(A223,Leonard2010!D:N,11,FALSE))</f>
        <v>53</v>
      </c>
      <c r="K223" t="s">
        <v>211</v>
      </c>
      <c r="L223">
        <f>VLOOKUP(A223,Leonard2010!D:AJ,32,FALSE)</f>
        <v>61</v>
      </c>
      <c r="M223">
        <f>VLOOKUP($A223,Leonard2010!D:AK,33,FALSE)</f>
        <v>76</v>
      </c>
      <c r="N223">
        <f>VLOOKUP($A223,Leonard2010!D:AL,34,FALSE)</f>
        <v>92</v>
      </c>
      <c r="O223">
        <f t="shared" si="42"/>
        <v>0.95105651629515353</v>
      </c>
      <c r="P223">
        <f t="shared" si="38"/>
        <v>447.01242996177251</v>
      </c>
      <c r="Q223">
        <f>IF(B223="NA","0",VLOOKUP(B223,SectionGeometry!C:E,3,FALSE)*IF(C223="NA",X$277/(X$277+X$276),X$277))</f>
        <v>0.05</v>
      </c>
      <c r="R223">
        <f>Q223*IF(B223="NA",0,((VLOOKUP(B223,SectionGeometry!C:Z,24,FALSE))))</f>
        <v>16279881377166.25</v>
      </c>
      <c r="S223">
        <f>IF(R223=0,0,Q223*3.3*10^10*P223*10^6*(1/O223)*VLOOKUP(B223,SectionGeometry!C:AA,25,FALSE)*10^-3)</f>
        <v>191611251791718.44</v>
      </c>
      <c r="T223">
        <f t="shared" si="40"/>
        <v>0.89879404629916704</v>
      </c>
      <c r="U223">
        <f>IF(K223="N",E223*35/SIN(RADIANS(J223)),IF(K223="Y",VLOOKUP(A223,Leonard2010!D:U,18,FALSE),IF(C223="NA",VLOOKUP(A223,MSSM_AdaptedSources!B:K,10,FALSE),"CHECK")))</f>
        <v>2384.0662931294537</v>
      </c>
      <c r="V223">
        <f>(1*VLOOKUP(A223,FaultGeometry!B:C,2,FALSE))-Q223-AA223</f>
        <v>0.15000000000000002</v>
      </c>
      <c r="W223">
        <f>V223*(VLOOKUP(A223,FaultGeometry!B:Y,24,FALSE))</f>
        <v>798275225307421.88</v>
      </c>
      <c r="X223">
        <f>V223*3.3*10^10*U223*10^6*(1/T223)*VLOOKUP(A223,FaultGeometry!B:O,14,FALSE)*10^-3</f>
        <v>3065299855763766.5</v>
      </c>
      <c r="Y223">
        <f t="shared" si="35"/>
        <v>0.95630475596303555</v>
      </c>
      <c r="Z223">
        <f>IF(C223="NA","NA",VLOOKUP(C223,MSSM_AdaptedSources!B:K,10,FALSE))</f>
        <v>3445.8623280676761</v>
      </c>
      <c r="AA223">
        <f>IF(C223="NA","0",VLOOKUP(C223,MultiFaultGeometry!B:C,2,FALSE)*IF(B223="NA",X$278/(X$278+X$276),X$278))</f>
        <v>0.3</v>
      </c>
      <c r="AB223">
        <f>AA223*IF(C223="NA",0,VLOOKUP(C223,MultiFaultGeometry!B:O,14,FALSE))</f>
        <v>2614294420300021</v>
      </c>
      <c r="AC223">
        <f>IF(AB223=0,0,AA223*3.3*10^10*Z223*10^6*(1/Y223)*VLOOKUP(C223,MultiFaultGeometry!B:G,5,FALSE)*10^-3)</f>
        <v>9087598796017246</v>
      </c>
      <c r="AE223" s="68">
        <f t="shared" si="39"/>
        <v>0</v>
      </c>
      <c r="AF223" s="68">
        <f t="shared" si="41"/>
        <v>0</v>
      </c>
      <c r="AG223" s="68"/>
    </row>
    <row r="224" spans="1:33" x14ac:dyDescent="0.2">
      <c r="A224" s="68" t="str">
        <f>Leonard2010!D226</f>
        <v>Mbiri-1</v>
      </c>
      <c r="B224" s="68" t="str">
        <f>Leonard2010!E226</f>
        <v>Mbiri-1 Central</v>
      </c>
      <c r="C224" s="68" t="str">
        <f>Leonard2010!F226</f>
        <v>Karonga-1-Katesula-1-Mbiri-1</v>
      </c>
      <c r="D224">
        <f>IF(B224="NA","NA",VLOOKUP(B224,Leonard2010!E:H,3,FALSE))</f>
        <v>19</v>
      </c>
      <c r="E224">
        <f>IF(A224="NA","NA",VLOOKUP(A224,Leonard2010!D:I,6,FALSE))</f>
        <v>54.4</v>
      </c>
      <c r="F224">
        <f>IF(C224="NA","NA",VLOOKUP(C224,Leonard2010!F:K,6,FALSE))</f>
        <v>95.2</v>
      </c>
      <c r="G224">
        <f>IF(B224="NA","NA",VLOOKUP(B224,Leonard2010!E:H,4,FALSE))</f>
        <v>143</v>
      </c>
      <c r="H224">
        <f>IF(A224="NA","NA",VLOOKUP(A224,Leonard2010!D:J,7,FALSE))</f>
        <v>140</v>
      </c>
      <c r="I224">
        <f>IF(C224="NA","NA",VLOOKUP(C224,Leonard2010!F:L,7,FALSE))</f>
        <v>149</v>
      </c>
      <c r="J224">
        <f>IF(A224="NA","NA",VLOOKUP(A224,Leonard2010!D:N,11,FALSE))</f>
        <v>53</v>
      </c>
      <c r="K224" t="s">
        <v>211</v>
      </c>
      <c r="L224">
        <f>VLOOKUP(A224,Leonard2010!D:AJ,32,FALSE)</f>
        <v>61</v>
      </c>
      <c r="M224">
        <f>VLOOKUP($A224,Leonard2010!D:AK,33,FALSE)</f>
        <v>76</v>
      </c>
      <c r="N224">
        <f>VLOOKUP($A224,Leonard2010!D:AL,34,FALSE)</f>
        <v>92</v>
      </c>
      <c r="O224">
        <f t="shared" si="42"/>
        <v>0.92050485345244037</v>
      </c>
      <c r="P224">
        <f t="shared" si="38"/>
        <v>832.67021267389009</v>
      </c>
      <c r="Q224">
        <f>IF(B224="NA","0",VLOOKUP(B224,SectionGeometry!C:E,3,FALSE)*IF(C224="NA",X$277/(X$277+X$276),X$277))</f>
        <v>0.05</v>
      </c>
      <c r="R224">
        <f>Q224*IF(B224="NA",0,((VLOOKUP(B224,SectionGeometry!C:Z,24,FALSE))))</f>
        <v>45401314833503.898</v>
      </c>
      <c r="S224">
        <f>IF(R224=0,0,Q224*3.3*10^10*P224*10^6*(1/O224)*VLOOKUP(B224,SectionGeometry!C:AA,25,FALSE)*10^-3)</f>
        <v>366418773431340.19</v>
      </c>
      <c r="T224">
        <f t="shared" si="40"/>
        <v>0.89879404629916704</v>
      </c>
      <c r="U224">
        <f>IF(K224="N",E224*35/SIN(RADIANS(J224)),IF(K224="Y",VLOOKUP(A224,Leonard2010!D:U,18,FALSE),IF(C224="NA",VLOOKUP(A224,MSSM_AdaptedSources!B:K,10,FALSE),"CHECK")))</f>
        <v>2384.0662931294537</v>
      </c>
      <c r="V224">
        <f>(1*VLOOKUP(A224,FaultGeometry!B:C,2,FALSE))-Q224-AA224</f>
        <v>0.15000000000000002</v>
      </c>
      <c r="W224">
        <f>V224*(VLOOKUP(A224,FaultGeometry!B:Y,24,FALSE))</f>
        <v>798275225307421.88</v>
      </c>
      <c r="X224">
        <f>V224*3.3*10^10*U224*10^6*(1/T224)*VLOOKUP(A224,FaultGeometry!B:O,14,FALSE)*10^-3</f>
        <v>3065299855763766.5</v>
      </c>
      <c r="Y224">
        <f t="shared" si="35"/>
        <v>0.95630475596303555</v>
      </c>
      <c r="Z224">
        <f>IF(C224="NA","NA",VLOOKUP(C224,MSSM_AdaptedSources!B:K,10,FALSE))</f>
        <v>3445.8623280676761</v>
      </c>
      <c r="AA224">
        <f>IF(C224="NA","0",VLOOKUP(C224,MultiFaultGeometry!B:C,2,FALSE)*IF(B224="NA",X$278/(X$278+X$276),X$278))</f>
        <v>0.3</v>
      </c>
      <c r="AB224">
        <f>AA224*IF(C224="NA",0,VLOOKUP(C224,MultiFaultGeometry!B:O,14,FALSE))</f>
        <v>2614294420300021</v>
      </c>
      <c r="AC224">
        <f>IF(AB224=0,0,AA224*3.3*10^10*Z224*10^6*(1/Y224)*VLOOKUP(C224,MultiFaultGeometry!B:G,5,FALSE)*10^-3)</f>
        <v>9087598796017246</v>
      </c>
      <c r="AE224" s="68">
        <f t="shared" si="39"/>
        <v>0</v>
      </c>
      <c r="AF224" s="68">
        <f t="shared" si="41"/>
        <v>0</v>
      </c>
      <c r="AG224" s="68"/>
    </row>
    <row r="225" spans="1:33" x14ac:dyDescent="0.2">
      <c r="A225" s="68" t="str">
        <f>Leonard2010!D227</f>
        <v>Mbiri-1</v>
      </c>
      <c r="B225" s="68" t="str">
        <f>Leonard2010!E227</f>
        <v>Mbiri-1 North</v>
      </c>
      <c r="C225" s="68" t="str">
        <f>Leonard2010!F227</f>
        <v>Karonga-1-Katesula-1-Mbiri-1</v>
      </c>
      <c r="D225">
        <f>IF(B225="NA","NA",VLOOKUP(B225,Leonard2010!E:H,3,FALSE))</f>
        <v>25.2</v>
      </c>
      <c r="E225">
        <f>IF(A225="NA","NA",VLOOKUP(A225,Leonard2010!D:I,6,FALSE))</f>
        <v>54.4</v>
      </c>
      <c r="F225">
        <f>IF(C225="NA","NA",VLOOKUP(C225,Leonard2010!F:K,6,FALSE))</f>
        <v>95.2</v>
      </c>
      <c r="G225">
        <f>IF(B225="NA","NA",VLOOKUP(B225,Leonard2010!E:H,4,FALSE))</f>
        <v>134</v>
      </c>
      <c r="H225">
        <f>IF(A225="NA","NA",VLOOKUP(A225,Leonard2010!D:J,7,FALSE))</f>
        <v>140</v>
      </c>
      <c r="I225">
        <f>IF(C225="NA","NA",VLOOKUP(C225,Leonard2010!F:L,7,FALSE))</f>
        <v>149</v>
      </c>
      <c r="J225">
        <f>IF(A225="NA","NA",VLOOKUP(A225,Leonard2010!D:N,11,FALSE))</f>
        <v>53</v>
      </c>
      <c r="K225" t="s">
        <v>211</v>
      </c>
      <c r="L225">
        <f>VLOOKUP(A225,Leonard2010!D:AJ,32,FALSE)</f>
        <v>61</v>
      </c>
      <c r="M225">
        <f>VLOOKUP($A225,Leonard2010!D:AK,33,FALSE)</f>
        <v>76</v>
      </c>
      <c r="N225">
        <f>VLOOKUP($A225,Leonard2010!D:AL,34,FALSE)</f>
        <v>92</v>
      </c>
      <c r="O225">
        <f t="shared" si="42"/>
        <v>0.84804809615642596</v>
      </c>
      <c r="P225">
        <f t="shared" si="38"/>
        <v>1104.383650493791</v>
      </c>
      <c r="Q225">
        <f>IF(B225="NA","0",VLOOKUP(B225,SectionGeometry!C:E,3,FALSE)*IF(C225="NA",X$277/(X$277+X$276),X$277))</f>
        <v>0.05</v>
      </c>
      <c r="R225">
        <f>Q225*IF(B225="NA",0,((VLOOKUP(B225,SectionGeometry!C:Z,24,FALSE))))</f>
        <v>63958188231071.117</v>
      </c>
      <c r="S225">
        <f>IF(R225=0,0,Q225*3.3*10^10*P225*10^6*(1/O225)*VLOOKUP(B225,SectionGeometry!C:AA,25,FALSE)*10^-3)</f>
        <v>471381096563826.25</v>
      </c>
      <c r="T225">
        <f t="shared" si="40"/>
        <v>0.89879404629916704</v>
      </c>
      <c r="U225">
        <f>IF(K225="N",E225*35/SIN(RADIANS(J225)),IF(K225="Y",VLOOKUP(A225,Leonard2010!D:U,18,FALSE),IF(C225="NA",VLOOKUP(A225,MSSM_AdaptedSources!B:K,10,FALSE),"CHECK")))</f>
        <v>2384.0662931294537</v>
      </c>
      <c r="V225">
        <f>(1*VLOOKUP(A225,FaultGeometry!B:C,2,FALSE))-Q225-AA225</f>
        <v>0.15000000000000002</v>
      </c>
      <c r="W225">
        <f>V225*(VLOOKUP(A225,FaultGeometry!B:Y,24,FALSE))</f>
        <v>798275225307421.88</v>
      </c>
      <c r="X225">
        <f>V225*3.3*10^10*U225*10^6*(1/T225)*VLOOKUP(A225,FaultGeometry!B:O,14,FALSE)*10^-3</f>
        <v>3065299855763766.5</v>
      </c>
      <c r="Y225">
        <f t="shared" si="35"/>
        <v>0.95630475596303555</v>
      </c>
      <c r="Z225">
        <f>IF(C225="NA","NA",VLOOKUP(C225,MSSM_AdaptedSources!B:K,10,FALSE))</f>
        <v>3445.8623280676761</v>
      </c>
      <c r="AA225">
        <f>IF(C225="NA","0",VLOOKUP(C225,MultiFaultGeometry!B:C,2,FALSE)*IF(B225="NA",X$278/(X$278+X$276),X$278))</f>
        <v>0.3</v>
      </c>
      <c r="AB225">
        <f>AA225*IF(C225="NA",0,VLOOKUP(C225,MultiFaultGeometry!B:O,14,FALSE))</f>
        <v>2614294420300021</v>
      </c>
      <c r="AC225">
        <f>IF(AB225=0,0,AA225*3.3*10^10*Z225*10^6*(1/Y225)*VLOOKUP(C225,MultiFaultGeometry!B:G,5,FALSE)*10^-3)</f>
        <v>9087598796017246</v>
      </c>
      <c r="AE225" s="68">
        <f t="shared" si="39"/>
        <v>798275225307421.88</v>
      </c>
      <c r="AF225" s="68">
        <f t="shared" si="41"/>
        <v>3065299855763766.5</v>
      </c>
      <c r="AG225" s="68"/>
    </row>
    <row r="226" spans="1:33" x14ac:dyDescent="0.2">
      <c r="A226" s="68" t="str">
        <f>Leonard2010!D228</f>
        <v>Mbiri-2</v>
      </c>
      <c r="B226" s="68" t="str">
        <f>Leonard2010!E228</f>
        <v>Mbiri-2 South</v>
      </c>
      <c r="C226" s="68" t="str">
        <f>Leonard2010!F228</f>
        <v>Kaporo-1-Mbiri-2</v>
      </c>
      <c r="D226">
        <f>IF(B226="NA","NA",VLOOKUP(B226,Leonard2010!E:H,3,FALSE))</f>
        <v>10.199999999999999</v>
      </c>
      <c r="E226">
        <f>IF(A226="NA","NA",VLOOKUP(A226,Leonard2010!D:I,6,FALSE))</f>
        <v>40.6</v>
      </c>
      <c r="F226">
        <f>IF(C226="NA","NA",VLOOKUP(C226,Leonard2010!F:K,6,FALSE))</f>
        <v>95.9</v>
      </c>
      <c r="G226">
        <f>IF(B226="NA","NA",VLOOKUP(B226,Leonard2010!E:H,4,FALSE))</f>
        <v>148</v>
      </c>
      <c r="H226">
        <f>IF(A226="NA","NA",VLOOKUP(A226,Leonard2010!D:J,7,FALSE))</f>
        <v>147</v>
      </c>
      <c r="I226">
        <f>IF(C226="NA","NA",VLOOKUP(C226,Leonard2010!F:L,7,FALSE))</f>
        <v>151</v>
      </c>
      <c r="J226">
        <f>IF(A226="NA","NA",VLOOKUP(A226,Leonard2010!D:N,11,FALSE))</f>
        <v>53</v>
      </c>
      <c r="K226" t="s">
        <v>211</v>
      </c>
      <c r="L226">
        <f>VLOOKUP(A226,Leonard2010!D:AJ,32,FALSE)</f>
        <v>61</v>
      </c>
      <c r="M226">
        <f>VLOOKUP($A226,Leonard2010!D:AK,33,FALSE)</f>
        <v>76</v>
      </c>
      <c r="N226">
        <f>VLOOKUP($A226,Leonard2010!D:AL,34,FALSE)</f>
        <v>92</v>
      </c>
      <c r="O226">
        <f t="shared" si="42"/>
        <v>0.95105651629515353</v>
      </c>
      <c r="P226">
        <f t="shared" si="38"/>
        <v>447.01242996177251</v>
      </c>
      <c r="Q226">
        <f>IF(B226="NA","0",VLOOKUP(B226,SectionGeometry!C:E,3,FALSE)*IF(C226="NA",X$277/(X$277+X$276),X$277))</f>
        <v>0.05</v>
      </c>
      <c r="R226">
        <f>Q226*IF(B226="NA",0,((VLOOKUP(B226,SectionGeometry!C:Z,24,FALSE))))</f>
        <v>16203252631626.701</v>
      </c>
      <c r="S226">
        <f>IF(R226=0,0,Q226*3.3*10^10*P226*10^6*(1/O226)*VLOOKUP(B226,SectionGeometry!C:AA,25,FALSE)*10^-3)</f>
        <v>192186785677026.62</v>
      </c>
      <c r="T226">
        <f t="shared" si="40"/>
        <v>0.94551857559931685</v>
      </c>
      <c r="U226">
        <f>IF(K226="N",E226*35/SIN(RADIANS(J226)),IF(K226="Y",VLOOKUP(A226,Leonard2010!D:U,18,FALSE),IF(C226="NA",VLOOKUP(A226,MSSM_AdaptedSources!B:K,10,FALSE),"CHECK")))</f>
        <v>1779.2847702399968</v>
      </c>
      <c r="V226">
        <f>(1*VLOOKUP(A226,FaultGeometry!B:C,2,FALSE))-Q226-AA226</f>
        <v>0.15000000000000002</v>
      </c>
      <c r="W226">
        <f>V226*(VLOOKUP(A226,FaultGeometry!B:Y,24,FALSE))</f>
        <v>518441147064550.19</v>
      </c>
      <c r="X226">
        <f>V226*3.3*10^10*U226*10^6*(1/T226)*VLOOKUP(A226,FaultGeometry!B:O,14,FALSE)*10^-3</f>
        <v>2311013292777223.5</v>
      </c>
      <c r="Y226">
        <f t="shared" ref="Y226:Y244" si="43">IF($C226="NA","NA",MEDIAN(ABS(COS(RADIANS($L226-$I226-90))),ABS(COS(RADIANS($M226-$I226-90))),ABS(COS(RADIANS($N226-$I226-90)))))</f>
        <v>0.9659258262890682</v>
      </c>
      <c r="Z226">
        <f>IF(C226="NA","NA",VLOOKUP(C226,MSSM_AdaptedSources!B:K,10,FALSE))</f>
        <v>4142.7534317927812</v>
      </c>
      <c r="AA226">
        <f>IF(C226="NA","0",VLOOKUP(C226,MultiFaultGeometry!B:C,2,FALSE)*IF(B226="NA",X$278/(X$278+X$276),X$278))</f>
        <v>0.3</v>
      </c>
      <c r="AB226">
        <f>AA226*IF(C226="NA",0,VLOOKUP(C226,MultiFaultGeometry!B:O,14,FALSE))</f>
        <v>4303594073698775</v>
      </c>
      <c r="AC226">
        <f>IF(AB226=0,0,AA226*3.3*10^10*Z226*10^6*(1/Y226)*VLOOKUP(C226,MultiFaultGeometry!B:G,5,FALSE)*10^-3)</f>
        <v>1.0673959852380436E+16</v>
      </c>
      <c r="AE226" s="68">
        <f t="shared" si="39"/>
        <v>0</v>
      </c>
      <c r="AF226" s="68">
        <f t="shared" si="41"/>
        <v>0</v>
      </c>
      <c r="AG226" s="68"/>
    </row>
    <row r="227" spans="1:33" x14ac:dyDescent="0.2">
      <c r="A227" s="68" t="str">
        <f>Leonard2010!D229</f>
        <v>Mbiri-2</v>
      </c>
      <c r="B227" s="68" t="str">
        <f>Leonard2010!E229</f>
        <v>Mbiri-2 Central</v>
      </c>
      <c r="C227" s="68" t="str">
        <f>Leonard2010!F229</f>
        <v>Kaporo-1-Mbiri-2</v>
      </c>
      <c r="D227">
        <f>IF(B227="NA","NA",VLOOKUP(B227,Leonard2010!E:H,3,FALSE))</f>
        <v>19</v>
      </c>
      <c r="E227">
        <f>IF(A227="NA","NA",VLOOKUP(A227,Leonard2010!D:I,6,FALSE))</f>
        <v>40.6</v>
      </c>
      <c r="F227">
        <f>IF(C227="NA","NA",VLOOKUP(C227,Leonard2010!F:K,6,FALSE))</f>
        <v>95.9</v>
      </c>
      <c r="G227">
        <f>IF(B227="NA","NA",VLOOKUP(B227,Leonard2010!E:H,4,FALSE))</f>
        <v>143</v>
      </c>
      <c r="H227">
        <f>IF(A227="NA","NA",VLOOKUP(A227,Leonard2010!D:J,7,FALSE))</f>
        <v>147</v>
      </c>
      <c r="I227">
        <f>IF(C227="NA","NA",VLOOKUP(C227,Leonard2010!F:L,7,FALSE))</f>
        <v>151</v>
      </c>
      <c r="J227">
        <f>IF(A227="NA","NA",VLOOKUP(A227,Leonard2010!D:N,11,FALSE))</f>
        <v>53</v>
      </c>
      <c r="K227" t="s">
        <v>211</v>
      </c>
      <c r="L227">
        <f>VLOOKUP(A227,Leonard2010!D:AJ,32,FALSE)</f>
        <v>61</v>
      </c>
      <c r="M227">
        <f>VLOOKUP($A227,Leonard2010!D:AK,33,FALSE)</f>
        <v>76</v>
      </c>
      <c r="N227">
        <f>VLOOKUP($A227,Leonard2010!D:AL,34,FALSE)</f>
        <v>92</v>
      </c>
      <c r="O227">
        <f t="shared" si="42"/>
        <v>0.92050485345244037</v>
      </c>
      <c r="P227">
        <f t="shared" si="38"/>
        <v>832.67021267389009</v>
      </c>
      <c r="Q227">
        <f>IF(B227="NA","0",VLOOKUP(B227,SectionGeometry!C:E,3,FALSE)*IF(C227="NA",X$277/(X$277+X$276),X$277))</f>
        <v>0.05</v>
      </c>
      <c r="R227">
        <f>Q227*IF(B227="NA",0,((VLOOKUP(B227,SectionGeometry!C:Z,24,FALSE))))</f>
        <v>43336649731107.055</v>
      </c>
      <c r="S227">
        <f>IF(R227=0,0,Q227*3.3*10^10*P227*10^6*(1/O227)*VLOOKUP(B227,SectionGeometry!C:AA,25,FALSE)*10^-3)</f>
        <v>357909689383407.5</v>
      </c>
      <c r="T227">
        <f t="shared" si="40"/>
        <v>0.94551857559931685</v>
      </c>
      <c r="U227">
        <f>IF(K227="N",E227*35/SIN(RADIANS(J227)),IF(K227="Y",VLOOKUP(A227,Leonard2010!D:U,18,FALSE),IF(C227="NA",VLOOKUP(A227,MSSM_AdaptedSources!B:K,10,FALSE),"CHECK")))</f>
        <v>1779.2847702399968</v>
      </c>
      <c r="V227">
        <f>(1*VLOOKUP(A227,FaultGeometry!B:C,2,FALSE))-Q227-AA227</f>
        <v>0.15000000000000002</v>
      </c>
      <c r="W227">
        <f>V227*(VLOOKUP(A227,FaultGeometry!B:Y,24,FALSE))</f>
        <v>518441147064550.19</v>
      </c>
      <c r="X227">
        <f>V227*3.3*10^10*U227*10^6*(1/T227)*VLOOKUP(A227,FaultGeometry!B:O,14,FALSE)*10^-3</f>
        <v>2311013292777223.5</v>
      </c>
      <c r="Y227">
        <f t="shared" si="43"/>
        <v>0.9659258262890682</v>
      </c>
      <c r="Z227">
        <f>IF(C227="NA","NA",VLOOKUP(C227,MSSM_AdaptedSources!B:K,10,FALSE))</f>
        <v>4142.7534317927812</v>
      </c>
      <c r="AA227">
        <f>IF(C227="NA","0",VLOOKUP(C227,MultiFaultGeometry!B:C,2,FALSE)*IF(B227="NA",X$278/(X$278+X$276),X$278))</f>
        <v>0.3</v>
      </c>
      <c r="AB227">
        <f>AA227*IF(C227="NA",0,VLOOKUP(C227,MultiFaultGeometry!B:O,14,FALSE))</f>
        <v>4303594073698775</v>
      </c>
      <c r="AC227">
        <f>IF(AB227=0,0,AA227*3.3*10^10*Z227*10^6*(1/Y227)*VLOOKUP(C227,MultiFaultGeometry!B:G,5,FALSE)*10^-3)</f>
        <v>1.0673959852380436E+16</v>
      </c>
      <c r="AE227" s="68">
        <f t="shared" si="39"/>
        <v>0</v>
      </c>
      <c r="AF227" s="68">
        <f t="shared" si="41"/>
        <v>0</v>
      </c>
      <c r="AG227" s="68"/>
    </row>
    <row r="228" spans="1:33" x14ac:dyDescent="0.2">
      <c r="A228" s="68" t="str">
        <f>Leonard2010!D230</f>
        <v>Mbiri-2</v>
      </c>
      <c r="B228" s="68" t="str">
        <f>Leonard2010!E230</f>
        <v>Mbiri-2 North</v>
      </c>
      <c r="C228" s="68" t="str">
        <f>Leonard2010!F230</f>
        <v>Kaporo-1-Mbiri-2</v>
      </c>
      <c r="D228">
        <f>IF(B228="NA","NA",VLOOKUP(B228,Leonard2010!E:H,3,FALSE))</f>
        <v>11.4</v>
      </c>
      <c r="E228">
        <f>IF(A228="NA","NA",VLOOKUP(A228,Leonard2010!D:I,6,FALSE))</f>
        <v>40.6</v>
      </c>
      <c r="F228">
        <f>IF(C228="NA","NA",VLOOKUP(C228,Leonard2010!F:K,6,FALSE))</f>
        <v>95.9</v>
      </c>
      <c r="G228">
        <f>IF(B228="NA","NA",VLOOKUP(B228,Leonard2010!E:H,4,FALSE))</f>
        <v>153</v>
      </c>
      <c r="H228">
        <f>IF(A228="NA","NA",VLOOKUP(A228,Leonard2010!D:J,7,FALSE))</f>
        <v>147</v>
      </c>
      <c r="I228">
        <f>IF(C228="NA","NA",VLOOKUP(C228,Leonard2010!F:L,7,FALSE))</f>
        <v>151</v>
      </c>
      <c r="J228">
        <f>IF(A228="NA","NA",VLOOKUP(A228,Leonard2010!D:N,11,FALSE))</f>
        <v>53</v>
      </c>
      <c r="K228" t="s">
        <v>211</v>
      </c>
      <c r="L228">
        <f>VLOOKUP(A228,Leonard2010!D:AJ,32,FALSE)</f>
        <v>61</v>
      </c>
      <c r="M228">
        <f>VLOOKUP($A228,Leonard2010!D:AK,33,FALSE)</f>
        <v>76</v>
      </c>
      <c r="N228">
        <f>VLOOKUP($A228,Leonard2010!D:AL,34,FALSE)</f>
        <v>92</v>
      </c>
      <c r="O228">
        <f t="shared" si="42"/>
        <v>0.97437006478523513</v>
      </c>
      <c r="P228">
        <f t="shared" si="38"/>
        <v>499.60212760433404</v>
      </c>
      <c r="Q228">
        <f>IF(B228="NA","0",VLOOKUP(B228,SectionGeometry!C:E,3,FALSE)*IF(C228="NA",X$277/(X$277+X$276),X$277))</f>
        <v>0.05</v>
      </c>
      <c r="R228">
        <f>Q228*IF(B228="NA",0,((VLOOKUP(B228,SectionGeometry!C:Z,24,FALSE))))</f>
        <v>20139041898659.203</v>
      </c>
      <c r="S228">
        <f>IF(R228=0,0,Q228*3.3*10^10*P228*10^6*(1/O228)*VLOOKUP(B228,SectionGeometry!C:AA,25,FALSE)*10^-3)</f>
        <v>215188817428683.78</v>
      </c>
      <c r="T228">
        <f t="shared" si="40"/>
        <v>0.94551857559931685</v>
      </c>
      <c r="U228">
        <f>IF(K228="N",E228*35/SIN(RADIANS(J228)),IF(K228="Y",VLOOKUP(A228,Leonard2010!D:U,18,FALSE),IF(C228="NA",VLOOKUP(A228,MSSM_AdaptedSources!B:K,10,FALSE),"CHECK")))</f>
        <v>1779.2847702399968</v>
      </c>
      <c r="V228">
        <f>(1*VLOOKUP(A228,FaultGeometry!B:C,2,FALSE))-Q228-AA228</f>
        <v>0.15000000000000002</v>
      </c>
      <c r="W228">
        <f>V228*(VLOOKUP(A228,FaultGeometry!B:Y,24,FALSE))</f>
        <v>518441147064550.19</v>
      </c>
      <c r="X228">
        <f>V228*3.3*10^10*U228*10^6*(1/T228)*VLOOKUP(A228,FaultGeometry!B:O,14,FALSE)*10^-3</f>
        <v>2311013292777223.5</v>
      </c>
      <c r="Y228">
        <f t="shared" si="43"/>
        <v>0.9659258262890682</v>
      </c>
      <c r="Z228">
        <f>IF(C228="NA","NA",VLOOKUP(C228,MSSM_AdaptedSources!B:K,10,FALSE))</f>
        <v>4142.7534317927812</v>
      </c>
      <c r="AA228">
        <f>IF(C228="NA","0",VLOOKUP(C228,MultiFaultGeometry!B:C,2,FALSE)*IF(B228="NA",X$278/(X$278+X$276),X$278))</f>
        <v>0.3</v>
      </c>
      <c r="AB228">
        <f>AA228*IF(C228="NA",0,VLOOKUP(C228,MultiFaultGeometry!B:O,14,FALSE))</f>
        <v>4303594073698775</v>
      </c>
      <c r="AC228">
        <f>IF(AB228=0,0,AA228*3.3*10^10*Z228*10^6*(1/Y228)*VLOOKUP(C228,MultiFaultGeometry!B:G,5,FALSE)*10^-3)</f>
        <v>1.0673959852380436E+16</v>
      </c>
      <c r="AE228" s="68">
        <f t="shared" si="39"/>
        <v>518441147064550.19</v>
      </c>
      <c r="AF228" s="68">
        <f t="shared" si="41"/>
        <v>2311013292777223.5</v>
      </c>
      <c r="AG228" s="68"/>
    </row>
    <row r="229" spans="1:33" x14ac:dyDescent="0.2">
      <c r="A229" s="68" t="str">
        <f>Leonard2010!D231</f>
        <v>Katesula-1</v>
      </c>
      <c r="B229" s="68" t="str">
        <f>Leonard2010!E231</f>
        <v>NA</v>
      </c>
      <c r="C229" s="68" t="str">
        <f>Leonard2010!F231</f>
        <v>Karonga-1-Katesula-1-Mbiri-1</v>
      </c>
      <c r="D229" t="str">
        <f>IF(B229="NA","NA",VLOOKUP(B229,Leonard2010!E:H,3,FALSE))</f>
        <v>NA</v>
      </c>
      <c r="E229">
        <f>IF(A229="NA","NA",VLOOKUP(A229,Leonard2010!D:I,6,FALSE))</f>
        <v>20.5</v>
      </c>
      <c r="F229">
        <f>IF(C229="NA","NA",VLOOKUP(C229,Leonard2010!F:K,6,FALSE))</f>
        <v>95.2</v>
      </c>
      <c r="G229" t="str">
        <f>IF(B229="NA","NA",VLOOKUP(B229,Leonard2010!E:H,4,FALSE))</f>
        <v>NA</v>
      </c>
      <c r="H229">
        <f>IF(A229="NA","NA",VLOOKUP(A229,Leonard2010!D:J,7,FALSE))</f>
        <v>152</v>
      </c>
      <c r="I229">
        <f>IF(C229="NA","NA",VLOOKUP(C229,Leonard2010!F:L,7,FALSE))</f>
        <v>149</v>
      </c>
      <c r="J229">
        <f>IF(A229="NA","NA",VLOOKUP(A229,Leonard2010!D:N,11,FALSE))</f>
        <v>53</v>
      </c>
      <c r="K229" t="s">
        <v>211</v>
      </c>
      <c r="L229">
        <f>VLOOKUP(A229,Leonard2010!D:AJ,32,FALSE)</f>
        <v>61</v>
      </c>
      <c r="M229">
        <f>VLOOKUP($A229,Leonard2010!D:AK,33,FALSE)</f>
        <v>76</v>
      </c>
      <c r="N229">
        <f>VLOOKUP($A229,Leonard2010!D:AL,34,FALSE)</f>
        <v>92</v>
      </c>
      <c r="O229" t="str">
        <f t="shared" si="42"/>
        <v>NA</v>
      </c>
      <c r="P229" t="str">
        <f t="shared" si="38"/>
        <v>NA</v>
      </c>
      <c r="Q229" t="str">
        <f>IF(B229="NA","0",VLOOKUP(B229,SectionGeometry!C:E,3,FALSE)*IF(C229="NA",X$277/(X$277+X$276),X$277))</f>
        <v>0</v>
      </c>
      <c r="R229">
        <f>Q229*IF(B229="NA",0,((VLOOKUP(B229,SectionGeometry!C:Z,24,FALSE))))</f>
        <v>0</v>
      </c>
      <c r="S229">
        <f>IF(R229=0,0,Q229*3.3*10^10*P229*10^6*(1/O229)*VLOOKUP(B229,SectionGeometry!C:AA,25,FALSE)*10^-3)</f>
        <v>0</v>
      </c>
      <c r="T229">
        <f t="shared" si="40"/>
        <v>0.97029572627599647</v>
      </c>
      <c r="U229">
        <f>IF(K229="N",E229*35/SIN(RADIANS(J229)),IF(K229="Y",VLOOKUP(A229,Leonard2010!D:U,18,FALSE),IF(C229="NA",VLOOKUP(A229,MSSM_AdaptedSources!B:K,10,FALSE),"CHECK")))</f>
        <v>898.40733472709189</v>
      </c>
      <c r="V229">
        <f>(1*VLOOKUP(A229,FaultGeometry!B:C,2,FALSE))-Q229-AA229</f>
        <v>0.16666666666666663</v>
      </c>
      <c r="W229">
        <f>V229*(VLOOKUP(A229,FaultGeometry!B:Y,24,FALSE))</f>
        <v>193190696148958.16</v>
      </c>
      <c r="X229">
        <f>V229*3.3*10^10*U229*10^6*(1/T229)*VLOOKUP(A229,FaultGeometry!B:O,14,FALSE)*10^-3</f>
        <v>1285745804151791.2</v>
      </c>
      <c r="Y229">
        <f t="shared" si="43"/>
        <v>0.95630475596303555</v>
      </c>
      <c r="Z229">
        <f>IF(C229="NA","NA",VLOOKUP(C229,MSSM_AdaptedSources!B:K,10,FALSE))</f>
        <v>3445.8623280676761</v>
      </c>
      <c r="AA229">
        <f>IF(C229="NA","0",VLOOKUP(C229,MultiFaultGeometry!B:C,2,FALSE)*IF(B229="NA",X$278/(X$278+X$276),X$278))</f>
        <v>0.33333333333333337</v>
      </c>
      <c r="AB229">
        <f>AA229*IF(C229="NA",0,VLOOKUP(C229,MultiFaultGeometry!B:O,14,FALSE))</f>
        <v>2904771578111134.5</v>
      </c>
      <c r="AC229">
        <f>IF(AB229=0,0,AA229*3.3*10^10*Z229*10^6*(1/Y229)*VLOOKUP(C229,MultiFaultGeometry!B:G,5,FALSE)*10^-3)</f>
        <v>1.0097331995574716E+16</v>
      </c>
      <c r="AE229" s="68">
        <f t="shared" si="39"/>
        <v>193190696148958.16</v>
      </c>
      <c r="AF229" s="68">
        <f t="shared" si="41"/>
        <v>1285745804151791.2</v>
      </c>
      <c r="AG229" s="68"/>
    </row>
    <row r="230" spans="1:33" x14ac:dyDescent="0.2">
      <c r="A230" s="68" t="str">
        <f>Leonard2010!D232</f>
        <v>Katesula-2</v>
      </c>
      <c r="B230" s="68" t="str">
        <f>Leonard2010!E232</f>
        <v>NA</v>
      </c>
      <c r="C230" s="68" t="str">
        <f>Leonard2010!F232</f>
        <v>Karonga-2-Katesula-2</v>
      </c>
      <c r="D230" t="str">
        <f>IF(B230="NA","NA",VLOOKUP(B230,Leonard2010!E:H,3,FALSE))</f>
        <v>NA</v>
      </c>
      <c r="E230">
        <f>IF(A230="NA","NA",VLOOKUP(A230,Leonard2010!D:I,6,FALSE))</f>
        <v>20.5</v>
      </c>
      <c r="F230">
        <f>IF(C230="NA","NA",VLOOKUP(C230,Leonard2010!F:K,6,FALSE))</f>
        <v>40.799999999999997</v>
      </c>
      <c r="G230" t="str">
        <f>IF(B230="NA","NA",VLOOKUP(B230,Leonard2010!E:H,4,FALSE))</f>
        <v>NA</v>
      </c>
      <c r="H230">
        <f>IF(A230="NA","NA",VLOOKUP(A230,Leonard2010!D:J,7,FALSE))</f>
        <v>152</v>
      </c>
      <c r="I230">
        <f>IF(C230="NA","NA",VLOOKUP(C230,Leonard2010!F:L,7,FALSE))</f>
        <v>160</v>
      </c>
      <c r="J230">
        <f>IF(A230="NA","NA",VLOOKUP(A230,Leonard2010!D:N,11,FALSE))</f>
        <v>53</v>
      </c>
      <c r="K230" t="s">
        <v>211</v>
      </c>
      <c r="L230">
        <f>VLOOKUP(A230,Leonard2010!D:AJ,32,FALSE)</f>
        <v>61</v>
      </c>
      <c r="M230">
        <f>VLOOKUP($A230,Leonard2010!D:AK,33,FALSE)</f>
        <v>76</v>
      </c>
      <c r="N230">
        <f>VLOOKUP($A230,Leonard2010!D:AL,34,FALSE)</f>
        <v>92</v>
      </c>
      <c r="O230" t="str">
        <f t="shared" si="42"/>
        <v>NA</v>
      </c>
      <c r="P230" t="str">
        <f t="shared" si="38"/>
        <v>NA</v>
      </c>
      <c r="Q230" t="str">
        <f>IF(B230="NA","0",VLOOKUP(B230,SectionGeometry!C:E,3,FALSE)*IF(C230="NA",X$277/(X$277+X$276),X$277))</f>
        <v>0</v>
      </c>
      <c r="R230">
        <f>Q230*IF(B230="NA",0,((VLOOKUP(B230,SectionGeometry!C:Z,24,FALSE))))</f>
        <v>0</v>
      </c>
      <c r="S230">
        <f>IF(R230=0,0,Q230*3.3*10^10*P230*10^6*(1/O230)*VLOOKUP(B230,SectionGeometry!C:AA,25,FALSE)*10^-3)</f>
        <v>0</v>
      </c>
      <c r="T230">
        <f t="shared" si="40"/>
        <v>0.97029572627599647</v>
      </c>
      <c r="U230">
        <f>IF(K230="N",E230*35/SIN(RADIANS(J230)),IF(K230="Y",VLOOKUP(A230,Leonard2010!D:U,18,FALSE),IF(C230="NA",VLOOKUP(A230,MSSM_AdaptedSources!B:K,10,FALSE),"CHECK")))</f>
        <v>898.40733472709189</v>
      </c>
      <c r="V230">
        <f>(1*VLOOKUP(A230,FaultGeometry!B:C,2,FALSE))-Q230-AA230</f>
        <v>0.16666666666666663</v>
      </c>
      <c r="W230">
        <f>V230*(VLOOKUP(A230,FaultGeometry!B:Y,24,FALSE))</f>
        <v>196872829749086.03</v>
      </c>
      <c r="X230">
        <f>V230*3.3*10^10*U230*10^6*(1/T230)*VLOOKUP(A230,FaultGeometry!B:O,14,FALSE)*10^-3</f>
        <v>1318050943492874.2</v>
      </c>
      <c r="Y230">
        <f t="shared" si="43"/>
        <v>0.98768834059513777</v>
      </c>
      <c r="Z230">
        <f>IF(C230="NA","NA",VLOOKUP(C230,MSSM_AdaptedSources!B:K,10,FALSE))</f>
        <v>960.57294423099063</v>
      </c>
      <c r="AA230">
        <f>IF(C230="NA","0",VLOOKUP(C230,MultiFaultGeometry!B:C,2,FALSE)*IF(B230="NA",X$278/(X$278+X$276),X$278))</f>
        <v>0.33333333333333337</v>
      </c>
      <c r="AB230">
        <f>AA230*IF(C230="NA",0,VLOOKUP(C230,MultiFaultGeometry!B:O,14,FALSE))</f>
        <v>722072831224254.12</v>
      </c>
      <c r="AC230">
        <f>IF(AB230=0,0,AA230*3.3*10^10*Z230*10^6*(1/Y230)*VLOOKUP(C230,MultiFaultGeometry!B:G,5,FALSE)*10^-3)</f>
        <v>2810982152253379</v>
      </c>
      <c r="AE230" s="68">
        <f t="shared" si="39"/>
        <v>196872829749086.03</v>
      </c>
      <c r="AF230" s="68">
        <f t="shared" si="41"/>
        <v>1318050943492874.2</v>
      </c>
      <c r="AG230" s="68"/>
    </row>
    <row r="231" spans="1:33" x14ac:dyDescent="0.2">
      <c r="A231" s="68" t="str">
        <f>Leonard2010!D233</f>
        <v>Kaporo-1</v>
      </c>
      <c r="B231" s="68" t="str">
        <f>Leonard2010!E233</f>
        <v>Kaporo-1 South</v>
      </c>
      <c r="C231" s="68" t="str">
        <f>Leonard2010!F233</f>
        <v>Kaporo-1-Mbiri-2</v>
      </c>
      <c r="D231">
        <f>IF(B231="NA","NA",VLOOKUP(B231,Leonard2010!E:H,3,FALSE))</f>
        <v>16</v>
      </c>
      <c r="E231">
        <f>IF(A231="NA","NA",VLOOKUP(A231,Leonard2010!D:I,6,FALSE))</f>
        <v>55.3</v>
      </c>
      <c r="F231">
        <f>IF(C231="NA","NA",VLOOKUP(C231,Leonard2010!F:K,6,FALSE))</f>
        <v>95.9</v>
      </c>
      <c r="G231">
        <f>IF(B231="NA","NA",VLOOKUP(B231,Leonard2010!E:H,4,FALSE))</f>
        <v>143</v>
      </c>
      <c r="H231">
        <f>IF(A231="NA","NA",VLOOKUP(A231,Leonard2010!D:J,7,FALSE))</f>
        <v>153</v>
      </c>
      <c r="I231">
        <f>IF(C231="NA","NA",VLOOKUP(C231,Leonard2010!F:L,7,FALSE))</f>
        <v>151</v>
      </c>
      <c r="J231">
        <f>IF(A231="NA","NA",VLOOKUP(A231,Leonard2010!D:N,11,FALSE))</f>
        <v>50</v>
      </c>
      <c r="K231" t="s">
        <v>211</v>
      </c>
      <c r="L231">
        <f>VLOOKUP(A231,Leonard2010!D:AJ,32,FALSE)</f>
        <v>61</v>
      </c>
      <c r="M231">
        <f>VLOOKUP($A231,Leonard2010!D:AK,33,FALSE)</f>
        <v>76</v>
      </c>
      <c r="N231">
        <f>VLOOKUP($A231,Leonard2010!D:AL,34,FALSE)</f>
        <v>92</v>
      </c>
      <c r="O231">
        <f t="shared" si="42"/>
        <v>0.92050485345244037</v>
      </c>
      <c r="P231">
        <f t="shared" si="38"/>
        <v>731.02808202607605</v>
      </c>
      <c r="Q231">
        <f>IF(B231="NA","0",VLOOKUP(B231,SectionGeometry!C:E,3,FALSE)*IF(C231="NA",X$277/(X$277+X$276),X$277))</f>
        <v>0.05</v>
      </c>
      <c r="R231">
        <f>Q231*IF(B231="NA",0,((VLOOKUP(B231,SectionGeometry!C:Z,24,FALSE))))</f>
        <v>29301164625373</v>
      </c>
      <c r="S231">
        <f>IF(R231=0,0,Q231*3.3*10^10*P231*10^6*(1/O231)*VLOOKUP(B231,SectionGeometry!C:AA,25,FALSE)*10^-3)</f>
        <v>274923329745339.75</v>
      </c>
      <c r="T231">
        <f t="shared" si="40"/>
        <v>0.97437006478523513</v>
      </c>
      <c r="U231">
        <f>IF(K231="N",E231*35/SIN(RADIANS(J231)),IF(K231="Y",VLOOKUP(A231,Leonard2010!D:U,18,FALSE),IF(C231="NA",VLOOKUP(A231,MSSM_AdaptedSources!B:K,10,FALSE),"CHECK")))</f>
        <v>2526.6158085026254</v>
      </c>
      <c r="V231">
        <f>(1*VLOOKUP(A231,FaultGeometry!B:C,2,FALSE))-Q231-AA231</f>
        <v>0.15000000000000002</v>
      </c>
      <c r="W231">
        <f>V231*(VLOOKUP(A231,FaultGeometry!B:Y,24,FALSE))</f>
        <v>790086902255526.38</v>
      </c>
      <c r="X231">
        <f>V231*3.3*10^10*U231*10^6*(1/T231)*VLOOKUP(A231,FaultGeometry!B:O,14,FALSE)*10^-3</f>
        <v>2894992868737147.5</v>
      </c>
      <c r="Y231">
        <f t="shared" si="43"/>
        <v>0.9659258262890682</v>
      </c>
      <c r="Z231">
        <f>IF(C231="NA","NA",VLOOKUP(C231,MSSM_AdaptedSources!B:K,10,FALSE))</f>
        <v>4142.7534317927812</v>
      </c>
      <c r="AA231">
        <f>IF(C231="NA","0",VLOOKUP(C231,MultiFaultGeometry!B:C,2,FALSE)*IF(B231="NA",X$278/(X$278+X$276),X$278))</f>
        <v>0.3</v>
      </c>
      <c r="AB231">
        <f>AA231*IF(C231="NA",0,VLOOKUP(C231,MultiFaultGeometry!B:O,14,FALSE))</f>
        <v>4303594073698775</v>
      </c>
      <c r="AC231">
        <f>IF(AB231=0,0,AA231*3.3*10^10*Z231*10^6*(1/Y231)*VLOOKUP(C231,MultiFaultGeometry!B:G,5,FALSE)*10^-3)</f>
        <v>1.0673959852380436E+16</v>
      </c>
      <c r="AE231" s="68">
        <f t="shared" si="39"/>
        <v>0</v>
      </c>
      <c r="AF231" s="68">
        <f t="shared" si="41"/>
        <v>0</v>
      </c>
      <c r="AG231" s="68"/>
    </row>
    <row r="232" spans="1:33" x14ac:dyDescent="0.2">
      <c r="A232" s="68" t="str">
        <f>Leonard2010!D234</f>
        <v>Kaporo-1</v>
      </c>
      <c r="B232" s="68" t="str">
        <f>Leonard2010!E234</f>
        <v>Kaporo-1 Central</v>
      </c>
      <c r="C232" s="68" t="str">
        <f>Leonard2010!F234</f>
        <v>Kaporo-1-Mbiri-2</v>
      </c>
      <c r="D232">
        <f>IF(B232="NA","NA",VLOOKUP(B232,Leonard2010!E:H,3,FALSE))</f>
        <v>29.1</v>
      </c>
      <c r="E232">
        <f>IF(A232="NA","NA",VLOOKUP(A232,Leonard2010!D:I,6,FALSE))</f>
        <v>55.3</v>
      </c>
      <c r="F232">
        <f>IF(C232="NA","NA",VLOOKUP(C232,Leonard2010!F:K,6,FALSE))</f>
        <v>95.9</v>
      </c>
      <c r="G232">
        <f>IF(B232="NA","NA",VLOOKUP(B232,Leonard2010!E:H,4,FALSE))</f>
        <v>161</v>
      </c>
      <c r="H232">
        <f>IF(A232="NA","NA",VLOOKUP(A232,Leonard2010!D:J,7,FALSE))</f>
        <v>153</v>
      </c>
      <c r="I232">
        <f>IF(C232="NA","NA",VLOOKUP(C232,Leonard2010!F:L,7,FALSE))</f>
        <v>151</v>
      </c>
      <c r="J232">
        <f>IF(A232="NA","NA",VLOOKUP(A232,Leonard2010!D:N,11,FALSE))</f>
        <v>50</v>
      </c>
      <c r="K232" t="s">
        <v>211</v>
      </c>
      <c r="L232">
        <f>VLOOKUP(A232,Leonard2010!D:AJ,32,FALSE)</f>
        <v>61</v>
      </c>
      <c r="M232">
        <f>VLOOKUP($A232,Leonard2010!D:AK,33,FALSE)</f>
        <v>76</v>
      </c>
      <c r="N232">
        <f>VLOOKUP($A232,Leonard2010!D:AL,34,FALSE)</f>
        <v>92</v>
      </c>
      <c r="O232">
        <f t="shared" si="42"/>
        <v>0.98480775301220802</v>
      </c>
      <c r="P232">
        <f t="shared" ref="P232:P272" si="44">IF(B232="NA","NA",IF(K232="N",D232*(35/SIN(RADIANS(J232))),"CHECK"))</f>
        <v>1329.5573241849258</v>
      </c>
      <c r="Q232">
        <f>IF(B232="NA","0",VLOOKUP(B232,SectionGeometry!C:E,3,FALSE)*IF(C232="NA",X$277/(X$277+X$276),X$277))</f>
        <v>0.05</v>
      </c>
      <c r="R232">
        <f>Q232*IF(B232="NA",0,((VLOOKUP(B232,SectionGeometry!C:Z,24,FALSE))))</f>
        <v>85586537795543.531</v>
      </c>
      <c r="S232">
        <f>IF(R232=0,0,Q232*3.3*10^10*P232*10^6*(1/O232)*VLOOKUP(B232,SectionGeometry!C:AA,25,FALSE)*10^-3)</f>
        <v>506078867702018.12</v>
      </c>
      <c r="T232">
        <f t="shared" si="40"/>
        <v>0.97437006478523513</v>
      </c>
      <c r="U232">
        <f>IF(K232="N",E232*35/SIN(RADIANS(J232)),IF(K232="Y",VLOOKUP(A232,Leonard2010!D:U,18,FALSE),IF(C232="NA",VLOOKUP(A232,MSSM_AdaptedSources!B:K,10,FALSE),"CHECK")))</f>
        <v>2526.6158085026254</v>
      </c>
      <c r="V232">
        <f>(1*VLOOKUP(A232,FaultGeometry!B:C,2,FALSE))-Q232-AA232</f>
        <v>0.15000000000000002</v>
      </c>
      <c r="W232">
        <f>V232*(VLOOKUP(A232,FaultGeometry!B:Y,24,FALSE))</f>
        <v>790086902255526.38</v>
      </c>
      <c r="X232">
        <f>V232*3.3*10^10*U232*10^6*(1/T232)*VLOOKUP(A232,FaultGeometry!B:O,14,FALSE)*10^-3</f>
        <v>2894992868737147.5</v>
      </c>
      <c r="Y232">
        <f t="shared" si="43"/>
        <v>0.9659258262890682</v>
      </c>
      <c r="Z232">
        <f>IF(C232="NA","NA",VLOOKUP(C232,MSSM_AdaptedSources!B:K,10,FALSE))</f>
        <v>4142.7534317927812</v>
      </c>
      <c r="AA232">
        <f>IF(C232="NA","0",VLOOKUP(C232,MultiFaultGeometry!B:C,2,FALSE)*IF(B232="NA",X$278/(X$278+X$276),X$278))</f>
        <v>0.3</v>
      </c>
      <c r="AB232">
        <f>AA232*IF(C232="NA",0,VLOOKUP(C232,MultiFaultGeometry!B:O,14,FALSE))</f>
        <v>4303594073698775</v>
      </c>
      <c r="AC232">
        <f>IF(AB232=0,0,AA232*3.3*10^10*Z232*10^6*(1/Y232)*VLOOKUP(C232,MultiFaultGeometry!B:G,5,FALSE)*10^-3)</f>
        <v>1.0673959852380436E+16</v>
      </c>
      <c r="AE232" s="68">
        <f t="shared" si="39"/>
        <v>0</v>
      </c>
      <c r="AF232" s="68">
        <f t="shared" si="41"/>
        <v>0</v>
      </c>
      <c r="AG232" s="68"/>
    </row>
    <row r="233" spans="1:33" x14ac:dyDescent="0.2">
      <c r="A233" s="68" t="str">
        <f>Leonard2010!D235</f>
        <v>Kaporo-1</v>
      </c>
      <c r="B233" s="68" t="str">
        <f>Leonard2010!E235</f>
        <v>Kaporo-1 North</v>
      </c>
      <c r="C233" s="68" t="str">
        <f>Leonard2010!F235</f>
        <v>Kaporo-1-Mbiri-2</v>
      </c>
      <c r="D233">
        <f>IF(B233="NA","NA",VLOOKUP(B233,Leonard2010!E:H,3,FALSE))</f>
        <v>10.199999999999999</v>
      </c>
      <c r="E233">
        <f>IF(A233="NA","NA",VLOOKUP(A233,Leonard2010!D:I,6,FALSE))</f>
        <v>55.3</v>
      </c>
      <c r="F233">
        <f>IF(C233="NA","NA",VLOOKUP(C233,Leonard2010!F:K,6,FALSE))</f>
        <v>95.9</v>
      </c>
      <c r="G233">
        <f>IF(B233="NA","NA",VLOOKUP(B233,Leonard2010!E:H,4,FALSE))</f>
        <v>145</v>
      </c>
      <c r="H233">
        <f>IF(A233="NA","NA",VLOOKUP(A233,Leonard2010!D:J,7,FALSE))</f>
        <v>153</v>
      </c>
      <c r="I233">
        <f>IF(C233="NA","NA",VLOOKUP(C233,Leonard2010!F:L,7,FALSE))</f>
        <v>151</v>
      </c>
      <c r="J233">
        <f>IF(A233="NA","NA",VLOOKUP(A233,Leonard2010!D:N,11,FALSE))</f>
        <v>50</v>
      </c>
      <c r="K233" t="s">
        <v>211</v>
      </c>
      <c r="L233">
        <f>VLOOKUP(A233,Leonard2010!D:AJ,32,FALSE)</f>
        <v>61</v>
      </c>
      <c r="M233">
        <f>VLOOKUP($A233,Leonard2010!D:AK,33,FALSE)</f>
        <v>76</v>
      </c>
      <c r="N233">
        <f>VLOOKUP($A233,Leonard2010!D:AL,34,FALSE)</f>
        <v>92</v>
      </c>
      <c r="O233">
        <f t="shared" si="42"/>
        <v>0.93358042649720174</v>
      </c>
      <c r="P233">
        <f t="shared" si="44"/>
        <v>466.03040229162343</v>
      </c>
      <c r="Q233">
        <f>IF(B233="NA","0",VLOOKUP(B233,SectionGeometry!C:E,3,FALSE)*IF(C233="NA",X$277/(X$277+X$276),X$277))</f>
        <v>0.05</v>
      </c>
      <c r="R233">
        <f>Q233*IF(B233="NA",0,((VLOOKUP(B233,SectionGeometry!C:Z,24,FALSE))))</f>
        <v>14192297644784.451</v>
      </c>
      <c r="S233">
        <f>IF(R233=0,0,Q233*3.3*10^10*P233*10^6*(1/O233)*VLOOKUP(B233,SectionGeometry!C:AA,25,FALSE)*10^-3)</f>
        <v>178191526047984.22</v>
      </c>
      <c r="T233">
        <f t="shared" si="40"/>
        <v>0.97437006478523513</v>
      </c>
      <c r="U233">
        <f>IF(K233="N",E233*35/SIN(RADIANS(J233)),IF(K233="Y",VLOOKUP(A233,Leonard2010!D:U,18,FALSE),IF(C233="NA",VLOOKUP(A233,MSSM_AdaptedSources!B:K,10,FALSE),"CHECK")))</f>
        <v>2526.6158085026254</v>
      </c>
      <c r="V233">
        <f>(1*VLOOKUP(A233,FaultGeometry!B:C,2,FALSE))-Q233-AA233</f>
        <v>0.15000000000000002</v>
      </c>
      <c r="W233">
        <f>V233*(VLOOKUP(A233,FaultGeometry!B:Y,24,FALSE))</f>
        <v>790086902255526.38</v>
      </c>
      <c r="X233">
        <f>V233*3.3*10^10*U233*10^6*(1/T233)*VLOOKUP(A233,FaultGeometry!B:O,14,FALSE)*10^-3</f>
        <v>2894992868737147.5</v>
      </c>
      <c r="Y233">
        <f t="shared" si="43"/>
        <v>0.9659258262890682</v>
      </c>
      <c r="Z233">
        <f>IF(C233="NA","NA",VLOOKUP(C233,MSSM_AdaptedSources!B:K,10,FALSE))</f>
        <v>4142.7534317927812</v>
      </c>
      <c r="AA233">
        <f>IF(C233="NA","0",VLOOKUP(C233,MultiFaultGeometry!B:C,2,FALSE)*IF(B233="NA",X$278/(X$278+X$276),X$278))</f>
        <v>0.3</v>
      </c>
      <c r="AB233">
        <f>AA233*IF(C233="NA",0,VLOOKUP(C233,MultiFaultGeometry!B:O,14,FALSE))</f>
        <v>4303594073698775</v>
      </c>
      <c r="AC233">
        <f>IF(AB233=0,0,AA233*3.3*10^10*Z233*10^6*(1/Y233)*VLOOKUP(C233,MultiFaultGeometry!B:G,5,FALSE)*10^-3)</f>
        <v>1.0673959852380436E+16</v>
      </c>
      <c r="AE233" s="68">
        <f t="shared" si="39"/>
        <v>790086902255526.38</v>
      </c>
      <c r="AF233" s="68">
        <f t="shared" si="41"/>
        <v>2894992868737147.5</v>
      </c>
      <c r="AG233" s="68"/>
    </row>
    <row r="234" spans="1:33" x14ac:dyDescent="0.2">
      <c r="A234" s="68" t="str">
        <f>Leonard2010!D236</f>
        <v>Kaporo-2</v>
      </c>
      <c r="B234" s="68" t="str">
        <f>Leonard2010!E236</f>
        <v>Kaporo-2 South-1</v>
      </c>
      <c r="C234" s="68" t="str">
        <f>Leonard2010!F236</f>
        <v>NA</v>
      </c>
      <c r="D234">
        <f>IF(B234="NA","NA",VLOOKUP(B234,Leonard2010!E:H,3,FALSE))</f>
        <v>20.5</v>
      </c>
      <c r="E234">
        <f>IF(A234="NA","NA",VLOOKUP(A234,Leonard2010!D:I,6,FALSE))</f>
        <v>69.599999999999994</v>
      </c>
      <c r="F234" t="str">
        <f>IF(C234="NA","NA",VLOOKUP(C234,Leonard2010!F:K,6,FALSE))</f>
        <v>NA</v>
      </c>
      <c r="G234">
        <f>IF(B234="NA","NA",VLOOKUP(B234,Leonard2010!E:H,4,FALSE))</f>
        <v>139</v>
      </c>
      <c r="H234">
        <f>IF(A234="NA","NA",VLOOKUP(A234,Leonard2010!D:J,7,FALSE))</f>
        <v>151</v>
      </c>
      <c r="I234" t="str">
        <f>IF(C234="NA","NA",VLOOKUP(C234,Leonard2010!F:L,7,FALSE))</f>
        <v>NA</v>
      </c>
      <c r="J234">
        <f>IF(A234="NA","NA",VLOOKUP(A234,Leonard2010!D:N,11,FALSE))</f>
        <v>50</v>
      </c>
      <c r="K234" t="s">
        <v>211</v>
      </c>
      <c r="L234">
        <f>VLOOKUP(A234,Leonard2010!D:AJ,32,FALSE)</f>
        <v>61</v>
      </c>
      <c r="M234">
        <f>VLOOKUP($A234,Leonard2010!D:AK,33,FALSE)</f>
        <v>76</v>
      </c>
      <c r="N234">
        <f>VLOOKUP($A234,Leonard2010!D:AL,34,FALSE)</f>
        <v>92</v>
      </c>
      <c r="O234">
        <f t="shared" si="42"/>
        <v>0.89100652418836779</v>
      </c>
      <c r="P234">
        <f t="shared" si="44"/>
        <v>936.62973009590996</v>
      </c>
      <c r="Q234">
        <f>IF(B234="NA","0",VLOOKUP(B234,SectionGeometry!C:E,3,FALSE)*IF(C234="NA",X$277/(X$277+X$276),X$277))</f>
        <v>0.125</v>
      </c>
      <c r="R234">
        <f>Q234*IF(B234="NA",0,((VLOOKUP(B234,SectionGeometry!C:Z,24,FALSE))))</f>
        <v>144682173970320.31</v>
      </c>
      <c r="S234">
        <f>IF(R234=0,0,Q234*3.3*10^10*P234*10^6*(1/O234)*VLOOKUP(B234,SectionGeometry!C:AA,25,FALSE)*10^-3)</f>
        <v>1207334585231626.2</v>
      </c>
      <c r="T234">
        <f t="shared" si="40"/>
        <v>0.9659258262890682</v>
      </c>
      <c r="U234">
        <f>IF(K234="N",E234*35/SIN(RADIANS(J234)),IF(K234="Y",VLOOKUP(A234,Leonard2010!D:U,18,FALSE),IF(C234="NA",VLOOKUP(A234,MSSM_AdaptedSources!B:K,10,FALSE),"CHECK")))</f>
        <v>3179.972156813431</v>
      </c>
      <c r="V234">
        <f>(1*VLOOKUP(A234,FaultGeometry!B:C,2,FALSE))-Q234-AA234</f>
        <v>0.375</v>
      </c>
      <c r="W234">
        <f>V234*(VLOOKUP(A234,FaultGeometry!B:Y,24,FALSE))</f>
        <v>3602201609773271</v>
      </c>
      <c r="X234">
        <f>V234*3.3*10^10*U234*10^6*(1/T234)*VLOOKUP(A234,FaultGeometry!B:O,14,FALSE)*10^-3</f>
        <v>1.12353888181805E+16</v>
      </c>
      <c r="Y234" t="str">
        <f t="shared" si="43"/>
        <v>NA</v>
      </c>
      <c r="Z234" t="str">
        <f>IF(C234="NA","NA",VLOOKUP(C234,MSSM_AdaptedSources!B:K,10,FALSE))</f>
        <v>NA</v>
      </c>
      <c r="AA234" t="str">
        <f>IF(C234="NA","0",VLOOKUP(C234,MultiFaultGeometry!B:C,2,FALSE)*IF(B234="NA",X$278/(X$278+X$276),X$278))</f>
        <v>0</v>
      </c>
      <c r="AB234">
        <f>AA234*IF(C234="NA",0,VLOOKUP(C234,MultiFaultGeometry!B:O,14,FALSE))</f>
        <v>0</v>
      </c>
      <c r="AC234">
        <f>IF(AB234=0,0,AA234*3.3*10^10*Z234*10^6*(1/Y234)*VLOOKUP(C234,MultiFaultGeometry!B:G,5,FALSE)*10^-3)</f>
        <v>0</v>
      </c>
      <c r="AE234" s="68">
        <f t="shared" si="39"/>
        <v>0</v>
      </c>
      <c r="AF234" s="68">
        <f t="shared" si="41"/>
        <v>0</v>
      </c>
      <c r="AG234" s="68"/>
    </row>
    <row r="235" spans="1:33" x14ac:dyDescent="0.2">
      <c r="A235" s="68" t="str">
        <f>Leonard2010!D237</f>
        <v>Kaporo-2</v>
      </c>
      <c r="B235" s="68" t="str">
        <f>Leonard2010!E237</f>
        <v>Kaporo-2 South-2</v>
      </c>
      <c r="C235" s="68" t="str">
        <f>Leonard2010!F237</f>
        <v>NA</v>
      </c>
      <c r="D235">
        <f>IF(B235="NA","NA",VLOOKUP(B235,Leonard2010!E:H,3,FALSE))</f>
        <v>13.1</v>
      </c>
      <c r="E235">
        <f>IF(A235="NA","NA",VLOOKUP(A235,Leonard2010!D:I,6,FALSE))</f>
        <v>69.599999999999994</v>
      </c>
      <c r="F235" t="str">
        <f>IF(C235="NA","NA",VLOOKUP(C235,Leonard2010!F:K,6,FALSE))</f>
        <v>NA</v>
      </c>
      <c r="G235">
        <f>IF(B235="NA","NA",VLOOKUP(B235,Leonard2010!E:H,4,FALSE))</f>
        <v>160</v>
      </c>
      <c r="H235">
        <f>IF(A235="NA","NA",VLOOKUP(A235,Leonard2010!D:J,7,FALSE))</f>
        <v>151</v>
      </c>
      <c r="I235" t="str">
        <f>IF(C235="NA","NA",VLOOKUP(C235,Leonard2010!F:L,7,FALSE))</f>
        <v>NA</v>
      </c>
      <c r="J235">
        <f>IF(A235="NA","NA",VLOOKUP(A235,Leonard2010!D:N,11,FALSE))</f>
        <v>50</v>
      </c>
      <c r="K235" t="s">
        <v>211</v>
      </c>
      <c r="L235">
        <f>VLOOKUP(A235,Leonard2010!D:AJ,32,FALSE)</f>
        <v>61</v>
      </c>
      <c r="M235">
        <f>VLOOKUP($A235,Leonard2010!D:AK,33,FALSE)</f>
        <v>76</v>
      </c>
      <c r="N235">
        <f>VLOOKUP($A235,Leonard2010!D:AL,34,FALSE)</f>
        <v>92</v>
      </c>
      <c r="O235">
        <f t="shared" si="42"/>
        <v>0.98768834059513777</v>
      </c>
      <c r="P235">
        <f t="shared" si="44"/>
        <v>598.5292421588498</v>
      </c>
      <c r="Q235">
        <f>IF(B235="NA","0",VLOOKUP(B235,SectionGeometry!C:E,3,FALSE)*IF(C235="NA",X$277/(X$277+X$276),X$277))</f>
        <v>0.125</v>
      </c>
      <c r="R235">
        <f>Q235*IF(B235="NA",0,((VLOOKUP(B235,SectionGeometry!C:Z,24,FALSE))))</f>
        <v>67870688679136.82</v>
      </c>
      <c r="S235">
        <f>IF(R235=0,0,Q235*3.3*10^10*P235*10^6*(1/O235)*VLOOKUP(B235,SectionGeometry!C:AA,25,FALSE)*10^-3)</f>
        <v>688438557437282.62</v>
      </c>
      <c r="T235">
        <f t="shared" si="40"/>
        <v>0.9659258262890682</v>
      </c>
      <c r="U235">
        <f>IF(K235="N",E235*35/SIN(RADIANS(J235)),IF(K235="Y",VLOOKUP(A235,Leonard2010!D:U,18,FALSE),IF(C235="NA",VLOOKUP(A235,MSSM_AdaptedSources!B:K,10,FALSE),"CHECK")))</f>
        <v>3179.972156813431</v>
      </c>
      <c r="V235">
        <f>(1*VLOOKUP(A235,FaultGeometry!B:C,2,FALSE))-Q235-AA235</f>
        <v>0.375</v>
      </c>
      <c r="W235">
        <f>V235*(VLOOKUP(A235,FaultGeometry!B:Y,24,FALSE))</f>
        <v>3602201609773271</v>
      </c>
      <c r="X235">
        <f>V235*3.3*10^10*U235*10^6*(1/T235)*VLOOKUP(A235,FaultGeometry!B:O,14,FALSE)*10^-3</f>
        <v>1.12353888181805E+16</v>
      </c>
      <c r="Y235" t="str">
        <f t="shared" si="43"/>
        <v>NA</v>
      </c>
      <c r="Z235" t="str">
        <f>IF(C235="NA","NA",VLOOKUP(C235,MSSM_AdaptedSources!B:K,10,FALSE))</f>
        <v>NA</v>
      </c>
      <c r="AA235" t="str">
        <f>IF(C235="NA","0",VLOOKUP(C235,MultiFaultGeometry!B:C,2,FALSE)*IF(B235="NA",X$278/(X$278+X$276),X$278))</f>
        <v>0</v>
      </c>
      <c r="AB235">
        <f>AA235*IF(C235="NA",0,VLOOKUP(C235,MultiFaultGeometry!B:O,14,FALSE))</f>
        <v>0</v>
      </c>
      <c r="AC235">
        <f>IF(AB235=0,0,AA235*3.3*10^10*Z235*10^6*(1/Y235)*VLOOKUP(C235,MultiFaultGeometry!B:G,5,FALSE)*10^-3)</f>
        <v>0</v>
      </c>
      <c r="AE235" s="68">
        <f t="shared" si="39"/>
        <v>0</v>
      </c>
      <c r="AF235" s="68">
        <f t="shared" si="41"/>
        <v>0</v>
      </c>
      <c r="AG235" s="68"/>
    </row>
    <row r="236" spans="1:33" x14ac:dyDescent="0.2">
      <c r="A236" s="68" t="str">
        <f>Leonard2010!D238</f>
        <v>Kaporo-2</v>
      </c>
      <c r="B236" s="68" t="str">
        <f>Leonard2010!E238</f>
        <v>Kaporo-2 Central</v>
      </c>
      <c r="C236" s="68" t="str">
        <f>Leonard2010!F238</f>
        <v>NA</v>
      </c>
      <c r="D236">
        <f>IF(B236="NA","NA",VLOOKUP(B236,Leonard2010!E:H,3,FALSE))</f>
        <v>25.9</v>
      </c>
      <c r="E236">
        <f>IF(A236="NA","NA",VLOOKUP(A236,Leonard2010!D:I,6,FALSE))</f>
        <v>69.599999999999994</v>
      </c>
      <c r="F236" t="str">
        <f>IF(C236="NA","NA",VLOOKUP(C236,Leonard2010!F:K,6,FALSE))</f>
        <v>NA</v>
      </c>
      <c r="G236">
        <f>IF(B236="NA","NA",VLOOKUP(B236,Leonard2010!E:H,4,FALSE))</f>
        <v>157</v>
      </c>
      <c r="H236">
        <f>IF(A236="NA","NA",VLOOKUP(A236,Leonard2010!D:J,7,FALSE))</f>
        <v>151</v>
      </c>
      <c r="I236" t="str">
        <f>IF(C236="NA","NA",VLOOKUP(C236,Leonard2010!F:L,7,FALSE))</f>
        <v>NA</v>
      </c>
      <c r="J236">
        <f>IF(A236="NA","NA",VLOOKUP(A236,Leonard2010!D:N,11,FALSE))</f>
        <v>50</v>
      </c>
      <c r="K236" t="s">
        <v>211</v>
      </c>
      <c r="L236">
        <f>VLOOKUP(A236,Leonard2010!D:AJ,32,FALSE)</f>
        <v>61</v>
      </c>
      <c r="M236">
        <f>VLOOKUP($A236,Leonard2010!D:AK,33,FALSE)</f>
        <v>76</v>
      </c>
      <c r="N236">
        <f>VLOOKUP($A236,Leonard2010!D:AL,34,FALSE)</f>
        <v>92</v>
      </c>
      <c r="O236">
        <f t="shared" si="42"/>
        <v>0.98768834059513766</v>
      </c>
      <c r="P236">
        <f t="shared" si="44"/>
        <v>1183.3517077797105</v>
      </c>
      <c r="Q236">
        <f>IF(B236="NA","0",VLOOKUP(B236,SectionGeometry!C:E,3,FALSE)*IF(C236="NA",X$277/(X$277+X$276),X$277))</f>
        <v>0.125</v>
      </c>
      <c r="R236">
        <f>Q236*IF(B236="NA",0,((VLOOKUP(B236,SectionGeometry!C:Z,24,FALSE))))</f>
        <v>211908569323199.25</v>
      </c>
      <c r="S236">
        <f>IF(R236=0,0,Q236*3.3*10^10*P236*10^6*(1/O236)*VLOOKUP(B236,SectionGeometry!C:AA,25,FALSE)*10^-3)</f>
        <v>1358787696514923</v>
      </c>
      <c r="T236">
        <f t="shared" si="40"/>
        <v>0.9659258262890682</v>
      </c>
      <c r="U236">
        <f>IF(K236="N",E236*35/SIN(RADIANS(J236)),IF(K236="Y",VLOOKUP(A236,Leonard2010!D:U,18,FALSE),IF(C236="NA",VLOOKUP(A236,MSSM_AdaptedSources!B:K,10,FALSE),"CHECK")))</f>
        <v>3179.972156813431</v>
      </c>
      <c r="V236">
        <f>(1*VLOOKUP(A236,FaultGeometry!B:C,2,FALSE))-Q236-AA236</f>
        <v>0.375</v>
      </c>
      <c r="W236">
        <f>V236*(VLOOKUP(A236,FaultGeometry!B:Y,24,FALSE))</f>
        <v>3602201609773271</v>
      </c>
      <c r="X236">
        <f>V236*3.3*10^10*U236*10^6*(1/T236)*VLOOKUP(A236,FaultGeometry!B:O,14,FALSE)*10^-3</f>
        <v>1.12353888181805E+16</v>
      </c>
      <c r="Y236" t="str">
        <f t="shared" si="43"/>
        <v>NA</v>
      </c>
      <c r="Z236" t="str">
        <f>IF(C236="NA","NA",VLOOKUP(C236,MSSM_AdaptedSources!B:K,10,FALSE))</f>
        <v>NA</v>
      </c>
      <c r="AA236" t="str">
        <f>IF(C236="NA","0",VLOOKUP(C236,MultiFaultGeometry!B:C,2,FALSE)*IF(B236="NA",X$278/(X$278+X$276),X$278))</f>
        <v>0</v>
      </c>
      <c r="AB236">
        <f>AA236*IF(C236="NA",0,VLOOKUP(C236,MultiFaultGeometry!B:O,14,FALSE))</f>
        <v>0</v>
      </c>
      <c r="AC236">
        <f>IF(AB236=0,0,AA236*3.3*10^10*Z236*10^6*(1/Y236)*VLOOKUP(C236,MultiFaultGeometry!B:G,5,FALSE)*10^-3)</f>
        <v>0</v>
      </c>
      <c r="AE236" s="68">
        <f t="shared" si="39"/>
        <v>0</v>
      </c>
      <c r="AF236" s="68">
        <f t="shared" si="41"/>
        <v>0</v>
      </c>
      <c r="AG236" s="68"/>
    </row>
    <row r="237" spans="1:33" x14ac:dyDescent="0.2">
      <c r="A237" s="68" t="str">
        <f>Leonard2010!D239</f>
        <v>Kaporo-2</v>
      </c>
      <c r="B237" s="68" t="str">
        <f>Leonard2010!E239</f>
        <v>Kaporo-2 North</v>
      </c>
      <c r="C237" s="68" t="str">
        <f>Leonard2010!F239</f>
        <v>NA</v>
      </c>
      <c r="D237">
        <f>IF(B237="NA","NA",VLOOKUP(B237,Leonard2010!E:H,3,FALSE))</f>
        <v>10.1</v>
      </c>
      <c r="E237">
        <f>IF(A237="NA","NA",VLOOKUP(A237,Leonard2010!D:I,6,FALSE))</f>
        <v>69.599999999999994</v>
      </c>
      <c r="F237" t="str">
        <f>IF(C237="NA","NA",VLOOKUP(C237,Leonard2010!F:K,6,FALSE))</f>
        <v>NA</v>
      </c>
      <c r="G237">
        <f>IF(B237="NA","NA",VLOOKUP(B237,Leonard2010!E:H,4,FALSE))</f>
        <v>145</v>
      </c>
      <c r="H237">
        <f>IF(A237="NA","NA",VLOOKUP(A237,Leonard2010!D:J,7,FALSE))</f>
        <v>151</v>
      </c>
      <c r="I237" t="str">
        <f>IF(C237="NA","NA",VLOOKUP(C237,Leonard2010!F:L,7,FALSE))</f>
        <v>NA</v>
      </c>
      <c r="J237">
        <f>IF(A237="NA","NA",VLOOKUP(A237,Leonard2010!D:N,11,FALSE))</f>
        <v>50</v>
      </c>
      <c r="K237" t="s">
        <v>211</v>
      </c>
      <c r="L237">
        <f>VLOOKUP(A237,Leonard2010!D:AJ,32,FALSE)</f>
        <v>61</v>
      </c>
      <c r="M237">
        <f>VLOOKUP($A237,Leonard2010!D:AK,33,FALSE)</f>
        <v>76</v>
      </c>
      <c r="N237">
        <f>VLOOKUP($A237,Leonard2010!D:AL,34,FALSE)</f>
        <v>92</v>
      </c>
      <c r="O237">
        <f t="shared" si="42"/>
        <v>0.93358042649720174</v>
      </c>
      <c r="P237">
        <f t="shared" si="44"/>
        <v>461.4614767789605</v>
      </c>
      <c r="Q237">
        <f>IF(B237="NA","0",VLOOKUP(B237,SectionGeometry!C:E,3,FALSE)*IF(C237="NA",X$277/(X$277+X$276),X$277))</f>
        <v>0.125</v>
      </c>
      <c r="R237">
        <f>Q237*IF(B237="NA",0,((VLOOKUP(B237,SectionGeometry!C:Z,24,FALSE))))</f>
        <v>44998911724614.43</v>
      </c>
      <c r="S237">
        <f>IF(R237=0,0,Q237*3.3*10^10*P237*10^6*(1/O237)*VLOOKUP(B237,SectionGeometry!C:AA,25,FALSE)*10^-3)</f>
        <v>561689288446764.5</v>
      </c>
      <c r="T237">
        <f t="shared" si="40"/>
        <v>0.9659258262890682</v>
      </c>
      <c r="U237">
        <f>IF(K237="N",E237*35/SIN(RADIANS(J237)),IF(K237="Y",VLOOKUP(A237,Leonard2010!D:U,18,FALSE),IF(C237="NA",VLOOKUP(A237,MSSM_AdaptedSources!B:K,10,FALSE),"CHECK")))</f>
        <v>3179.972156813431</v>
      </c>
      <c r="V237">
        <f>(1*VLOOKUP(A237,FaultGeometry!B:C,2,FALSE))-Q237-AA237</f>
        <v>0.375</v>
      </c>
      <c r="W237">
        <f>V237*(VLOOKUP(A237,FaultGeometry!B:Y,24,FALSE))</f>
        <v>3602201609773271</v>
      </c>
      <c r="X237">
        <f>V237*3.3*10^10*U237*10^6*(1/T237)*VLOOKUP(A237,FaultGeometry!B:O,14,FALSE)*10^-3</f>
        <v>1.12353888181805E+16</v>
      </c>
      <c r="Y237" t="str">
        <f t="shared" si="43"/>
        <v>NA</v>
      </c>
      <c r="Z237" t="str">
        <f>IF(C237="NA","NA",VLOOKUP(C237,MSSM_AdaptedSources!B:K,10,FALSE))</f>
        <v>NA</v>
      </c>
      <c r="AA237" t="str">
        <f>IF(C237="NA","0",VLOOKUP(C237,MultiFaultGeometry!B:C,2,FALSE)*IF(B237="NA",X$278/(X$278+X$276),X$278))</f>
        <v>0</v>
      </c>
      <c r="AB237">
        <f>AA237*IF(C237="NA",0,VLOOKUP(C237,MultiFaultGeometry!B:O,14,FALSE))</f>
        <v>0</v>
      </c>
      <c r="AC237">
        <f>IF(AB237=0,0,AA237*3.3*10^10*Z237*10^6*(1/Y237)*VLOOKUP(C237,MultiFaultGeometry!B:G,5,FALSE)*10^-3)</f>
        <v>0</v>
      </c>
      <c r="AE237" s="68">
        <f t="shared" si="39"/>
        <v>3602201609773271</v>
      </c>
      <c r="AF237" s="68">
        <f t="shared" si="41"/>
        <v>1.12353888181805E+16</v>
      </c>
      <c r="AG237" s="68"/>
    </row>
    <row r="238" spans="1:33" x14ac:dyDescent="0.2">
      <c r="A238" s="68" t="str">
        <f>Leonard2010!D240</f>
        <v>Karonga-1</v>
      </c>
      <c r="B238" s="68" t="str">
        <f>Leonard2010!E240</f>
        <v>Karonga-1 South</v>
      </c>
      <c r="C238" s="68" t="str">
        <f>Leonard2010!F240</f>
        <v>Karonga-1-Katesula-1-Mbiri-1</v>
      </c>
      <c r="D238">
        <f>IF(B238="NA","NA",VLOOKUP(B238,Leonard2010!E:H,3,FALSE))</f>
        <v>6.4</v>
      </c>
      <c r="E238">
        <f>IF(A238="NA","NA",VLOOKUP(A238,Leonard2010!D:I,6,FALSE))</f>
        <v>20.299999999999997</v>
      </c>
      <c r="F238">
        <f>IF(C238="NA","NA",VLOOKUP(C238,Leonard2010!F:K,6,FALSE))</f>
        <v>95.2</v>
      </c>
      <c r="G238">
        <f>IF(B238="NA","NA",VLOOKUP(B238,Leonard2010!E:H,4,FALSE))</f>
        <v>347</v>
      </c>
      <c r="H238">
        <f>IF(A238="NA","NA",VLOOKUP(A238,Leonard2010!D:J,7,FALSE))</f>
        <v>356</v>
      </c>
      <c r="I238">
        <f>IF(C238="NA","NA",VLOOKUP(C238,Leonard2010!F:L,7,FALSE))</f>
        <v>149</v>
      </c>
      <c r="J238">
        <f>IF(A238="NA","NA",VLOOKUP(A238,Leonard2010!D:N,11,FALSE))</f>
        <v>60</v>
      </c>
      <c r="K238" t="s">
        <v>308</v>
      </c>
      <c r="L238">
        <f>VLOOKUP(A238,Leonard2010!D:AJ,32,FALSE)</f>
        <v>61</v>
      </c>
      <c r="M238">
        <f>VLOOKUP($A238,Leonard2010!D:AK,33,FALSE)</f>
        <v>76</v>
      </c>
      <c r="N238">
        <f>VLOOKUP($A238,Leonard2010!D:AL,34,FALSE)</f>
        <v>92</v>
      </c>
      <c r="O238">
        <f t="shared" si="42"/>
        <v>0.96592582628906831</v>
      </c>
      <c r="P238">
        <f>D238*(75/E238)</f>
        <v>23.645320197044342</v>
      </c>
      <c r="Q238">
        <f>IF(B238="NA","0",VLOOKUP(B238,SectionGeometry!C:E,3,FALSE)*IF(C238="NA",X$277/(X$277+X$276),X$277))</f>
        <v>0.05</v>
      </c>
      <c r="R238">
        <f>Q238*IF(B238="NA",0,((VLOOKUP(B238,SectionGeometry!C:Z,24,FALSE))))</f>
        <v>8872215569876.8652</v>
      </c>
      <c r="S238">
        <f>IF(R238=0,0,Q238*3.3*10^10*P238*10^6*(1/O238)*VLOOKUP(B238,SectionGeometry!C:AA,25,FALSE)*10^-3)</f>
        <v>11927368462562.918</v>
      </c>
      <c r="T238">
        <f t="shared" si="40"/>
        <v>0.98480775301220813</v>
      </c>
      <c r="U238">
        <f>IF(K238="N",E238*35/SIN(RADIANS(J238)),IF(K238="Y",VLOOKUP(A238,Leonard2010!D:U,18,FALSE),IF(C238="NA",VLOOKUP(A238,MSSM_AdaptedSources!B:K,10,FALSE),"CHECK")))</f>
        <v>75</v>
      </c>
      <c r="V238">
        <f>(1*VLOOKUP(A238,FaultGeometry!B:C,2,FALSE))-Q238-AA238</f>
        <v>0.15000000000000002</v>
      </c>
      <c r="W238">
        <f>V238*(VLOOKUP(A238,FaultGeometry!B:Y,24,FALSE))</f>
        <v>53273175642436.984</v>
      </c>
      <c r="X238">
        <f>V238*3.3*10^10*U238*10^6*(1/T238)*VLOOKUP(A238,FaultGeometry!B:O,14,FALSE)*10^-3</f>
        <v>108977948802288.06</v>
      </c>
      <c r="Y238">
        <f t="shared" si="43"/>
        <v>0.95630475596303555</v>
      </c>
      <c r="Z238">
        <f>IF(C238="NA","NA",VLOOKUP(C238,MSSM_AdaptedSources!B:K,10,FALSE))</f>
        <v>3445.8623280676761</v>
      </c>
      <c r="AA238">
        <f>IF(C238="NA","0",VLOOKUP(C238,MultiFaultGeometry!B:C,2,FALSE)*IF(B238="NA",X$278/(X$278+X$276),X$278))</f>
        <v>0.3</v>
      </c>
      <c r="AB238">
        <f>AA238*IF(C238="NA",0,VLOOKUP(C238,MultiFaultGeometry!B:O,14,FALSE))</f>
        <v>2614294420300021</v>
      </c>
      <c r="AC238">
        <f>IF(AB238=0,0,AA238*3.3*10^10*Z238*10^6*(1/Y238)*VLOOKUP(C238,MultiFaultGeometry!B:G,5,FALSE)*10^-3)</f>
        <v>9087598796017246</v>
      </c>
      <c r="AE238" s="68">
        <f t="shared" si="39"/>
        <v>0</v>
      </c>
      <c r="AF238" s="68">
        <f t="shared" si="41"/>
        <v>0</v>
      </c>
      <c r="AG238" s="68"/>
    </row>
    <row r="239" spans="1:33" x14ac:dyDescent="0.2">
      <c r="A239" s="68" t="str">
        <f>Leonard2010!D241</f>
        <v>Karonga-1</v>
      </c>
      <c r="B239" s="68" t="str">
        <f>Leonard2010!E241</f>
        <v>Karonga-1 Link-a</v>
      </c>
      <c r="C239" s="68" t="str">
        <f>Leonard2010!F241</f>
        <v>Karonga-1-Katesula-1-Mbiri-1</v>
      </c>
      <c r="D239">
        <f>IF(B239="NA","NA",VLOOKUP(B239,Leonard2010!E:H,3,FALSE))</f>
        <v>1.1000000000000001</v>
      </c>
      <c r="E239">
        <f>IF(A239="NA","NA",VLOOKUP(A239,Leonard2010!D:I,6,FALSE))</f>
        <v>20.299999999999997</v>
      </c>
      <c r="F239">
        <f>IF(C239="NA","NA",VLOOKUP(C239,Leonard2010!F:K,6,FALSE))</f>
        <v>95.2</v>
      </c>
      <c r="G239">
        <f>IF(B239="NA","NA",VLOOKUP(B239,Leonard2010!E:H,4,FALSE))</f>
        <v>309</v>
      </c>
      <c r="H239">
        <f>IF(A239="NA","NA",VLOOKUP(A239,Leonard2010!D:J,7,FALSE))</f>
        <v>356</v>
      </c>
      <c r="I239">
        <f>IF(C239="NA","NA",VLOOKUP(C239,Leonard2010!F:L,7,FALSE))</f>
        <v>149</v>
      </c>
      <c r="J239">
        <f>IF(A239="NA","NA",VLOOKUP(A239,Leonard2010!D:N,11,FALSE))</f>
        <v>60</v>
      </c>
      <c r="K239" t="s">
        <v>308</v>
      </c>
      <c r="L239">
        <f>VLOOKUP(A239,Leonard2010!D:AJ,32,FALSE)</f>
        <v>61</v>
      </c>
      <c r="M239">
        <f>VLOOKUP($A239,Leonard2010!D:AK,33,FALSE)</f>
        <v>76</v>
      </c>
      <c r="N239">
        <f>VLOOKUP($A239,Leonard2010!D:AL,34,FALSE)</f>
        <v>92</v>
      </c>
      <c r="O239">
        <f t="shared" si="42"/>
        <v>0.79863551004729283</v>
      </c>
      <c r="P239">
        <f t="shared" ref="P239:P247" si="45">D239*(75/E239)</f>
        <v>4.0640394088669964</v>
      </c>
      <c r="Q239">
        <f>IF(B239="NA","0",VLOOKUP(B239,SectionGeometry!C:E,3,FALSE)*IF(C239="NA",X$277/(X$277+X$276),X$277))</f>
        <v>0.05</v>
      </c>
      <c r="R239">
        <f>Q239*IF(B239="NA",0,((VLOOKUP(B239,SectionGeometry!C:Z,24,FALSE))))</f>
        <v>0</v>
      </c>
      <c r="S239">
        <f>IF(R239=0,0,Q239*3.3*10^10*P239*10^6*(1/O239)*VLOOKUP(B239,SectionGeometry!C:AA,25,FALSE)*10^-3)</f>
        <v>0</v>
      </c>
      <c r="T239">
        <f t="shared" si="40"/>
        <v>0.98480775301220813</v>
      </c>
      <c r="U239">
        <f>IF(K239="N",E239*35/SIN(RADIANS(J239)),IF(K239="Y",VLOOKUP(A239,Leonard2010!D:U,18,FALSE),IF(C239="NA",VLOOKUP(A239,MSSM_AdaptedSources!B:K,10,FALSE),"CHECK")))</f>
        <v>75</v>
      </c>
      <c r="V239">
        <f>(1*VLOOKUP(A239,FaultGeometry!B:C,2,FALSE))-Q239-AA239</f>
        <v>0.15000000000000002</v>
      </c>
      <c r="W239">
        <f>V239*(VLOOKUP(A239,FaultGeometry!B:Y,24,FALSE))</f>
        <v>53273175642436.984</v>
      </c>
      <c r="X239">
        <f>V239*3.3*10^10*U239*10^6*(1/T239)*VLOOKUP(A239,FaultGeometry!B:O,14,FALSE)*10^-3</f>
        <v>108977948802288.06</v>
      </c>
      <c r="Y239">
        <f>IF($C239="NA","NA",MEDIAN(ABS(COS(RADIANS($L239-$I239-90))),ABS(COS(RADIANS($M239-$I239-90))),ABS(COS(RADIANS($N239-$I239-90)))))</f>
        <v>0.95630475596303555</v>
      </c>
      <c r="Z239">
        <f>IF(C239="NA","NA",VLOOKUP(C239,MSSM_AdaptedSources!B:K,10,FALSE))</f>
        <v>3445.8623280676761</v>
      </c>
      <c r="AA239">
        <f>IF(C239="NA","0",VLOOKUP(C239,MultiFaultGeometry!B:C,2,FALSE)*IF(B239="NA",X$278/(X$278+X$276),X$278))</f>
        <v>0.3</v>
      </c>
      <c r="AB239">
        <f>AA239*IF(C239="NA",0,VLOOKUP(C239,MultiFaultGeometry!B:O,14,FALSE))</f>
        <v>2614294420300021</v>
      </c>
      <c r="AC239">
        <f>IF(AB239=0,0,AA239*3.3*10^10*Z239*10^6*(1/Y239)*VLOOKUP(C239,MultiFaultGeometry!B:G,5,FALSE)*10^-3)</f>
        <v>9087598796017246</v>
      </c>
      <c r="AE239" s="68">
        <f t="shared" si="39"/>
        <v>0</v>
      </c>
      <c r="AF239" s="68">
        <f t="shared" si="41"/>
        <v>0</v>
      </c>
      <c r="AG239" s="68"/>
    </row>
    <row r="240" spans="1:33" x14ac:dyDescent="0.2">
      <c r="A240" s="68" t="str">
        <f>Leonard2010!D242</f>
        <v>Karonga-1</v>
      </c>
      <c r="B240" s="68" t="str">
        <f>Leonard2010!E242</f>
        <v>Karonga-1 Central</v>
      </c>
      <c r="C240" s="68" t="str">
        <f>Leonard2010!F242</f>
        <v>Karonga-1-Katesula-1-Mbiri-1</v>
      </c>
      <c r="D240">
        <f>IF(B240="NA","NA",VLOOKUP(B240,Leonard2010!E:H,3,FALSE))</f>
        <v>5.7</v>
      </c>
      <c r="E240">
        <f>IF(A240="NA","NA",VLOOKUP(A240,Leonard2010!D:I,6,FALSE))</f>
        <v>20.299999999999997</v>
      </c>
      <c r="F240">
        <f>IF(C240="NA","NA",VLOOKUP(C240,Leonard2010!F:K,6,FALSE))</f>
        <v>95.2</v>
      </c>
      <c r="G240">
        <f>IF(B240="NA","NA",VLOOKUP(B240,Leonard2010!E:H,4,FALSE))</f>
        <v>356</v>
      </c>
      <c r="H240">
        <f>IF(A240="NA","NA",VLOOKUP(A240,Leonard2010!D:J,7,FALSE))</f>
        <v>356</v>
      </c>
      <c r="I240">
        <f>IF(C240="NA","NA",VLOOKUP(C240,Leonard2010!F:L,7,FALSE))</f>
        <v>149</v>
      </c>
      <c r="J240">
        <f>IF(A240="NA","NA",VLOOKUP(A240,Leonard2010!D:N,11,FALSE))</f>
        <v>60</v>
      </c>
      <c r="K240" t="s">
        <v>308</v>
      </c>
      <c r="L240">
        <f>VLOOKUP(A240,Leonard2010!D:AJ,32,FALSE)</f>
        <v>61</v>
      </c>
      <c r="M240">
        <f>VLOOKUP($A240,Leonard2010!D:AK,33,FALSE)</f>
        <v>76</v>
      </c>
      <c r="N240">
        <f>VLOOKUP($A240,Leonard2010!D:AL,34,FALSE)</f>
        <v>92</v>
      </c>
      <c r="O240">
        <f t="shared" si="42"/>
        <v>0.98480775301220813</v>
      </c>
      <c r="P240">
        <f t="shared" si="45"/>
        <v>21.059113300492616</v>
      </c>
      <c r="Q240">
        <f>IF(B240="NA","0",VLOOKUP(B240,SectionGeometry!C:E,3,FALSE)*IF(C240="NA",X$277/(X$277+X$276),X$277))</f>
        <v>0.05</v>
      </c>
      <c r="R240">
        <f>Q240*IF(B240="NA",0,((VLOOKUP(B240,SectionGeometry!C:Z,24,FALSE))))</f>
        <v>7080451296325.8486</v>
      </c>
      <c r="S240">
        <f>IF(R240=0,0,Q240*3.3*10^10*P240*10^6*(1/O240)*VLOOKUP(B240,SectionGeometry!C:AA,25,FALSE)*10^-3)</f>
        <v>10182673216300.531</v>
      </c>
      <c r="T240">
        <f t="shared" si="40"/>
        <v>0.98480775301220813</v>
      </c>
      <c r="U240">
        <f>IF(K240="N",E240*35/SIN(RADIANS(J240)),IF(K240="Y",VLOOKUP(A240,Leonard2010!D:U,18,FALSE),IF(C240="NA",VLOOKUP(A240,MSSM_AdaptedSources!B:K,10,FALSE),"CHECK")))</f>
        <v>75</v>
      </c>
      <c r="V240">
        <f>(1*VLOOKUP(A240,FaultGeometry!B:C,2,FALSE))-Q240-AA240</f>
        <v>0.15000000000000002</v>
      </c>
      <c r="W240">
        <f>V240*(VLOOKUP(A240,FaultGeometry!B:Y,24,FALSE))</f>
        <v>53273175642436.984</v>
      </c>
      <c r="X240">
        <f>V240*3.3*10^10*U240*10^6*(1/T240)*VLOOKUP(A240,FaultGeometry!B:O,14,FALSE)*10^-3</f>
        <v>108977948802288.06</v>
      </c>
      <c r="Y240">
        <f t="shared" si="43"/>
        <v>0.95630475596303555</v>
      </c>
      <c r="Z240">
        <f>IF(C240="NA","NA",VLOOKUP(C240,MSSM_AdaptedSources!B:K,10,FALSE))</f>
        <v>3445.8623280676761</v>
      </c>
      <c r="AA240">
        <f>IF(C240="NA","0",VLOOKUP(C240,MultiFaultGeometry!B:C,2,FALSE)*IF(B240="NA",X$278/(X$278+X$276),X$278))</f>
        <v>0.3</v>
      </c>
      <c r="AB240">
        <f>AA240*IF(C240="NA",0,VLOOKUP(C240,MultiFaultGeometry!B:O,14,FALSE))</f>
        <v>2614294420300021</v>
      </c>
      <c r="AC240">
        <f>IF(AB240=0,0,AA240*3.3*10^10*Z240*10^6*(1/Y240)*VLOOKUP(C240,MultiFaultGeometry!B:G,5,FALSE)*10^-3)</f>
        <v>9087598796017246</v>
      </c>
      <c r="AE240" s="68">
        <f t="shared" si="39"/>
        <v>0</v>
      </c>
      <c r="AF240" s="68">
        <f t="shared" si="41"/>
        <v>0</v>
      </c>
      <c r="AG240" s="68"/>
    </row>
    <row r="241" spans="1:33" x14ac:dyDescent="0.2">
      <c r="A241" s="68" t="str">
        <f>Leonard2010!D243</f>
        <v>Karonga-1</v>
      </c>
      <c r="B241" s="68" t="str">
        <f>Leonard2010!E243</f>
        <v>Karonga-1 Link-b</v>
      </c>
      <c r="C241" s="68" t="str">
        <f>Leonard2010!F243</f>
        <v>Karonga-1-Katesula-1-Mbiri-1</v>
      </c>
      <c r="D241">
        <f>IF(B241="NA","NA",VLOOKUP(B241,Leonard2010!E:H,3,FALSE))</f>
        <v>0.6</v>
      </c>
      <c r="E241">
        <f>IF(A241="NA","NA",VLOOKUP(A241,Leonard2010!D:I,6,FALSE))</f>
        <v>20.299999999999997</v>
      </c>
      <c r="F241">
        <f>IF(C241="NA","NA",VLOOKUP(C241,Leonard2010!F:K,6,FALSE))</f>
        <v>95.2</v>
      </c>
      <c r="G241">
        <f>IF(B241="NA","NA",VLOOKUP(B241,Leonard2010!E:H,4,FALSE))</f>
        <v>58</v>
      </c>
      <c r="H241">
        <f>IF(A241="NA","NA",VLOOKUP(A241,Leonard2010!D:J,7,FALSE))</f>
        <v>356</v>
      </c>
      <c r="I241">
        <f>IF(C241="NA","NA",VLOOKUP(C241,Leonard2010!F:L,7,FALSE))</f>
        <v>149</v>
      </c>
      <c r="J241">
        <f>IF(A241="NA","NA",VLOOKUP(A241,Leonard2010!D:N,11,FALSE))</f>
        <v>60</v>
      </c>
      <c r="K241" t="s">
        <v>308</v>
      </c>
      <c r="L241">
        <f>VLOOKUP(A241,Leonard2010!D:AJ,32,FALSE)</f>
        <v>61</v>
      </c>
      <c r="M241">
        <f>VLOOKUP($A241,Leonard2010!D:AK,33,FALSE)</f>
        <v>76</v>
      </c>
      <c r="N241">
        <f>VLOOKUP($A241,Leonard2010!D:AL,34,FALSE)</f>
        <v>92</v>
      </c>
      <c r="O241">
        <f t="shared" si="42"/>
        <v>0.30901699437494745</v>
      </c>
      <c r="P241">
        <f t="shared" si="45"/>
        <v>2.2167487684729066</v>
      </c>
      <c r="Q241">
        <f>IF(B241="NA","0",VLOOKUP(B241,SectionGeometry!C:E,3,FALSE)*IF(C241="NA",X$277/(X$277+X$276),X$277))</f>
        <v>0.05</v>
      </c>
      <c r="R241">
        <f>Q241*IF(B241="NA",0,((VLOOKUP(B241,SectionGeometry!C:Z,24,FALSE))))</f>
        <v>0</v>
      </c>
      <c r="S241">
        <f>IF(R241=0,0,Q241*3.3*10^10*P241*10^6*(1/O241)*VLOOKUP(B241,SectionGeometry!C:AA,25,FALSE)*10^-3)</f>
        <v>0</v>
      </c>
      <c r="T241">
        <f t="shared" si="40"/>
        <v>0.98480775301220813</v>
      </c>
      <c r="U241">
        <f>IF(K241="N",E241*35/SIN(RADIANS(J241)),IF(K241="Y",VLOOKUP(A241,Leonard2010!D:U,18,FALSE),IF(C241="NA",VLOOKUP(A241,MSSM_AdaptedSources!B:K,10,FALSE),"CHECK")))</f>
        <v>75</v>
      </c>
      <c r="V241">
        <f>(1*VLOOKUP(A241,FaultGeometry!B:C,2,FALSE))-Q241-AA241</f>
        <v>0.15000000000000002</v>
      </c>
      <c r="W241">
        <f>V241*(VLOOKUP(A241,FaultGeometry!B:Y,24,FALSE))</f>
        <v>53273175642436.984</v>
      </c>
      <c r="X241">
        <f>V241*3.3*10^10*U241*10^6*(1/T241)*VLOOKUP(A241,FaultGeometry!B:O,14,FALSE)*10^-3</f>
        <v>108977948802288.06</v>
      </c>
      <c r="Y241">
        <f t="shared" si="43"/>
        <v>0.95630475596303555</v>
      </c>
      <c r="Z241">
        <f>IF(C241="NA","NA",VLOOKUP(C241,MSSM_AdaptedSources!B:K,10,FALSE))</f>
        <v>3445.8623280676761</v>
      </c>
      <c r="AA241">
        <f>IF(C241="NA","0",VLOOKUP(C241,MultiFaultGeometry!B:C,2,FALSE)*IF(B241="NA",X$278/(X$278+X$276),X$278))</f>
        <v>0.3</v>
      </c>
      <c r="AB241">
        <f>AA241*IF(C241="NA",0,VLOOKUP(C241,MultiFaultGeometry!B:O,14,FALSE))</f>
        <v>2614294420300021</v>
      </c>
      <c r="AC241">
        <f>IF(AB241=0,0,AA241*3.3*10^10*Z241*10^6*(1/Y241)*VLOOKUP(C241,MultiFaultGeometry!B:G,5,FALSE)*10^-3)</f>
        <v>9087598796017246</v>
      </c>
      <c r="AE241" s="68">
        <f t="shared" si="39"/>
        <v>0</v>
      </c>
      <c r="AF241" s="68">
        <f t="shared" si="41"/>
        <v>0</v>
      </c>
      <c r="AG241" s="68"/>
    </row>
    <row r="242" spans="1:33" x14ac:dyDescent="0.2">
      <c r="A242" s="68" t="str">
        <f>Leonard2010!D244</f>
        <v>Karonga-1</v>
      </c>
      <c r="B242" s="68" t="str">
        <f>Leonard2010!E244</f>
        <v>Karonga-1 North</v>
      </c>
      <c r="C242" s="68" t="str">
        <f>Leonard2010!F244</f>
        <v>Karonga-1-Katesula-1-Mbiri-1</v>
      </c>
      <c r="D242">
        <f>IF(B242="NA","NA",VLOOKUP(B242,Leonard2010!E:H,3,FALSE))</f>
        <v>6.5</v>
      </c>
      <c r="E242">
        <f>IF(A242="NA","NA",VLOOKUP(A242,Leonard2010!D:I,6,FALSE))</f>
        <v>20.299999999999997</v>
      </c>
      <c r="F242">
        <f>IF(C242="NA","NA",VLOOKUP(C242,Leonard2010!F:K,6,FALSE))</f>
        <v>95.2</v>
      </c>
      <c r="G242">
        <f>IF(B242="NA","NA",VLOOKUP(B242,Leonard2010!E:H,4,FALSE))</f>
        <v>9</v>
      </c>
      <c r="H242">
        <f>IF(A242="NA","NA",VLOOKUP(A242,Leonard2010!D:J,7,FALSE))</f>
        <v>356</v>
      </c>
      <c r="I242">
        <f>IF(C242="NA","NA",VLOOKUP(C242,Leonard2010!F:L,7,FALSE))</f>
        <v>149</v>
      </c>
      <c r="J242">
        <f>IF(A242="NA","NA",VLOOKUP(A242,Leonard2010!D:N,11,FALSE))</f>
        <v>60</v>
      </c>
      <c r="K242" t="s">
        <v>308</v>
      </c>
      <c r="L242">
        <f>VLOOKUP(A242,Leonard2010!D:AJ,32,FALSE)</f>
        <v>61</v>
      </c>
      <c r="M242">
        <f>VLOOKUP($A242,Leonard2010!D:AK,33,FALSE)</f>
        <v>76</v>
      </c>
      <c r="N242">
        <f>VLOOKUP($A242,Leonard2010!D:AL,34,FALSE)</f>
        <v>92</v>
      </c>
      <c r="O242">
        <f t="shared" si="42"/>
        <v>0.92050485345244037</v>
      </c>
      <c r="P242">
        <f t="shared" si="45"/>
        <v>24.014778325123157</v>
      </c>
      <c r="Q242">
        <f>IF(B242="NA","0",VLOOKUP(B242,SectionGeometry!C:E,3,FALSE)*IF(C242="NA",X$277/(X$277+X$276),X$277))</f>
        <v>0.05</v>
      </c>
      <c r="R242">
        <f>Q242*IF(B242="NA",0,((VLOOKUP(B242,SectionGeometry!C:Z,24,FALSE))))</f>
        <v>8255744682922.6797</v>
      </c>
      <c r="S242">
        <f>IF(R242=0,0,Q242*3.3*10^10*P242*10^6*(1/O242)*VLOOKUP(B242,SectionGeometry!C:AA,25,FALSE)*10^-3)</f>
        <v>11721999444085.201</v>
      </c>
      <c r="T242">
        <f t="shared" si="40"/>
        <v>0.98480775301220813</v>
      </c>
      <c r="U242">
        <f>IF(K242="N",E242*35/SIN(RADIANS(J242)),IF(K242="Y",VLOOKUP(A242,Leonard2010!D:U,18,FALSE),IF(C242="NA",VLOOKUP(A242,MSSM_AdaptedSources!B:K,10,FALSE),"CHECK")))</f>
        <v>75</v>
      </c>
      <c r="V242">
        <f>(1*VLOOKUP(A242,FaultGeometry!B:C,2,FALSE))-Q242-AA242</f>
        <v>0.15000000000000002</v>
      </c>
      <c r="W242">
        <f>V242*(VLOOKUP(A242,FaultGeometry!B:Y,24,FALSE))</f>
        <v>53273175642436.984</v>
      </c>
      <c r="X242">
        <f>V242*3.3*10^10*U242*10^6*(1/T242)*VLOOKUP(A242,FaultGeometry!B:O,14,FALSE)*10^-3</f>
        <v>108977948802288.06</v>
      </c>
      <c r="Y242">
        <f t="shared" si="43"/>
        <v>0.95630475596303555</v>
      </c>
      <c r="Z242">
        <f>IF(C242="NA","NA",VLOOKUP(C242,MSSM_AdaptedSources!B:K,10,FALSE))</f>
        <v>3445.8623280676761</v>
      </c>
      <c r="AA242">
        <f>IF(C242="NA","0",VLOOKUP(C242,MultiFaultGeometry!B:C,2,FALSE)*IF(B242="NA",X$278/(X$278+X$276),X$278))</f>
        <v>0.3</v>
      </c>
      <c r="AB242">
        <f>AA242*IF(C242="NA",0,VLOOKUP(C242,MultiFaultGeometry!B:O,14,FALSE))</f>
        <v>2614294420300021</v>
      </c>
      <c r="AC242">
        <f>IF(AB242=0,0,AA242*3.3*10^10*Z242*10^6*(1/Y242)*VLOOKUP(C242,MultiFaultGeometry!B:G,5,FALSE)*10^-3)</f>
        <v>9087598796017246</v>
      </c>
      <c r="AE242" s="68">
        <f t="shared" si="39"/>
        <v>53273175642436.984</v>
      </c>
      <c r="AF242" s="68">
        <f t="shared" si="41"/>
        <v>108977948802288.06</v>
      </c>
      <c r="AG242" s="68"/>
    </row>
    <row r="243" spans="1:33" x14ac:dyDescent="0.2">
      <c r="A243" s="68" t="str">
        <f>Leonard2010!D245</f>
        <v>Karonga-2</v>
      </c>
      <c r="B243" s="68" t="str">
        <f>Leonard2010!E245</f>
        <v>Karonga-2 South</v>
      </c>
      <c r="C243" s="68" t="str">
        <f>Leonard2010!F245</f>
        <v>Karonga-2-Katesula-2</v>
      </c>
      <c r="D243">
        <f>IF(B243="NA","NA",VLOOKUP(B243,Leonard2010!E:H,3,FALSE))</f>
        <v>6.4</v>
      </c>
      <c r="E243">
        <f>IF(A243="NA","NA",VLOOKUP(A243,Leonard2010!D:I,6,FALSE))</f>
        <v>20.299999999999997</v>
      </c>
      <c r="F243">
        <f>IF(C243="NA","NA",VLOOKUP(C243,Leonard2010!F:K,6,FALSE))</f>
        <v>40.799999999999997</v>
      </c>
      <c r="G243">
        <f>IF(B243="NA","NA",VLOOKUP(B243,Leonard2010!E:H,4,FALSE))</f>
        <v>347</v>
      </c>
      <c r="H243">
        <f>IF(A243="NA","NA",VLOOKUP(A243,Leonard2010!D:J,7,FALSE))</f>
        <v>356</v>
      </c>
      <c r="I243">
        <f>IF(C243="NA","NA",VLOOKUP(C243,Leonard2010!F:L,7,FALSE))</f>
        <v>160</v>
      </c>
      <c r="J243">
        <f>IF(A243="NA","NA",VLOOKUP(A243,Leonard2010!D:N,11,FALSE))</f>
        <v>60</v>
      </c>
      <c r="K243" t="s">
        <v>308</v>
      </c>
      <c r="L243">
        <f>VLOOKUP(A243,Leonard2010!D:AJ,32,FALSE)</f>
        <v>61</v>
      </c>
      <c r="M243">
        <f>VLOOKUP($A243,Leonard2010!D:AK,33,FALSE)</f>
        <v>76</v>
      </c>
      <c r="N243">
        <f>VLOOKUP($A243,Leonard2010!D:AL,34,FALSE)</f>
        <v>92</v>
      </c>
      <c r="O243">
        <f t="shared" si="42"/>
        <v>0.96592582628906831</v>
      </c>
      <c r="P243">
        <f t="shared" si="45"/>
        <v>23.645320197044342</v>
      </c>
      <c r="Q243">
        <f>IF(B243="NA","0",VLOOKUP(B243,SectionGeometry!C:E,3,FALSE)*IF(C243="NA",X$277/(X$277+X$276),X$277))</f>
        <v>0.05</v>
      </c>
      <c r="R243">
        <f>Q243*IF(B243="NA",0,((VLOOKUP(B243,SectionGeometry!C:Z,24,FALSE))))</f>
        <v>9041585619325.6934</v>
      </c>
      <c r="S243">
        <f>IF(R243=0,0,Q243*3.3*10^10*P243*10^6*(1/O243)*VLOOKUP(B243,SectionGeometry!C:AA,25,FALSE)*10^-3)</f>
        <v>12009476898286.135</v>
      </c>
      <c r="T243">
        <f t="shared" si="40"/>
        <v>0.98480775301220813</v>
      </c>
      <c r="U243">
        <f>IF(K243="N",E243*35/SIN(RADIANS(J243)),IF(K243="Y",VLOOKUP(A243,Leonard2010!D:U,18,FALSE),IF(C243="NA",VLOOKUP(A243,MSSM_AdaptedSources!B:K,10,FALSE),"CHECK")))</f>
        <v>75</v>
      </c>
      <c r="V243">
        <f>(1*VLOOKUP(A243,FaultGeometry!B:C,2,FALSE))-Q243-AA243</f>
        <v>0.15000000000000002</v>
      </c>
      <c r="W243">
        <f>V243*(VLOOKUP(A243,FaultGeometry!B:Y,24,FALSE))</f>
        <v>53414733404776.281</v>
      </c>
      <c r="X243">
        <f>V243*3.3*10^10*U243*10^6*(1/T243)*VLOOKUP(A243,FaultGeometry!B:O,14,FALSE)*10^-3</f>
        <v>108138711461179.52</v>
      </c>
      <c r="Y243">
        <f t="shared" si="43"/>
        <v>0.98768834059513777</v>
      </c>
      <c r="Z243">
        <f>IF(C243="NA","NA",VLOOKUP(C243,MSSM_AdaptedSources!B:K,10,FALSE))</f>
        <v>960.57294423099063</v>
      </c>
      <c r="AA243">
        <f>IF(C243="NA","0",VLOOKUP(C243,MultiFaultGeometry!B:C,2,FALSE)*IF(B243="NA",X$278/(X$278+X$276),X$278))</f>
        <v>0.3</v>
      </c>
      <c r="AB243">
        <f>AA243*IF(C243="NA",0,VLOOKUP(C243,MultiFaultGeometry!B:O,14,FALSE))</f>
        <v>649865548101828.62</v>
      </c>
      <c r="AC243">
        <f>IF(AB243=0,0,AA243*3.3*10^10*Z243*10^6*(1/Y243)*VLOOKUP(C243,MultiFaultGeometry!B:G,5,FALSE)*10^-3)</f>
        <v>2529883937028041</v>
      </c>
      <c r="AE243" s="68">
        <f t="shared" si="39"/>
        <v>0</v>
      </c>
      <c r="AF243" s="68">
        <f t="shared" si="41"/>
        <v>0</v>
      </c>
      <c r="AG243" s="68"/>
    </row>
    <row r="244" spans="1:33" x14ac:dyDescent="0.2">
      <c r="A244" s="68" t="str">
        <f>Leonard2010!D246</f>
        <v>Karonga-2</v>
      </c>
      <c r="B244" s="68" t="str">
        <f>Leonard2010!E246</f>
        <v>Karonga-2 Link-a</v>
      </c>
      <c r="C244" s="68" t="str">
        <f>Leonard2010!F246</f>
        <v>Karonga-2-Katesula-2</v>
      </c>
      <c r="D244">
        <f>IF(B244="NA","NA",VLOOKUP(B244,Leonard2010!E:H,3,FALSE))</f>
        <v>1.1000000000000001</v>
      </c>
      <c r="E244">
        <f>IF(A244="NA","NA",VLOOKUP(A244,Leonard2010!D:I,6,FALSE))</f>
        <v>20.299999999999997</v>
      </c>
      <c r="F244">
        <f>IF(C244="NA","NA",VLOOKUP(C244,Leonard2010!F:K,6,FALSE))</f>
        <v>40.799999999999997</v>
      </c>
      <c r="G244">
        <f>IF(B244="NA","NA",VLOOKUP(B244,Leonard2010!E:H,4,FALSE))</f>
        <v>309</v>
      </c>
      <c r="H244">
        <f>IF(A244="NA","NA",VLOOKUP(A244,Leonard2010!D:J,7,FALSE))</f>
        <v>356</v>
      </c>
      <c r="I244">
        <f>IF(C244="NA","NA",VLOOKUP(C244,Leonard2010!F:L,7,FALSE))</f>
        <v>160</v>
      </c>
      <c r="J244">
        <f>IF(A244="NA","NA",VLOOKUP(A244,Leonard2010!D:N,11,FALSE))</f>
        <v>60</v>
      </c>
      <c r="K244" t="s">
        <v>308</v>
      </c>
      <c r="L244">
        <f>VLOOKUP(A244,Leonard2010!D:AJ,32,FALSE)</f>
        <v>61</v>
      </c>
      <c r="M244">
        <f>VLOOKUP($A244,Leonard2010!D:AK,33,FALSE)</f>
        <v>76</v>
      </c>
      <c r="N244">
        <f>VLOOKUP($A244,Leonard2010!D:AL,34,FALSE)</f>
        <v>92</v>
      </c>
      <c r="O244">
        <f t="shared" si="42"/>
        <v>0.79863551004729283</v>
      </c>
      <c r="P244">
        <f t="shared" si="45"/>
        <v>4.0640394088669964</v>
      </c>
      <c r="Q244">
        <f>IF(B244="NA","0",VLOOKUP(B244,SectionGeometry!C:E,3,FALSE)*IF(C244="NA",X$277/(X$277+X$276),X$277))</f>
        <v>0.05</v>
      </c>
      <c r="R244">
        <f>Q244*IF(B244="NA",0,((VLOOKUP(B244,SectionGeometry!C:Z,24,FALSE))))</f>
        <v>0</v>
      </c>
      <c r="S244">
        <f>IF(R244=0,0,Q244*3.3*10^10*P244*10^6*(1/O244)*VLOOKUP(B244,SectionGeometry!C:AA,25,FALSE)*10^-3)</f>
        <v>0</v>
      </c>
      <c r="T244">
        <f t="shared" si="40"/>
        <v>0.98480775301220813</v>
      </c>
      <c r="U244">
        <f>IF(K244="N",E244*35/SIN(RADIANS(J244)),IF(K244="Y",VLOOKUP(A244,Leonard2010!D:U,18,FALSE),IF(C244="NA",VLOOKUP(A244,MSSM_AdaptedSources!B:K,10,FALSE),"CHECK")))</f>
        <v>75</v>
      </c>
      <c r="V244">
        <f>(1*VLOOKUP(A244,FaultGeometry!B:C,2,FALSE))-Q244-AA244</f>
        <v>0.15000000000000002</v>
      </c>
      <c r="W244">
        <f>V244*(VLOOKUP(A244,FaultGeometry!B:Y,24,FALSE))</f>
        <v>53414733404776.281</v>
      </c>
      <c r="X244">
        <f>V244*3.3*10^10*U244*10^6*(1/T244)*VLOOKUP(A244,FaultGeometry!B:O,14,FALSE)*10^-3</f>
        <v>108138711461179.52</v>
      </c>
      <c r="Y244">
        <f t="shared" si="43"/>
        <v>0.98768834059513777</v>
      </c>
      <c r="Z244">
        <f>IF(C244="NA","NA",VLOOKUP(C244,MSSM_AdaptedSources!B:K,10,FALSE))</f>
        <v>960.57294423099063</v>
      </c>
      <c r="AA244">
        <f>IF(C244="NA","0",VLOOKUP(C244,MultiFaultGeometry!B:C,2,FALSE)*IF(B244="NA",X$278/(X$278+X$276),X$278))</f>
        <v>0.3</v>
      </c>
      <c r="AB244">
        <f>AA244*IF(C244="NA",0,VLOOKUP(C244,MultiFaultGeometry!B:O,14,FALSE))</f>
        <v>649865548101828.62</v>
      </c>
      <c r="AC244">
        <f>IF(AB244=0,0,AA244*3.3*10^10*Z244*10^6*(1/Y244)*VLOOKUP(C244,MultiFaultGeometry!B:G,5,FALSE)*10^-3)</f>
        <v>2529883937028041</v>
      </c>
      <c r="AE244" s="68">
        <f t="shared" si="39"/>
        <v>0</v>
      </c>
      <c r="AF244" s="68">
        <f t="shared" si="41"/>
        <v>0</v>
      </c>
      <c r="AG244" s="68"/>
    </row>
    <row r="245" spans="1:33" x14ac:dyDescent="0.2">
      <c r="A245" s="68" t="str">
        <f>Leonard2010!D247</f>
        <v>Karonga-2</v>
      </c>
      <c r="B245" s="68" t="str">
        <f>Leonard2010!E247</f>
        <v>Karonga-2 Central</v>
      </c>
      <c r="C245" s="68" t="str">
        <f>Leonard2010!F247</f>
        <v>Karonga-2-Katesula-2</v>
      </c>
      <c r="D245">
        <f>IF(B245="NA","NA",VLOOKUP(B245,Leonard2010!E:H,3,FALSE))</f>
        <v>5.7</v>
      </c>
      <c r="E245">
        <f>IF(A245="NA","NA",VLOOKUP(A245,Leonard2010!D:I,6,FALSE))</f>
        <v>20.299999999999997</v>
      </c>
      <c r="F245">
        <f>IF(C245="NA","NA",VLOOKUP(C245,Leonard2010!F:K,6,FALSE))</f>
        <v>40.799999999999997</v>
      </c>
      <c r="G245">
        <f>IF(B245="NA","NA",VLOOKUP(B245,Leonard2010!E:H,4,FALSE))</f>
        <v>356</v>
      </c>
      <c r="H245">
        <f>IF(A245="NA","NA",VLOOKUP(A245,Leonard2010!D:J,7,FALSE))</f>
        <v>356</v>
      </c>
      <c r="I245">
        <f>IF(C245="NA","NA",VLOOKUP(C245,Leonard2010!F:L,7,FALSE))</f>
        <v>160</v>
      </c>
      <c r="J245">
        <f>IF(A245="NA","NA",VLOOKUP(A245,Leonard2010!D:N,11,FALSE))</f>
        <v>60</v>
      </c>
      <c r="K245" t="s">
        <v>308</v>
      </c>
      <c r="L245">
        <f>VLOOKUP(A245,Leonard2010!D:AJ,32,FALSE)</f>
        <v>61</v>
      </c>
      <c r="M245">
        <f>VLOOKUP($A245,Leonard2010!D:AK,33,FALSE)</f>
        <v>76</v>
      </c>
      <c r="N245">
        <f>VLOOKUP($A245,Leonard2010!D:AL,34,FALSE)</f>
        <v>92</v>
      </c>
      <c r="O245">
        <f>IF($B245="NA","NA",MEDIAN(ABS(COS(RADIANS($L245-$G245-90))),ABS(COS(RADIANS($M245-$G245-90))),ABS(COS(RADIANS($N245-$G245-90)))))</f>
        <v>0.98480775301220813</v>
      </c>
      <c r="P245">
        <f t="shared" si="45"/>
        <v>21.059113300492616</v>
      </c>
      <c r="Q245">
        <f>IF(B245="NA","0",VLOOKUP(B245,SectionGeometry!C:E,3,FALSE)*IF(C245="NA",X$277/(X$277+X$276),X$277))</f>
        <v>0.05</v>
      </c>
      <c r="R245">
        <f>Q245*IF(B245="NA",0,((VLOOKUP(B245,SectionGeometry!C:Z,24,FALSE))))</f>
        <v>7103970722280.1055</v>
      </c>
      <c r="S245">
        <f>IF(R245=0,0,Q245*3.3*10^10*P245*10^6*(1/O245)*VLOOKUP(B245,SectionGeometry!C:AA,25,FALSE)*10^-3)</f>
        <v>10050532018457.93</v>
      </c>
      <c r="T245">
        <f>IF($A245="NA","NA",MEDIAN(ABS(COS(RADIANS($L245-$H245-90))),ABS(COS(RADIANS($M245-$H245-90))),ABS(COS(RADIANS($N245-$H245-90)))))</f>
        <v>0.98480775301220813</v>
      </c>
      <c r="U245">
        <f>IF(K245="N",E245*35/SIN(RADIANS(J245)),IF(K245="Y",VLOOKUP(A245,Leonard2010!D:U,18,FALSE),IF(C245="NA",VLOOKUP(A245,MSSM_AdaptedSources!B:K,10,FALSE),"CHECK")))</f>
        <v>75</v>
      </c>
      <c r="V245">
        <f>(1*VLOOKUP(A245,FaultGeometry!B:C,2,FALSE))-Q245-AA245</f>
        <v>0.15000000000000002</v>
      </c>
      <c r="W245">
        <f>V245*(VLOOKUP(A245,FaultGeometry!B:Y,24,FALSE))</f>
        <v>53414733404776.281</v>
      </c>
      <c r="X245">
        <f>V245*3.3*10^10*U245*10^6*(1/T245)*VLOOKUP(A245,FaultGeometry!B:O,14,FALSE)*10^-3</f>
        <v>108138711461179.52</v>
      </c>
      <c r="Y245">
        <f>IF($C245="NA","NA",MEDIAN(ABS(COS(RADIANS($L245-$I245-90))),ABS(COS(RADIANS($M245-$I245-90))),ABS(COS(RADIANS($N245-$I245-90)))))</f>
        <v>0.98768834059513777</v>
      </c>
      <c r="Z245">
        <f>IF(C245="NA","NA",VLOOKUP(C245,MSSM_AdaptedSources!B:K,10,FALSE))</f>
        <v>960.57294423099063</v>
      </c>
      <c r="AA245">
        <f>IF(C245="NA","0",VLOOKUP(C245,MultiFaultGeometry!B:C,2,FALSE)*IF(B245="NA",X$278/(X$278+X$276),X$278))</f>
        <v>0.3</v>
      </c>
      <c r="AB245">
        <f>AA245*IF(C245="NA",0,VLOOKUP(C245,MultiFaultGeometry!B:O,14,FALSE))</f>
        <v>649865548101828.62</v>
      </c>
      <c r="AC245">
        <f>IF(AB245=0,0,AA245*3.3*10^10*Z245*10^6*(1/Y245)*VLOOKUP(C245,MultiFaultGeometry!B:G,5,FALSE)*10^-3)</f>
        <v>2529883937028041</v>
      </c>
      <c r="AE245" s="68">
        <f t="shared" si="39"/>
        <v>0</v>
      </c>
      <c r="AF245" s="68">
        <f t="shared" si="41"/>
        <v>0</v>
      </c>
      <c r="AG245" s="68"/>
    </row>
    <row r="246" spans="1:33" x14ac:dyDescent="0.2">
      <c r="A246" s="68" t="str">
        <f>Leonard2010!D248</f>
        <v>Karonga-2</v>
      </c>
      <c r="B246" s="68" t="str">
        <f>Leonard2010!E248</f>
        <v>Karonga-2 Link-b</v>
      </c>
      <c r="C246" s="68" t="str">
        <f>Leonard2010!F248</f>
        <v>Karonga-2-Katesula-2</v>
      </c>
      <c r="D246">
        <f>IF(B246="NA","NA",VLOOKUP(B246,Leonard2010!E:H,3,FALSE))</f>
        <v>0.6</v>
      </c>
      <c r="E246">
        <f>IF(A246="NA","NA",VLOOKUP(A246,Leonard2010!D:I,6,FALSE))</f>
        <v>20.299999999999997</v>
      </c>
      <c r="F246">
        <f>IF(C246="NA","NA",VLOOKUP(C246,Leonard2010!F:K,6,FALSE))</f>
        <v>40.799999999999997</v>
      </c>
      <c r="G246">
        <f>IF(B246="NA","NA",VLOOKUP(B246,Leonard2010!E:H,4,FALSE))</f>
        <v>58</v>
      </c>
      <c r="H246">
        <f>IF(A246="NA","NA",VLOOKUP(A246,Leonard2010!D:J,7,FALSE))</f>
        <v>356</v>
      </c>
      <c r="I246">
        <f>IF(C246="NA","NA",VLOOKUP(C246,Leonard2010!F:L,7,FALSE))</f>
        <v>160</v>
      </c>
      <c r="J246">
        <f>IF(A246="NA","NA",VLOOKUP(A246,Leonard2010!D:N,11,FALSE))</f>
        <v>60</v>
      </c>
      <c r="K246" t="s">
        <v>308</v>
      </c>
      <c r="L246">
        <f>VLOOKUP(A246,Leonard2010!D:AJ,32,FALSE)</f>
        <v>61</v>
      </c>
      <c r="M246">
        <f>VLOOKUP($A246,Leonard2010!D:AK,33,FALSE)</f>
        <v>76</v>
      </c>
      <c r="N246">
        <f>VLOOKUP($A246,Leonard2010!D:AL,34,FALSE)</f>
        <v>92</v>
      </c>
      <c r="O246">
        <f>IF($B246="NA","NA",MEDIAN(ABS(COS(RADIANS($L246-$G246-90))),ABS(COS(RADIANS($M246-$G246-90))),ABS(COS(RADIANS($N246-$G246-90)))))</f>
        <v>0.30901699437494745</v>
      </c>
      <c r="P246">
        <f t="shared" si="45"/>
        <v>2.2167487684729066</v>
      </c>
      <c r="Q246">
        <f>IF(B246="NA","0",VLOOKUP(B246,SectionGeometry!C:E,3,FALSE)*IF(C246="NA",X$277/(X$277+X$276),X$277))</f>
        <v>0.05</v>
      </c>
      <c r="R246">
        <f>Q246*IF(B246="NA",0,((VLOOKUP(B246,SectionGeometry!C:Z,24,FALSE))))</f>
        <v>0</v>
      </c>
      <c r="S246">
        <f>IF(R246=0,0,Q246*3.3*10^10*P246*10^6*(1/O246)*VLOOKUP(B246,SectionGeometry!C:AA,25,FALSE)*10^-3)</f>
        <v>0</v>
      </c>
      <c r="T246">
        <f>IF($A246="NA","NA",MEDIAN(ABS(COS(RADIANS($L246-$H246-90))),ABS(COS(RADIANS($M246-$H246-90))),ABS(COS(RADIANS($N246-$H246-90)))))</f>
        <v>0.98480775301220813</v>
      </c>
      <c r="U246">
        <f>IF(K246="N",E246*35/SIN(RADIANS(J246)),IF(K246="Y",VLOOKUP(A246,Leonard2010!D:U,18,FALSE),IF(C246="NA",VLOOKUP(A246,MSSM_AdaptedSources!B:K,10,FALSE),"CHECK")))</f>
        <v>75</v>
      </c>
      <c r="V246">
        <f>(1*VLOOKUP(A246,FaultGeometry!B:C,2,FALSE))-Q246-AA246</f>
        <v>0.15000000000000002</v>
      </c>
      <c r="W246">
        <f>V246*(VLOOKUP(A246,FaultGeometry!B:Y,24,FALSE))</f>
        <v>53414733404776.281</v>
      </c>
      <c r="X246">
        <f>V246*3.3*10^10*U246*10^6*(1/T246)*VLOOKUP(A246,FaultGeometry!B:O,14,FALSE)*10^-3</f>
        <v>108138711461179.52</v>
      </c>
      <c r="Y246">
        <f>IF($C246="NA","NA",MEDIAN(ABS(COS(RADIANS($L246-$I246-90))),ABS(COS(RADIANS($M246-$I246-90))),ABS(COS(RADIANS($N246-$I246-90)))))</f>
        <v>0.98768834059513777</v>
      </c>
      <c r="Z246">
        <f>IF(C246="NA","NA",VLOOKUP(C246,MSSM_AdaptedSources!B:K,10,FALSE))</f>
        <v>960.57294423099063</v>
      </c>
      <c r="AA246">
        <f>IF(C246="NA","0",VLOOKUP(C246,MultiFaultGeometry!B:C,2,FALSE)*IF(B246="NA",X$278/(X$278+X$276),X$278))</f>
        <v>0.3</v>
      </c>
      <c r="AB246">
        <f>AA246*IF(C246="NA",0,VLOOKUP(C246,MultiFaultGeometry!B:O,14,FALSE))</f>
        <v>649865548101828.62</v>
      </c>
      <c r="AC246">
        <f>IF(AB246=0,0,AA246*3.3*10^10*Z246*10^6*(1/Y246)*VLOOKUP(C246,MultiFaultGeometry!B:G,5,FALSE)*10^-3)</f>
        <v>2529883937028041</v>
      </c>
      <c r="AE246" s="68">
        <f t="shared" si="39"/>
        <v>0</v>
      </c>
      <c r="AF246" s="68">
        <f t="shared" si="41"/>
        <v>0</v>
      </c>
      <c r="AG246" s="68"/>
    </row>
    <row r="247" spans="1:33" x14ac:dyDescent="0.2">
      <c r="A247" s="68" t="str">
        <f>Leonard2010!D249</f>
        <v>Karonga-2</v>
      </c>
      <c r="B247" s="68" t="str">
        <f>Leonard2010!E249</f>
        <v>Karonga-2 North</v>
      </c>
      <c r="C247" s="68" t="str">
        <f>Leonard2010!F249</f>
        <v>Karonga-2-Katesula-2</v>
      </c>
      <c r="D247">
        <f>IF(B247="NA","NA",VLOOKUP(B247,Leonard2010!E:H,3,FALSE))</f>
        <v>6.5</v>
      </c>
      <c r="E247">
        <f>IF(A247="NA","NA",VLOOKUP(A247,Leonard2010!D:I,6,FALSE))</f>
        <v>20.299999999999997</v>
      </c>
      <c r="F247">
        <f>IF(C247="NA","NA",VLOOKUP(C247,Leonard2010!F:K,6,FALSE))</f>
        <v>40.799999999999997</v>
      </c>
      <c r="G247">
        <f>IF(B247="NA","NA",VLOOKUP(B247,Leonard2010!E:H,4,FALSE))</f>
        <v>9</v>
      </c>
      <c r="H247">
        <f>IF(A247="NA","NA",VLOOKUP(A247,Leonard2010!D:J,7,FALSE))</f>
        <v>356</v>
      </c>
      <c r="I247">
        <f>IF(C247="NA","NA",VLOOKUP(C247,Leonard2010!F:L,7,FALSE))</f>
        <v>160</v>
      </c>
      <c r="J247">
        <f>IF(A247="NA","NA",VLOOKUP(A247,Leonard2010!D:N,11,FALSE))</f>
        <v>60</v>
      </c>
      <c r="K247" t="s">
        <v>308</v>
      </c>
      <c r="L247">
        <f>VLOOKUP(A247,Leonard2010!D:AJ,32,FALSE)</f>
        <v>61</v>
      </c>
      <c r="M247">
        <f>VLOOKUP($A247,Leonard2010!D:AK,33,FALSE)</f>
        <v>76</v>
      </c>
      <c r="N247">
        <f>VLOOKUP($A247,Leonard2010!D:AL,34,FALSE)</f>
        <v>92</v>
      </c>
      <c r="O247">
        <f>IF($B247="NA","NA",MEDIAN(ABS(COS(RADIANS($L247-$G247-90))),ABS(COS(RADIANS($M247-$G247-90))),ABS(COS(RADIANS($N247-$G247-90)))))</f>
        <v>0.92050485345244037</v>
      </c>
      <c r="P247">
        <f t="shared" si="45"/>
        <v>24.014778325123157</v>
      </c>
      <c r="Q247">
        <f>IF(B247="NA","0",VLOOKUP(B247,SectionGeometry!C:E,3,FALSE)*IF(C247="NA",X$277/(X$277+X$276),X$277))</f>
        <v>0.05</v>
      </c>
      <c r="R247">
        <f>Q247*IF(B247="NA",0,((VLOOKUP(B247,SectionGeometry!C:Z,24,FALSE))))</f>
        <v>8329253818580.3506</v>
      </c>
      <c r="S247">
        <f>IF(R247=0,0,Q247*3.3*10^10*P247*10^6*(1/O247)*VLOOKUP(B247,SectionGeometry!C:AA,25,FALSE)*10^-3)</f>
        <v>11674141691650.611</v>
      </c>
      <c r="T247">
        <f>IF($A247="NA","NA",MEDIAN(ABS(COS(RADIANS($L247-$H247-90))),ABS(COS(RADIANS($M247-$H247-90))),ABS(COS(RADIANS($N247-$H247-90)))))</f>
        <v>0.98480775301220813</v>
      </c>
      <c r="U247">
        <f>IF(K247="N",E247*35/SIN(RADIANS(J247)),IF(K247="Y",VLOOKUP(A247,Leonard2010!D:U,18,FALSE),IF(C247="NA",VLOOKUP(A247,MSSM_AdaptedSources!B:K,10,FALSE),"CHECK")))</f>
        <v>75</v>
      </c>
      <c r="V247">
        <f>(1*VLOOKUP(A247,FaultGeometry!B:C,2,FALSE))-Q247-AA247</f>
        <v>0.15000000000000002</v>
      </c>
      <c r="W247">
        <f>V247*(VLOOKUP(A247,FaultGeometry!B:Y,24,FALSE))</f>
        <v>53414733404776.281</v>
      </c>
      <c r="X247">
        <f>V247*3.3*10^10*U247*10^6*(1/T247)*VLOOKUP(A247,FaultGeometry!B:O,14,FALSE)*10^-3</f>
        <v>108138711461179.52</v>
      </c>
      <c r="Y247">
        <f>IF($C247="NA","NA",MEDIAN(ABS(COS(RADIANS($L247-$I247-90))),ABS(COS(RADIANS($M247-$I247-90))),ABS(COS(RADIANS($N247-$I247-90)))))</f>
        <v>0.98768834059513777</v>
      </c>
      <c r="Z247">
        <f>IF(C247="NA","NA",VLOOKUP(C247,MSSM_AdaptedSources!B:K,10,FALSE))</f>
        <v>960.57294423099063</v>
      </c>
      <c r="AA247">
        <f>IF(C247="NA","0",VLOOKUP(C247,MultiFaultGeometry!B:C,2,FALSE)*IF(B247="NA",X$278/(X$278+X$276),X$278))</f>
        <v>0.3</v>
      </c>
      <c r="AB247">
        <f>AA247*IF(C247="NA",0,VLOOKUP(C247,MultiFaultGeometry!B:O,14,FALSE))</f>
        <v>649865548101828.62</v>
      </c>
      <c r="AC247">
        <f>IF(AB247=0,0,AA247*3.3*10^10*Z247*10^6*(1/Y247)*VLOOKUP(C247,MultiFaultGeometry!B:G,5,FALSE)*10^-3)</f>
        <v>2529883937028041</v>
      </c>
      <c r="AE247" s="68">
        <f t="shared" si="39"/>
        <v>53414733404776.281</v>
      </c>
      <c r="AF247" s="68">
        <f t="shared" si="41"/>
        <v>108138711461179.52</v>
      </c>
      <c r="AG247" s="68"/>
    </row>
    <row r="248" spans="1:33" x14ac:dyDescent="0.2">
      <c r="A248" s="68" t="str">
        <f>Leonard2010!D250</f>
        <v>Livingstone</v>
      </c>
      <c r="B248" s="68" t="str">
        <f>Leonard2010!E250</f>
        <v>Livingstone North</v>
      </c>
      <c r="C248" s="68" t="str">
        <f>Leonard2010!F250</f>
        <v>NA</v>
      </c>
      <c r="D248">
        <f>IF(B248="NA","NA",VLOOKUP(B248,Leonard2010!E:H,3,FALSE))</f>
        <v>114.5</v>
      </c>
      <c r="E248">
        <f>IF(A248="NA","NA",VLOOKUP(A248,Leonard2010!D:I,6,FALSE))</f>
        <v>155</v>
      </c>
      <c r="F248" t="str">
        <f>IF(C248="NA","NA",VLOOKUP(C248,Leonard2010!F:K,6,FALSE))</f>
        <v>NA</v>
      </c>
      <c r="G248">
        <f>IF(B248="NA","NA",VLOOKUP(B248,Leonard2010!E:H,4,FALSE))</f>
        <v>142</v>
      </c>
      <c r="H248">
        <f>IF(A248="NA","NA",VLOOKUP(A248,Leonard2010!D:J,7,FALSE))</f>
        <v>151</v>
      </c>
      <c r="I248" t="str">
        <f>IF(C248="NA","NA",VLOOKUP(C248,Leonard2010!F:L,7,FALSE))</f>
        <v>NA</v>
      </c>
      <c r="J248">
        <f>IF(A248="NA","NA",VLOOKUP(A248,Leonard2010!D:N,11,FALSE))</f>
        <v>65</v>
      </c>
      <c r="K248" t="s">
        <v>211</v>
      </c>
      <c r="L248">
        <f>VLOOKUP(A248,Leonard2010!D:AJ,32,FALSE)</f>
        <v>61</v>
      </c>
      <c r="M248">
        <f>VLOOKUP($A248,Leonard2010!D:AK,33,FALSE)</f>
        <v>76</v>
      </c>
      <c r="N248">
        <f>VLOOKUP($A248,Leonard2010!D:AL,34,FALSE)</f>
        <v>92</v>
      </c>
      <c r="O248">
        <f>IF($B248="NA","NA",MEDIAN(ABS(COS(RADIANS($L248-$G248-90))),ABS(COS(RADIANS($M248-$G248-90))),ABS(COS(RADIANS($N248-$G248-90)))))</f>
        <v>0.91354545764260076</v>
      </c>
      <c r="P248">
        <f t="shared" si="44"/>
        <v>4421.7870102421866</v>
      </c>
      <c r="Q248">
        <f>IF(B248="NA","0",VLOOKUP(B248,SectionGeometry!C:E,3,FALSE)*IF(C248="NA",X$277/(X$277+X$276),X$277))</f>
        <v>0.25</v>
      </c>
      <c r="R248">
        <f>Q248*IF(B248="NA",0,((VLOOKUP(B248,SectionGeometry!C:Z,24,FALSE))))</f>
        <v>7.027084192734276E+16</v>
      </c>
      <c r="S248">
        <f>IF(R248=0,0,Q248*3.3*10^10*P248*10^6*(1/O248)*VLOOKUP(B248,SectionGeometry!C:AA,25,FALSE)*10^-3)</f>
        <v>7.6425646074007456E+16</v>
      </c>
      <c r="T248">
        <f>IF($A248="NA","NA",MEDIAN(ABS(COS(RADIANS($L248-$H248-90))),ABS(COS(RADIANS($M248-$H248-90))),ABS(COS(RADIANS($N248-$H248-90)))))</f>
        <v>0.9659258262890682</v>
      </c>
      <c r="U248">
        <f>IF(K248="N",E248*35/SIN(RADIANS(J248)),IF(K248="Y",VLOOKUP(A248,Leonard2010!D:U,18,FALSE),IF(C248="NA",VLOOKUP(A248,MSSM_AdaptedSources!B:K,10,FALSE),"CHECK")))</f>
        <v>5985.8252103715176</v>
      </c>
      <c r="V248">
        <f>(1*VLOOKUP(A248,FaultGeometry!B:C,2,FALSE))-Q248-AA248</f>
        <v>0.75</v>
      </c>
      <c r="W248">
        <f>V248*(VLOOKUP(A248,FaultGeometry!B:Y,24,FALSE))</f>
        <v>3.0127660872146637E+17</v>
      </c>
      <c r="X248">
        <f>V248*3.3*10^10*U248*10^6*(1/T248)*VLOOKUP(A248,FaultGeometry!B:O,14,FALSE)*10^-3</f>
        <v>3.1134981615901619E+17</v>
      </c>
      <c r="Y248" t="str">
        <f>IF($C248="NA","NA",MEDIAN(ABS(COS(RADIANS($L248-$I248-90))),ABS(COS(RADIANS($M248-$I248-90))),ABS(COS(RADIANS($N248-$I248-90)))))</f>
        <v>NA</v>
      </c>
      <c r="Z248" t="str">
        <f>IF(C248="NA","NA",VLOOKUP(C248,MSSM_AdaptedSources!B:K,10,FALSE))</f>
        <v>NA</v>
      </c>
      <c r="AA248" t="str">
        <f>IF(C248="NA","0",VLOOKUP(C248,MultiFaultGeometry!B:C,2,FALSE)*IF(B248="NA",X$278/(X$278+X$276),X$278))</f>
        <v>0</v>
      </c>
      <c r="AB248">
        <f>AA248*IF(C248="NA",0,VLOOKUP(C248,MultiFaultGeometry!B:O,14,FALSE))</f>
        <v>0</v>
      </c>
      <c r="AC248">
        <f>IF(AB248=0,0,AA248*3.3*10^10*Z248*10^6*(1/Y248)*VLOOKUP(C248,MultiFaultGeometry!B:G,5,FALSE)*10^-3)</f>
        <v>0</v>
      </c>
      <c r="AE248" s="68">
        <f t="shared" si="39"/>
        <v>0</v>
      </c>
      <c r="AF248" s="68">
        <f t="shared" si="41"/>
        <v>0</v>
      </c>
      <c r="AG248" s="68"/>
    </row>
    <row r="249" spans="1:33" x14ac:dyDescent="0.2">
      <c r="A249" s="68" t="str">
        <f>Leonard2010!D251</f>
        <v>Livingstone</v>
      </c>
      <c r="B249" s="68" t="str">
        <f>Leonard2010!E251</f>
        <v>Livingstone Link</v>
      </c>
      <c r="C249" s="68" t="str">
        <f>Leonard2010!F251</f>
        <v>NA</v>
      </c>
      <c r="D249">
        <f>IF(B249="NA","NA",VLOOKUP(B249,Leonard2010!E:H,3,FALSE))</f>
        <v>6.3</v>
      </c>
      <c r="E249">
        <f>IF(A249="NA","NA",VLOOKUP(A249,Leonard2010!D:I,6,FALSE))</f>
        <v>155</v>
      </c>
      <c r="F249" t="str">
        <f>IF(C249="NA","NA",VLOOKUP(C249,Leonard2010!F:K,6,FALSE))</f>
        <v>NA</v>
      </c>
      <c r="G249">
        <f>IF(B249="NA","NA",VLOOKUP(B249,Leonard2010!E:H,4,FALSE))</f>
        <v>202</v>
      </c>
      <c r="H249">
        <f>IF(A249="NA","NA",VLOOKUP(A249,Leonard2010!D:J,7,FALSE))</f>
        <v>151</v>
      </c>
      <c r="I249" t="str">
        <f>IF(C249="NA","NA",VLOOKUP(C249,Leonard2010!F:L,7,FALSE))</f>
        <v>NA</v>
      </c>
      <c r="J249">
        <f>IF(A249="NA","NA",VLOOKUP(A249,Leonard2010!D:N,11,FALSE))</f>
        <v>65</v>
      </c>
      <c r="K249" t="s">
        <v>211</v>
      </c>
      <c r="L249">
        <f>VLOOKUP(A249,Leonard2010!D:AJ,32,FALSE)</f>
        <v>61</v>
      </c>
      <c r="M249">
        <f>VLOOKUP($A249,Leonard2010!D:AK,33,FALSE)</f>
        <v>76</v>
      </c>
      <c r="N249">
        <f>VLOOKUP($A249,Leonard2010!D:AL,34,FALSE)</f>
        <v>92</v>
      </c>
      <c r="O249">
        <f t="shared" ref="O249:O272" si="46">IF($B249="NA","NA",MEDIAN(ABS(COS(RADIANS($L249-$G249-90))),ABS(COS(RADIANS($M249-$G249-90))),ABS(COS(RADIANS($N249-$G249-90)))))</f>
        <v>0.80901699437494745</v>
      </c>
      <c r="P249">
        <f t="shared" si="44"/>
        <v>243.29483113122944</v>
      </c>
      <c r="Q249">
        <f>IF(B249="NA","0",VLOOKUP(B249,SectionGeometry!C:E,3,FALSE)*IF(C249="NA",X$277/(X$277+X$276),X$277))</f>
        <v>0.25</v>
      </c>
      <c r="R249">
        <f>Q249*IF(B249="NA",0,((VLOOKUP(B249,SectionGeometry!C:Z,24,FALSE))))</f>
        <v>0</v>
      </c>
      <c r="S249">
        <f>IF(R249=0,0,Q249*3.3*10^10*P249*10^6*(1/O249)*VLOOKUP(B249,SectionGeometry!C:AA,25,FALSE)*10^-3)</f>
        <v>0</v>
      </c>
      <c r="T249">
        <f t="shared" ref="T249:T253" si="47">IF($A249="NA","NA",MEDIAN(ABS(COS(RADIANS($L249-$H249-90))),ABS(COS(RADIANS($M249-$H249-90))),ABS(COS(RADIANS($N249-$H249-90)))))</f>
        <v>0.9659258262890682</v>
      </c>
      <c r="U249">
        <f>IF(K249="N",E249*35/SIN(RADIANS(J249)),IF(K249="Y",VLOOKUP(A249,Leonard2010!D:U,18,FALSE),IF(C249="NA",VLOOKUP(A249,MSSM_AdaptedSources!B:K,10,FALSE),"CHECK")))</f>
        <v>5985.8252103715176</v>
      </c>
      <c r="V249">
        <f>(1*VLOOKUP(A249,FaultGeometry!B:C,2,FALSE))-Q249-AA249</f>
        <v>0.75</v>
      </c>
      <c r="W249">
        <f>V249*(VLOOKUP(A249,FaultGeometry!B:Y,24,FALSE))</f>
        <v>3.0127660872146637E+17</v>
      </c>
      <c r="X249">
        <f>V249*3.3*10^10*U249*10^6*(1/T249)*VLOOKUP(A249,FaultGeometry!B:O,14,FALSE)*10^-3</f>
        <v>3.1134981615901619E+17</v>
      </c>
      <c r="Y249" t="str">
        <f t="shared" ref="Y249:Y272" si="48">IF($C249="NA","NA",MEDIAN(ABS(COS(RADIANS($L249-$I249-90))),ABS(COS(RADIANS($M249-$I249-90))),ABS(COS(RADIANS($N249-$I249-90)))))</f>
        <v>NA</v>
      </c>
      <c r="Z249" t="str">
        <f>IF(C249="NA","NA",VLOOKUP(C249,MSSM_AdaptedSources!B:K,10,FALSE))</f>
        <v>NA</v>
      </c>
      <c r="AA249" t="str">
        <f>IF(C249="NA","0",VLOOKUP(C249,MultiFaultGeometry!B:C,2,FALSE)*IF(B249="NA",X$278/(X$278+X$276),X$278))</f>
        <v>0</v>
      </c>
      <c r="AB249">
        <f>AA249*IF(C249="NA",0,VLOOKUP(C249,MultiFaultGeometry!B:O,14,FALSE))</f>
        <v>0</v>
      </c>
      <c r="AC249">
        <f>IF(AB249=0,0,AA249*3.3*10^10*Z249*10^6*(1/Y249)*VLOOKUP(C249,MultiFaultGeometry!B:G,5,FALSE)*10^-3)</f>
        <v>0</v>
      </c>
      <c r="AE249" s="68">
        <f t="shared" si="39"/>
        <v>0</v>
      </c>
      <c r="AF249" s="68">
        <f t="shared" si="41"/>
        <v>0</v>
      </c>
      <c r="AG249" s="68"/>
    </row>
    <row r="250" spans="1:33" x14ac:dyDescent="0.2">
      <c r="A250" s="68" t="str">
        <f>Leonard2010!D252</f>
        <v>Livingstone</v>
      </c>
      <c r="B250" s="68" t="str">
        <f>Leonard2010!E252</f>
        <v>Livingstone South</v>
      </c>
      <c r="C250" s="68" t="str">
        <f>Leonard2010!F252</f>
        <v>NA</v>
      </c>
      <c r="D250">
        <f>IF(B250="NA","NA",VLOOKUP(B250,Leonard2010!E:H,3,FALSE))</f>
        <v>34.200000000000003</v>
      </c>
      <c r="E250">
        <f>IF(A250="NA","NA",VLOOKUP(A250,Leonard2010!D:I,6,FALSE))</f>
        <v>155</v>
      </c>
      <c r="F250" t="str">
        <f>IF(C250="NA","NA",VLOOKUP(C250,Leonard2010!F:K,6,FALSE))</f>
        <v>NA</v>
      </c>
      <c r="G250">
        <f>IF(B250="NA","NA",VLOOKUP(B250,Leonard2010!E:H,4,FALSE))</f>
        <v>174</v>
      </c>
      <c r="H250">
        <f>IF(A250="NA","NA",VLOOKUP(A250,Leonard2010!D:J,7,FALSE))</f>
        <v>151</v>
      </c>
      <c r="I250" t="str">
        <f>IF(C250="NA","NA",VLOOKUP(C250,Leonard2010!F:L,7,FALSE))</f>
        <v>NA</v>
      </c>
      <c r="J250">
        <f>IF(A250="NA","NA",VLOOKUP(A250,Leonard2010!D:N,11,FALSE))</f>
        <v>65</v>
      </c>
      <c r="K250" t="s">
        <v>211</v>
      </c>
      <c r="L250">
        <f>VLOOKUP(A250,Leonard2010!D:AJ,32,FALSE)</f>
        <v>61</v>
      </c>
      <c r="M250">
        <f>VLOOKUP($A250,Leonard2010!D:AK,33,FALSE)</f>
        <v>76</v>
      </c>
      <c r="N250">
        <f>VLOOKUP($A250,Leonard2010!D:AL,34,FALSE)</f>
        <v>92</v>
      </c>
      <c r="O250">
        <f t="shared" si="46"/>
        <v>0.99026806874157025</v>
      </c>
      <c r="P250">
        <f t="shared" si="44"/>
        <v>1320.7433689981028</v>
      </c>
      <c r="Q250">
        <f>IF(B250="NA","0",VLOOKUP(B250,SectionGeometry!C:E,3,FALSE)*IF(C250="NA",X$277/(X$277+X$276),X$277))</f>
        <v>0.25</v>
      </c>
      <c r="R250">
        <f>Q250*IF(B250="NA",0,((VLOOKUP(B250,SectionGeometry!C:Z,24,FALSE))))</f>
        <v>1.0311663490173856E+16</v>
      </c>
      <c r="S250">
        <f>IF(R250=0,0,Q250*3.3*10^10*P250*10^6*(1/O250)*VLOOKUP(B250,SectionGeometry!C:AA,25,FALSE)*10^-3)</f>
        <v>2.2864621745480576E+16</v>
      </c>
      <c r="T250">
        <f t="shared" si="47"/>
        <v>0.9659258262890682</v>
      </c>
      <c r="U250">
        <f>IF(K250="N",E250*35/SIN(RADIANS(J250)),IF(K250="Y",VLOOKUP(A250,Leonard2010!D:U,18,FALSE),IF(C250="NA",VLOOKUP(A250,MSSM_AdaptedSources!B:K,10,FALSE),"CHECK")))</f>
        <v>5985.8252103715176</v>
      </c>
      <c r="V250">
        <f>(1*VLOOKUP(A250,FaultGeometry!B:C,2,FALSE))-Q250-AA250</f>
        <v>0.75</v>
      </c>
      <c r="W250">
        <f>V250*(VLOOKUP(A250,FaultGeometry!B:Y,24,FALSE))</f>
        <v>3.0127660872146637E+17</v>
      </c>
      <c r="X250">
        <f>V250*3.3*10^10*U250*10^6*(1/T250)*VLOOKUP(A250,FaultGeometry!B:O,14,FALSE)*10^-3</f>
        <v>3.1134981615901619E+17</v>
      </c>
      <c r="Y250" t="str">
        <f t="shared" si="48"/>
        <v>NA</v>
      </c>
      <c r="Z250" t="str">
        <f>IF(C250="NA","NA",VLOOKUP(C250,MSSM_AdaptedSources!B:K,10,FALSE))</f>
        <v>NA</v>
      </c>
      <c r="AA250" t="str">
        <f>IF(C250="NA","0",VLOOKUP(C250,MultiFaultGeometry!B:C,2,FALSE)*IF(B250="NA",X$278/(X$278+X$276),X$278))</f>
        <v>0</v>
      </c>
      <c r="AB250">
        <f>AA250*IF(C250="NA",0,VLOOKUP(C250,MultiFaultGeometry!B:O,14,FALSE))</f>
        <v>0</v>
      </c>
      <c r="AC250">
        <f>IF(AB250=0,0,AA250*3.3*10^10*Z250*10^6*(1/Y250)*VLOOKUP(C250,MultiFaultGeometry!B:G,5,FALSE)*10^-3)</f>
        <v>0</v>
      </c>
      <c r="AE250" s="68">
        <f t="shared" si="39"/>
        <v>3.0127660872146637E+17</v>
      </c>
      <c r="AF250" s="68">
        <f t="shared" si="41"/>
        <v>3.1134981615901619E+17</v>
      </c>
      <c r="AG250" s="68"/>
    </row>
    <row r="251" spans="1:33" x14ac:dyDescent="0.2">
      <c r="A251" s="68" t="str">
        <f>Leonard2010!D253</f>
        <v>St Mary</v>
      </c>
      <c r="B251" s="68" t="str">
        <f>Leonard2010!E253</f>
        <v>St Mary South</v>
      </c>
      <c r="C251" s="68" t="str">
        <f>Leonard2010!F253</f>
        <v>NA</v>
      </c>
      <c r="D251">
        <f>IF(B251="NA","NA",VLOOKUP(B251,Leonard2010!E:H,3,FALSE))</f>
        <v>14.2</v>
      </c>
      <c r="E251">
        <f>IF(A251="NA","NA",VLOOKUP(A251,Leonard2010!D:I,6,FALSE))</f>
        <v>40</v>
      </c>
      <c r="F251" t="str">
        <f>IF(C251="NA","NA",VLOOKUP(C251,Leonard2010!F:K,6,FALSE))</f>
        <v>NA</v>
      </c>
      <c r="G251">
        <f>IF(B251="NA","NA",VLOOKUP(B251,Leonard2010!E:H,4,FALSE))</f>
        <v>152</v>
      </c>
      <c r="H251">
        <f>IF(A251="NA","NA",VLOOKUP(A251,Leonard2010!D:J,7,FALSE))</f>
        <v>157</v>
      </c>
      <c r="I251" t="str">
        <f>IF(C251="NA","NA",VLOOKUP(C251,Leonard2010!F:L,7,FALSE))</f>
        <v>NA</v>
      </c>
      <c r="J251">
        <f>IF(A251="NA","NA",VLOOKUP(A251,Leonard2010!D:N,11,FALSE))</f>
        <v>45</v>
      </c>
      <c r="K251" t="s">
        <v>211</v>
      </c>
      <c r="L251">
        <f>VLOOKUP(A251,Leonard2010!D:AJ,32,FALSE)</f>
        <v>61</v>
      </c>
      <c r="M251">
        <f>VLOOKUP($A251,Leonard2010!D:AK,33,FALSE)</f>
        <v>76</v>
      </c>
      <c r="N251">
        <f>VLOOKUP($A251,Leonard2010!D:AL,34,FALSE)</f>
        <v>92</v>
      </c>
      <c r="O251">
        <f t="shared" si="46"/>
        <v>0.97029572627599647</v>
      </c>
      <c r="P251">
        <f t="shared" si="44"/>
        <v>702.86414049942823</v>
      </c>
      <c r="Q251">
        <f>IF(B251="NA","0",VLOOKUP(B251,SectionGeometry!C:E,3,FALSE)*IF(C251="NA",X$277/(X$277+X$276),X$277))</f>
        <v>0.25</v>
      </c>
      <c r="R251">
        <f>Q251*IF(B251="NA",0,((VLOOKUP(B251,SectionGeometry!C:Z,24,FALSE))))</f>
        <v>229839825061509.09</v>
      </c>
      <c r="S251">
        <f>IF(R251=0,0,Q251*3.3*10^10*P251*10^6*(1/O251)*VLOOKUP(B251,SectionGeometry!C:AA,25,FALSE)*10^-3)</f>
        <v>1211514760614646.8</v>
      </c>
      <c r="T251">
        <f t="shared" si="47"/>
        <v>0.98768834059513766</v>
      </c>
      <c r="U251">
        <f>IF(K251="N",E251*35/SIN(RADIANS(J251)),IF(K251="Y",VLOOKUP(A251,Leonard2010!D:U,18,FALSE),IF(C251="NA",VLOOKUP(A251,MSSM_AdaptedSources!B:K,10,FALSE),"CHECK")))</f>
        <v>1979.8989873223331</v>
      </c>
      <c r="V251">
        <f>(1*VLOOKUP(A251,FaultGeometry!B:C,2,FALSE))-Q251-AA251</f>
        <v>0.75</v>
      </c>
      <c r="W251">
        <f>V251*(VLOOKUP(A251,FaultGeometry!B:Y,24,FALSE))</f>
        <v>4320738390988578</v>
      </c>
      <c r="X251">
        <f>V251*3.3*10^10*U251*10^6*(1/T251)*VLOOKUP(A251,FaultGeometry!B:O,14,FALSE)*10^-3</f>
        <v>1.0310574430695556E+16</v>
      </c>
      <c r="Y251" t="str">
        <f t="shared" si="48"/>
        <v>NA</v>
      </c>
      <c r="Z251" t="str">
        <f>IF(C251="NA","NA",VLOOKUP(C251,MSSM_AdaptedSources!B:K,10,FALSE))</f>
        <v>NA</v>
      </c>
      <c r="AA251" t="str">
        <f>IF(C251="NA","0",VLOOKUP(C251,MultiFaultGeometry!B:C,2,FALSE)*IF(B251="NA",X$278/(X$278+X$276),X$278))</f>
        <v>0</v>
      </c>
      <c r="AB251">
        <f>AA251*IF(C251="NA",0,VLOOKUP(C251,MultiFaultGeometry!B:O,14,FALSE))</f>
        <v>0</v>
      </c>
      <c r="AC251">
        <f>IF(AB251=0,0,AA251*3.3*10^10*Z251*10^6*(1/Y251)*VLOOKUP(C251,MultiFaultGeometry!B:G,5,FALSE)*10^-3)</f>
        <v>0</v>
      </c>
      <c r="AE251" s="68">
        <f t="shared" si="39"/>
        <v>0</v>
      </c>
      <c r="AF251" s="68">
        <f t="shared" si="41"/>
        <v>0</v>
      </c>
      <c r="AG251" s="68"/>
    </row>
    <row r="252" spans="1:33" x14ac:dyDescent="0.2">
      <c r="A252" s="68" t="str">
        <f>Leonard2010!D254</f>
        <v>St Mary</v>
      </c>
      <c r="B252" s="68" t="str">
        <f>Leonard2010!E254</f>
        <v>St Mary Central</v>
      </c>
      <c r="C252" s="68" t="str">
        <f>Leonard2010!F254</f>
        <v>NA</v>
      </c>
      <c r="D252">
        <f>IF(B252="NA","NA",VLOOKUP(B252,Leonard2010!E:H,3,FALSE))</f>
        <v>4.8</v>
      </c>
      <c r="E252">
        <f>IF(A252="NA","NA",VLOOKUP(A252,Leonard2010!D:I,6,FALSE))</f>
        <v>40</v>
      </c>
      <c r="F252" t="str">
        <f>IF(C252="NA","NA",VLOOKUP(C252,Leonard2010!F:K,6,FALSE))</f>
        <v>NA</v>
      </c>
      <c r="G252">
        <f>IF(B252="NA","NA",VLOOKUP(B252,Leonard2010!E:H,4,FALSE))</f>
        <v>156</v>
      </c>
      <c r="H252">
        <f>IF(A252="NA","NA",VLOOKUP(A252,Leonard2010!D:J,7,FALSE))</f>
        <v>157</v>
      </c>
      <c r="I252" t="str">
        <f>IF(C252="NA","NA",VLOOKUP(C252,Leonard2010!F:L,7,FALSE))</f>
        <v>NA</v>
      </c>
      <c r="J252">
        <f>IF(A252="NA","NA",VLOOKUP(A252,Leonard2010!D:N,11,FALSE))</f>
        <v>45</v>
      </c>
      <c r="K252" t="s">
        <v>211</v>
      </c>
      <c r="L252">
        <f>VLOOKUP(A252,Leonard2010!D:AJ,32,FALSE)</f>
        <v>61</v>
      </c>
      <c r="M252">
        <f>VLOOKUP($A252,Leonard2010!D:AK,33,FALSE)</f>
        <v>76</v>
      </c>
      <c r="N252">
        <f>VLOOKUP($A252,Leonard2010!D:AL,34,FALSE)</f>
        <v>92</v>
      </c>
      <c r="O252">
        <f t="shared" si="46"/>
        <v>0.98480775301220802</v>
      </c>
      <c r="P252">
        <f t="shared" si="44"/>
        <v>237.58787847867995</v>
      </c>
      <c r="Q252">
        <f>IF(B252="NA","0",VLOOKUP(B252,SectionGeometry!C:E,3,FALSE)*IF(C252="NA",X$277/(X$277+X$276),X$277))</f>
        <v>0.25</v>
      </c>
      <c r="R252">
        <f>Q252*IF(B252="NA",0,((VLOOKUP(B252,SectionGeometry!C:Z,24,FALSE))))</f>
        <v>37298888553688.633</v>
      </c>
      <c r="S252">
        <f>IF(R252=0,0,Q252*3.3*10^10*P252*10^6*(1/O252)*VLOOKUP(B252,SectionGeometry!C:AA,25,FALSE)*10^-3)</f>
        <v>403634899316478.5</v>
      </c>
      <c r="T252">
        <f t="shared" si="47"/>
        <v>0.98768834059513766</v>
      </c>
      <c r="U252">
        <f>IF(K252="N",E252*35/SIN(RADIANS(J252)),IF(K252="Y",VLOOKUP(A252,Leonard2010!D:U,18,FALSE),IF(C252="NA",VLOOKUP(A252,MSSM_AdaptedSources!B:K,10,FALSE),"CHECK")))</f>
        <v>1979.8989873223331</v>
      </c>
      <c r="V252">
        <f>(1*VLOOKUP(A252,FaultGeometry!B:C,2,FALSE))-Q252-AA252</f>
        <v>0.75</v>
      </c>
      <c r="W252">
        <f>V252*(VLOOKUP(A252,FaultGeometry!B:Y,24,FALSE))</f>
        <v>4320738390988578</v>
      </c>
      <c r="X252">
        <f>V252*3.3*10^10*U252*10^6*(1/T252)*VLOOKUP(A252,FaultGeometry!B:O,14,FALSE)*10^-3</f>
        <v>1.0310574430695556E+16</v>
      </c>
      <c r="Y252" t="str">
        <f t="shared" si="48"/>
        <v>NA</v>
      </c>
      <c r="Z252" t="str">
        <f>IF(C252="NA","NA",VLOOKUP(C252,MSSM_AdaptedSources!B:K,10,FALSE))</f>
        <v>NA</v>
      </c>
      <c r="AA252" t="str">
        <f>IF(C252="NA","0",VLOOKUP(C252,MultiFaultGeometry!B:C,2,FALSE)*IF(B252="NA",X$278/(X$278+X$276),X$278))</f>
        <v>0</v>
      </c>
      <c r="AB252">
        <f>AA252*IF(C252="NA",0,VLOOKUP(C252,MultiFaultGeometry!B:O,14,FALSE))</f>
        <v>0</v>
      </c>
      <c r="AC252">
        <f>IF(AB252=0,0,AA252*3.3*10^10*Z252*10^6*(1/Y252)*VLOOKUP(C252,MultiFaultGeometry!B:G,5,FALSE)*10^-3)</f>
        <v>0</v>
      </c>
      <c r="AE252" s="68">
        <f t="shared" si="39"/>
        <v>0</v>
      </c>
      <c r="AF252" s="68">
        <f t="shared" si="41"/>
        <v>0</v>
      </c>
      <c r="AG252" s="68"/>
    </row>
    <row r="253" spans="1:33" x14ac:dyDescent="0.2">
      <c r="A253" s="68" t="str">
        <f>Leonard2010!D255</f>
        <v>St Mary</v>
      </c>
      <c r="B253" s="68" t="str">
        <f>Leonard2010!E255</f>
        <v>St Mary North</v>
      </c>
      <c r="C253" s="68" t="str">
        <f>Leonard2010!F255</f>
        <v>NA</v>
      </c>
      <c r="D253">
        <f>IF(B253="NA","NA",VLOOKUP(B253,Leonard2010!E:H,3,FALSE))</f>
        <v>21</v>
      </c>
      <c r="E253">
        <f>IF(A253="NA","NA",VLOOKUP(A253,Leonard2010!D:I,6,FALSE))</f>
        <v>40</v>
      </c>
      <c r="F253" t="str">
        <f>IF(C253="NA","NA",VLOOKUP(C253,Leonard2010!F:K,6,FALSE))</f>
        <v>NA</v>
      </c>
      <c r="G253">
        <f>IF(B253="NA","NA",VLOOKUP(B253,Leonard2010!E:H,4,FALSE))</f>
        <v>161</v>
      </c>
      <c r="H253">
        <f>IF(A253="NA","NA",VLOOKUP(A253,Leonard2010!D:J,7,FALSE))</f>
        <v>157</v>
      </c>
      <c r="I253" t="str">
        <f>IF(C253="NA","NA",VLOOKUP(C253,Leonard2010!F:L,7,FALSE))</f>
        <v>NA</v>
      </c>
      <c r="J253">
        <f>IF(A253="NA","NA",VLOOKUP(A253,Leonard2010!D:N,11,FALSE))</f>
        <v>45</v>
      </c>
      <c r="K253" t="s">
        <v>211</v>
      </c>
      <c r="L253">
        <f>VLOOKUP(A253,Leonard2010!D:AJ,32,FALSE)</f>
        <v>61</v>
      </c>
      <c r="M253">
        <f>VLOOKUP($A253,Leonard2010!D:AK,33,FALSE)</f>
        <v>76</v>
      </c>
      <c r="N253">
        <f>VLOOKUP($A253,Leonard2010!D:AL,34,FALSE)</f>
        <v>92</v>
      </c>
      <c r="O253">
        <f t="shared" si="46"/>
        <v>0.98480775301220802</v>
      </c>
      <c r="P253">
        <f t="shared" si="44"/>
        <v>1039.4469683442248</v>
      </c>
      <c r="Q253">
        <f>IF(B253="NA","0",VLOOKUP(B253,SectionGeometry!C:E,3,FALSE)*IF(C253="NA",X$277/(X$277+X$276),X$277))</f>
        <v>0.25</v>
      </c>
      <c r="R253">
        <f>Q253*IF(B253="NA",0,((VLOOKUP(B253,SectionGeometry!C:Z,24,FALSE))))</f>
        <v>448870984333471.31</v>
      </c>
      <c r="S253">
        <f>IF(R253=0,0,Q253*3.3*10^10*P253*10^6*(1/O253)*VLOOKUP(B253,SectionGeometry!C:AA,25,FALSE)*10^-3)</f>
        <v>1808287955870926</v>
      </c>
      <c r="T253">
        <f t="shared" si="47"/>
        <v>0.98768834059513766</v>
      </c>
      <c r="U253">
        <f>IF(K253="N",E253*35/SIN(RADIANS(J253)),IF(K253="Y",VLOOKUP(A253,Leonard2010!D:U,18,FALSE),IF(C253="NA",VLOOKUP(A253,MSSM_AdaptedSources!B:K,10,FALSE),"CHECK")))</f>
        <v>1979.8989873223331</v>
      </c>
      <c r="V253">
        <f>(1*VLOOKUP(A253,FaultGeometry!B:C,2,FALSE))-Q253-AA253</f>
        <v>0.75</v>
      </c>
      <c r="W253">
        <f>V253*(VLOOKUP(A253,FaultGeometry!B:Y,24,FALSE))</f>
        <v>4320738390988578</v>
      </c>
      <c r="X253">
        <f>V253*3.3*10^10*U253*10^6*(1/T253)*VLOOKUP(A253,FaultGeometry!B:O,14,FALSE)*10^-3</f>
        <v>1.0310574430695556E+16</v>
      </c>
      <c r="Y253" t="str">
        <f t="shared" si="48"/>
        <v>NA</v>
      </c>
      <c r="Z253" t="str">
        <f>IF(C253="NA","NA",VLOOKUP(C253,MSSM_AdaptedSources!B:K,10,FALSE))</f>
        <v>NA</v>
      </c>
      <c r="AA253" t="str">
        <f>IF(C253="NA","0",VLOOKUP(C253,MultiFaultGeometry!B:C,2,FALSE)*IF(B253="NA",X$278/(X$278+X$276),X$278))</f>
        <v>0</v>
      </c>
      <c r="AB253">
        <f>AA253*IF(C253="NA",0,VLOOKUP(C253,MultiFaultGeometry!B:O,14,FALSE))</f>
        <v>0</v>
      </c>
      <c r="AC253">
        <f>IF(AB253=0,0,AA253*3.3*10^10*Z253*10^6*(1/Y253)*VLOOKUP(C253,MultiFaultGeometry!B:G,5,FALSE)*10^-3)</f>
        <v>0</v>
      </c>
      <c r="AE253" s="68">
        <f t="shared" si="39"/>
        <v>4320738390988578</v>
      </c>
      <c r="AF253" s="68">
        <f t="shared" si="41"/>
        <v>1.0310574430695556E+16</v>
      </c>
      <c r="AG253" s="68"/>
    </row>
    <row r="254" spans="1:33" x14ac:dyDescent="0.2">
      <c r="A254" s="68" t="str">
        <f>Leonard2010!D256</f>
        <v>North Basin Fault 1</v>
      </c>
      <c r="B254" s="68" t="str">
        <f>Leonard2010!E256</f>
        <v>NA</v>
      </c>
      <c r="C254" s="68" t="str">
        <f>Leonard2010!F256</f>
        <v>North Basin Fault 1-2-8</v>
      </c>
      <c r="D254" t="str">
        <f>IF(B254="NA","NA",VLOOKUP(B254,Leonard2010!E:H,3,FALSE))</f>
        <v>NA</v>
      </c>
      <c r="E254">
        <f>IF(A254="NA","NA",VLOOKUP(A254,Leonard2010!D:I,6,FALSE))</f>
        <v>21.7</v>
      </c>
      <c r="F254">
        <f>IF(C254="NA","NA",VLOOKUP(C254,Leonard2010!F:K,6,FALSE))</f>
        <v>69.599999999999994</v>
      </c>
      <c r="G254" t="str">
        <f>IF(B254="NA","NA",VLOOKUP(B254,Leonard2010!E:H,4,FALSE))</f>
        <v>NA</v>
      </c>
      <c r="H254">
        <f>IF(A254="NA","NA",VLOOKUP(A254,Leonard2010!D:J,7,FALSE))</f>
        <v>163</v>
      </c>
      <c r="I254">
        <f>IF(C254="NA","NA",VLOOKUP(C254,Leonard2010!F:L,7,FALSE))</f>
        <v>154</v>
      </c>
      <c r="J254">
        <f>IF(A254="NA","NA",VLOOKUP(A254,Leonard2010!D:N,11,FALSE))</f>
        <v>53</v>
      </c>
      <c r="K254" t="s">
        <v>211</v>
      </c>
      <c r="L254">
        <f>VLOOKUP(A254,Leonard2010!D:AJ,32,FALSE)</f>
        <v>61</v>
      </c>
      <c r="M254">
        <f>VLOOKUP($A254,Leonard2010!D:AK,33,FALSE)</f>
        <v>76</v>
      </c>
      <c r="N254">
        <f>VLOOKUP($A254,Leonard2010!D:AL,34,FALSE)</f>
        <v>92</v>
      </c>
      <c r="O254" t="str">
        <f t="shared" si="46"/>
        <v>NA</v>
      </c>
      <c r="P254" t="str">
        <f t="shared" si="44"/>
        <v>NA</v>
      </c>
      <c r="Q254" t="str">
        <f>IF(B254="NA","0",VLOOKUP(B254,SectionGeometry!C:E,3,FALSE)*IF(C254="NA",X$277/(X$277+X$276),X$277))</f>
        <v>0</v>
      </c>
      <c r="R254">
        <f>Q254*IF(B254="NA",0,((VLOOKUP(B254,SectionGeometry!C:Z,24,FALSE))))</f>
        <v>0</v>
      </c>
      <c r="S254">
        <f>IF(R254=0,0,Q254*3.3*10^10*P254*10^6*(1/O254)*VLOOKUP(B254,SectionGeometry!C:AA,25,FALSE)*10^-3)</f>
        <v>0</v>
      </c>
      <c r="T254">
        <v>1</v>
      </c>
      <c r="U254">
        <f>IF(K254="N",E254*35/SIN(RADIANS(J254)),IF(K254="Y",VLOOKUP(A254,Leonard2010!D:U,18,FALSE),IF(C254="NA",VLOOKUP(A254,MSSM_AdaptedSources!B:K,10,FALSE),"CHECK")))</f>
        <v>950.99703236965343</v>
      </c>
      <c r="V254">
        <f>(1*VLOOKUP(A254,FaultGeometry!B:C,2,FALSE))-Q254-AA254</f>
        <v>0.33333333333333326</v>
      </c>
      <c r="W254">
        <f>V254*(VLOOKUP(A254,FaultGeometry!B:Y,24,FALSE))</f>
        <v>1596745275700903.8</v>
      </c>
      <c r="X254">
        <f>V254*3.3*10^10*U254*10^6*(1/T254)*VLOOKUP(A254,FaultGeometry!B:O,14,FALSE)*10^-3</f>
        <v>4936409469020196</v>
      </c>
      <c r="Y254">
        <f t="shared" si="48"/>
        <v>0.97814760073380569</v>
      </c>
      <c r="Z254">
        <f>IF(C254="NA","NA",VLOOKUP(C254,MSSM_AdaptedSources!B:K,10,FALSE))</f>
        <v>3006.6281423647292</v>
      </c>
      <c r="AA254">
        <f>IF(C254="NA","0",VLOOKUP(C254,MultiFaultGeometry!B:C,2,FALSE)*IF(B254="NA",X$278/(X$278+X$276),X$278))</f>
        <v>0.66666666666666674</v>
      </c>
      <c r="AB254">
        <f>AA254*IF(C254="NA",0,VLOOKUP(C254,MultiFaultGeometry!B:O,14,FALSE))</f>
        <v>1.7370966986070418E+16</v>
      </c>
      <c r="AC254">
        <f>IF(AB254=0,0,AA254*3.3*10^10*Z254*10^6*(1/Y254)*VLOOKUP(C254,MultiFaultGeometry!B:G,5,FALSE)*10^-3)</f>
        <v>2.515794078968712E+16</v>
      </c>
      <c r="AE254" s="68">
        <f t="shared" si="39"/>
        <v>1596745275700903.8</v>
      </c>
      <c r="AF254" s="68">
        <f t="shared" si="41"/>
        <v>4936409469020196</v>
      </c>
      <c r="AG254" s="68"/>
    </row>
    <row r="255" spans="1:33" x14ac:dyDescent="0.2">
      <c r="A255" s="68" t="str">
        <f>Leonard2010!D257</f>
        <v>North Basin Fault 2</v>
      </c>
      <c r="B255" s="68" t="str">
        <f>Leonard2010!E257</f>
        <v>NA</v>
      </c>
      <c r="C255" s="68" t="str">
        <f>Leonard2010!F257</f>
        <v>North Basin Fault 1-2-8</v>
      </c>
      <c r="D255" t="str">
        <f>IF(B255="NA","NA",VLOOKUP(B255,Leonard2010!E:H,3,FALSE))</f>
        <v>NA</v>
      </c>
      <c r="E255">
        <f>IF(A255="NA","NA",VLOOKUP(A255,Leonard2010!D:I,6,FALSE))</f>
        <v>22.7</v>
      </c>
      <c r="F255">
        <f>IF(C255="NA","NA",VLOOKUP(C255,Leonard2010!F:K,6,FALSE))</f>
        <v>69.599999999999994</v>
      </c>
      <c r="G255" t="str">
        <f>IF(B255="NA","NA",VLOOKUP(B255,Leonard2010!E:H,4,FALSE))</f>
        <v>NA</v>
      </c>
      <c r="H255">
        <f>IF(A255="NA","NA",VLOOKUP(A255,Leonard2010!D:J,7,FALSE))</f>
        <v>169</v>
      </c>
      <c r="I255">
        <f>IF(C255="NA","NA",VLOOKUP(C255,Leonard2010!F:L,7,FALSE))</f>
        <v>154</v>
      </c>
      <c r="J255">
        <f>IF(A255="NA","NA",VLOOKUP(A255,Leonard2010!D:N,11,FALSE))</f>
        <v>53</v>
      </c>
      <c r="K255" t="s">
        <v>211</v>
      </c>
      <c r="L255">
        <f>VLOOKUP(A255,Leonard2010!D:AJ,32,FALSE)</f>
        <v>61</v>
      </c>
      <c r="M255">
        <f>VLOOKUP($A255,Leonard2010!D:AK,33,FALSE)</f>
        <v>76</v>
      </c>
      <c r="N255">
        <f>VLOOKUP($A255,Leonard2010!D:AL,34,FALSE)</f>
        <v>92</v>
      </c>
      <c r="O255" t="str">
        <f t="shared" si="46"/>
        <v>NA</v>
      </c>
      <c r="P255" t="str">
        <f t="shared" si="44"/>
        <v>NA</v>
      </c>
      <c r="Q255" t="str">
        <f>IF(B255="NA","0",VLOOKUP(B255,SectionGeometry!C:E,3,FALSE)*IF(C255="NA",X$277/(X$277+X$276),X$277))</f>
        <v>0</v>
      </c>
      <c r="R255">
        <f>Q255*IF(B255="NA",0,((VLOOKUP(B255,SectionGeometry!C:Z,24,FALSE))))</f>
        <v>0</v>
      </c>
      <c r="S255">
        <f>IF(R255=0,0,Q255*3.3*10^10*P255*10^6*(1/O255)*VLOOKUP(B255,SectionGeometry!C:AA,25,FALSE)*10^-3)</f>
        <v>0</v>
      </c>
      <c r="T255">
        <v>1</v>
      </c>
      <c r="U255">
        <f>IF(K255="N",E255*35/SIN(RADIANS(J255)),IF(K255="Y",VLOOKUP(A255,Leonard2010!D:U,18,FALSE),IF(C255="NA",VLOOKUP(A255,MSSM_AdaptedSources!B:K,10,FALSE),"CHECK")))</f>
        <v>994.82178040512133</v>
      </c>
      <c r="V255">
        <f>(1*VLOOKUP(A255,FaultGeometry!B:C,2,FALSE))-Q255-AA255</f>
        <v>0.33333333333333326</v>
      </c>
      <c r="W255">
        <f>V255*(VLOOKUP(A255,FaultGeometry!B:Y,24,FALSE))</f>
        <v>996808216264912</v>
      </c>
      <c r="X255">
        <f>V255*3.3*10^10*U255*10^6*(1/T255)*VLOOKUP(A255,FaultGeometry!B:O,14,FALSE)*10^-3</f>
        <v>2992217629709084.5</v>
      </c>
      <c r="Y255">
        <f t="shared" si="48"/>
        <v>0.97814760073380569</v>
      </c>
      <c r="Z255">
        <f>IF(C255="NA","NA",VLOOKUP(C255,MSSM_AdaptedSources!B:K,10,FALSE))</f>
        <v>3006.6281423647292</v>
      </c>
      <c r="AA255">
        <f>IF(C255="NA","0",VLOOKUP(C255,MultiFaultGeometry!B:C,2,FALSE)*IF(B255="NA",X$278/(X$278+X$276),X$278))</f>
        <v>0.66666666666666674</v>
      </c>
      <c r="AB255">
        <f>AA255*IF(C255="NA",0,VLOOKUP(C255,MultiFaultGeometry!B:O,14,FALSE))</f>
        <v>1.7370966986070418E+16</v>
      </c>
      <c r="AC255">
        <f>IF(AB255=0,0,AA255*3.3*10^10*Z255*10^6*(1/Y255)*VLOOKUP(C255,MultiFaultGeometry!B:G,5,FALSE)*10^-3)</f>
        <v>2.515794078968712E+16</v>
      </c>
      <c r="AE255" s="68">
        <f t="shared" si="39"/>
        <v>996808216264912</v>
      </c>
      <c r="AF255" s="68">
        <f t="shared" si="41"/>
        <v>2992217629709084.5</v>
      </c>
      <c r="AG255" s="68"/>
    </row>
    <row r="256" spans="1:33" x14ac:dyDescent="0.2">
      <c r="A256" s="68" t="str">
        <f>Leonard2010!D258</f>
        <v>North Basin Fault 8</v>
      </c>
      <c r="B256" s="68" t="str">
        <f>Leonard2010!E258</f>
        <v>NA</v>
      </c>
      <c r="C256" s="68" t="str">
        <f>Leonard2010!F258</f>
        <v>North Basin Fault 1-2-8</v>
      </c>
      <c r="D256" t="str">
        <f>IF(B256="NA","NA",VLOOKUP(B256,Leonard2010!E:H,3,FALSE))</f>
        <v>NA</v>
      </c>
      <c r="E256">
        <f>IF(A256="NA","NA",VLOOKUP(A256,Leonard2010!D:I,6,FALSE))</f>
        <v>25.2</v>
      </c>
      <c r="F256">
        <f>IF(C256="NA","NA",VLOOKUP(C256,Leonard2010!F:K,6,FALSE))</f>
        <v>69.599999999999994</v>
      </c>
      <c r="G256" t="str">
        <f>IF(B256="NA","NA",VLOOKUP(B256,Leonard2010!E:H,4,FALSE))</f>
        <v>NA</v>
      </c>
      <c r="H256">
        <f>IF(A256="NA","NA",VLOOKUP(A256,Leonard2010!D:J,7,FALSE))</f>
        <v>155</v>
      </c>
      <c r="I256">
        <f>IF(C256="NA","NA",VLOOKUP(C256,Leonard2010!F:L,7,FALSE))</f>
        <v>154</v>
      </c>
      <c r="J256">
        <f>IF(A256="NA","NA",VLOOKUP(A256,Leonard2010!D:N,11,FALSE))</f>
        <v>53</v>
      </c>
      <c r="K256" t="s">
        <v>211</v>
      </c>
      <c r="L256">
        <f>VLOOKUP(A256,Leonard2010!D:AJ,32,FALSE)</f>
        <v>61</v>
      </c>
      <c r="M256">
        <f>VLOOKUP($A256,Leonard2010!D:AK,33,FALSE)</f>
        <v>76</v>
      </c>
      <c r="N256">
        <f>VLOOKUP($A256,Leonard2010!D:AL,34,FALSE)</f>
        <v>92</v>
      </c>
      <c r="O256" t="str">
        <f t="shared" si="46"/>
        <v>NA</v>
      </c>
      <c r="P256" t="str">
        <f t="shared" si="44"/>
        <v>NA</v>
      </c>
      <c r="Q256" t="str">
        <f>IF(B256="NA","0",VLOOKUP(B256,SectionGeometry!C:E,3,FALSE)*IF(C256="NA",X$277/(X$277+X$276),X$277))</f>
        <v>0</v>
      </c>
      <c r="R256">
        <f>Q256*IF(B256="NA",0,((VLOOKUP(B256,SectionGeometry!C:Z,24,FALSE))))</f>
        <v>0</v>
      </c>
      <c r="S256">
        <f>IF(R256=0,0,Q256*3.3*10^10*P256*10^6*(1/O256)*VLOOKUP(B256,SectionGeometry!C:AA,25,FALSE)*10^-3)</f>
        <v>0</v>
      </c>
      <c r="T256">
        <v>1</v>
      </c>
      <c r="U256">
        <f>IF(K256="N",E256*35/SIN(RADIANS(J256)),IF(K256="Y",VLOOKUP(A256,Leonard2010!D:U,18,FALSE),IF(C256="NA",VLOOKUP(A256,MSSM_AdaptedSources!B:K,10,FALSE),"CHECK")))</f>
        <v>1104.383650493791</v>
      </c>
      <c r="V256">
        <f>(1*VLOOKUP(A256,FaultGeometry!B:C,2,FALSE))-Q256-AA256</f>
        <v>0.33333333333333326</v>
      </c>
      <c r="W256">
        <f>V256*(VLOOKUP(A256,FaultGeometry!B:Y,24,FALSE))</f>
        <v>1636300377263104.8</v>
      </c>
      <c r="X256">
        <f>V256*3.3*10^10*U256*10^6*(1/T256)*VLOOKUP(A256,FaultGeometry!B:O,14,FALSE)*10^-3</f>
        <v>4614433136421658</v>
      </c>
      <c r="Y256">
        <f t="shared" si="48"/>
        <v>0.97814760073380569</v>
      </c>
      <c r="Z256">
        <f>IF(C256="NA","NA",VLOOKUP(C256,MSSM_AdaptedSources!B:K,10,FALSE))</f>
        <v>3006.6281423647292</v>
      </c>
      <c r="AA256">
        <f>IF(C256="NA","0",VLOOKUP(C256,MultiFaultGeometry!B:C,2,FALSE)*IF(B256="NA",X$278/(X$278+X$276),X$278))</f>
        <v>0.66666666666666674</v>
      </c>
      <c r="AB256">
        <f>AA256*IF(C256="NA",0,VLOOKUP(C256,MultiFaultGeometry!B:O,14,FALSE))</f>
        <v>1.7370966986070418E+16</v>
      </c>
      <c r="AC256">
        <f>IF(AB256=0,0,AA256*3.3*10^10*Z256*10^6*(1/Y256)*VLOOKUP(C256,MultiFaultGeometry!B:G,5,FALSE)*10^-3)</f>
        <v>2.515794078968712E+16</v>
      </c>
      <c r="AE256" s="68">
        <f t="shared" si="39"/>
        <v>1636300377263104.8</v>
      </c>
      <c r="AF256" s="68">
        <f t="shared" si="41"/>
        <v>4614433136421658</v>
      </c>
      <c r="AG256" s="68"/>
    </row>
    <row r="257" spans="1:33" x14ac:dyDescent="0.2">
      <c r="A257" s="68" t="str">
        <f>Leonard2010!D259</f>
        <v>North Basin Fault 9a</v>
      </c>
      <c r="B257" s="68" t="str">
        <f>Leonard2010!E259</f>
        <v>North Basin Fault 9a North</v>
      </c>
      <c r="C257" s="68" t="str">
        <f>Leonard2010!F259</f>
        <v>North Basin Fault 9a-14a</v>
      </c>
      <c r="D257">
        <f>IF(B257="NA","NA",VLOOKUP(B257,Leonard2010!E:H,3,FALSE))</f>
        <v>8.8000000000000007</v>
      </c>
      <c r="E257">
        <f>IF(A257="NA","NA",VLOOKUP(A257,Leonard2010!D:I,6,FALSE))</f>
        <v>45.099999999999994</v>
      </c>
      <c r="F257">
        <f>IF(C257="NA","NA",VLOOKUP(C257,Leonard2010!F:K,6,FALSE))</f>
        <v>93.899999999999991</v>
      </c>
      <c r="G257">
        <f>IF(B257="NA","NA",VLOOKUP(B257,Leonard2010!E:H,4,FALSE))</f>
        <v>139</v>
      </c>
      <c r="H257">
        <f>IF(A257="NA","NA",VLOOKUP(A257,Leonard2010!D:J,7,FALSE))</f>
        <v>166</v>
      </c>
      <c r="I257">
        <f>IF(C257="NA","NA",VLOOKUP(C257,Leonard2010!F:L,7,FALSE))</f>
        <v>150</v>
      </c>
      <c r="J257">
        <f>IF(A257="NA","NA",VLOOKUP(A257,Leonard2010!D:N,11,FALSE))</f>
        <v>53</v>
      </c>
      <c r="K257" t="s">
        <v>211</v>
      </c>
      <c r="L257">
        <f>VLOOKUP(A257,Leonard2010!D:AJ,32,FALSE)</f>
        <v>61</v>
      </c>
      <c r="M257">
        <f>VLOOKUP($A257,Leonard2010!D:AK,33,FALSE)</f>
        <v>76</v>
      </c>
      <c r="N257">
        <f>VLOOKUP($A257,Leonard2010!D:AL,34,FALSE)</f>
        <v>92</v>
      </c>
      <c r="O257">
        <f t="shared" si="46"/>
        <v>0.89100652418836779</v>
      </c>
      <c r="P257">
        <f t="shared" si="44"/>
        <v>385.65778271211752</v>
      </c>
      <c r="Q257">
        <f>IF(B257="NA","0",VLOOKUP(B257,SectionGeometry!C:E,3,FALSE)*IF(C257="NA",X$277/(X$277+X$276),X$277))</f>
        <v>0.05</v>
      </c>
      <c r="R257">
        <f>Q257*IF(B257="NA",0,((VLOOKUP(B257,SectionGeometry!C:Z,24,FALSE))))</f>
        <v>22729778090570</v>
      </c>
      <c r="S257">
        <f>IF(R257=0,0,Q257*3.3*10^10*P257*10^6*(1/O257)*VLOOKUP(B257,SectionGeometry!C:AA,25,FALSE)*10^-3)</f>
        <v>318900291155094</v>
      </c>
      <c r="T257">
        <v>1</v>
      </c>
      <c r="U257">
        <f>IF(K257="N",E257*35/SIN(RADIANS(J257)),IF(K257="Y",VLOOKUP(A257,Leonard2010!D:U,18,FALSE),IF(C257="NA",VLOOKUP(A257,MSSM_AdaptedSources!B:K,10,FALSE),"CHECK")))</f>
        <v>1976.4961363996019</v>
      </c>
      <c r="V257">
        <f>(1*VLOOKUP(A257,FaultGeometry!B:C,2,FALSE))-Q257-AA257</f>
        <v>0.15000000000000002</v>
      </c>
      <c r="W257">
        <f>V257*(VLOOKUP(A257,FaultGeometry!B:Y,24,FALSE))</f>
        <v>1122003829823238.9</v>
      </c>
      <c r="X257">
        <f>V257*3.3*10^10*U257*10^6*(1/T257)*VLOOKUP(A257,FaultGeometry!B:O,14,FALSE)*10^-3</f>
        <v>4338807536456686</v>
      </c>
      <c r="Y257">
        <f t="shared" si="48"/>
        <v>0.96126169593831889</v>
      </c>
      <c r="Z257">
        <f>IF(C257="NA","NA",VLOOKUP(C257,MSSM_AdaptedSources!B:K,10,FALSE))</f>
        <v>4056.3560713800007</v>
      </c>
      <c r="AA257">
        <f>IF(C257="NA","0",VLOOKUP(C257,MultiFaultGeometry!B:C,2,FALSE)*IF(B257="NA",X$278/(X$278+X$276),X$278))</f>
        <v>0.3</v>
      </c>
      <c r="AB257">
        <f>AA257*IF(C257="NA",0,VLOOKUP(C257,MultiFaultGeometry!B:O,14,FALSE))</f>
        <v>6762681782198598</v>
      </c>
      <c r="AC257">
        <f>IF(AB257=0,0,AA257*3.3*10^10*Z257*10^6*(1/Y257)*VLOOKUP(C257,MultiFaultGeometry!B:G,5,FALSE)*10^-3)</f>
        <v>1.6259399167070816E+16</v>
      </c>
      <c r="AE257" s="68">
        <f t="shared" si="39"/>
        <v>0</v>
      </c>
      <c r="AF257" s="68">
        <f t="shared" si="41"/>
        <v>0</v>
      </c>
      <c r="AG257" s="68"/>
    </row>
    <row r="258" spans="1:33" x14ac:dyDescent="0.2">
      <c r="A258" s="68" t="str">
        <f>Leonard2010!D260</f>
        <v>North Basin Fault 9a</v>
      </c>
      <c r="B258" s="68" t="str">
        <f>Leonard2010!E260</f>
        <v>North Basin Fault 9a South</v>
      </c>
      <c r="C258" s="68" t="str">
        <f>Leonard2010!F260</f>
        <v>North Basin Fault 9a-14a</v>
      </c>
      <c r="D258">
        <f>IF(B258="NA","NA",VLOOKUP(B258,Leonard2010!E:H,3,FALSE))</f>
        <v>36.299999999999997</v>
      </c>
      <c r="E258">
        <f>IF(A258="NA","NA",VLOOKUP(A258,Leonard2010!D:I,6,FALSE))</f>
        <v>45.099999999999994</v>
      </c>
      <c r="F258">
        <f>IF(C258="NA","NA",VLOOKUP(C258,Leonard2010!F:K,6,FALSE))</f>
        <v>93.899999999999991</v>
      </c>
      <c r="G258">
        <f>IF(B258="NA","NA",VLOOKUP(B258,Leonard2010!E:H,4,FALSE))</f>
        <v>172</v>
      </c>
      <c r="H258">
        <f>IF(A258="NA","NA",VLOOKUP(A258,Leonard2010!D:J,7,FALSE))</f>
        <v>166</v>
      </c>
      <c r="I258">
        <f>IF(C258="NA","NA",VLOOKUP(C258,Leonard2010!F:L,7,FALSE))</f>
        <v>150</v>
      </c>
      <c r="J258">
        <f>IF(A258="NA","NA",VLOOKUP(A258,Leonard2010!D:N,11,FALSE))</f>
        <v>53</v>
      </c>
      <c r="K258" t="s">
        <v>211</v>
      </c>
      <c r="L258">
        <f>VLOOKUP(A258,Leonard2010!D:AJ,32,FALSE)</f>
        <v>61</v>
      </c>
      <c r="M258">
        <f>VLOOKUP($A258,Leonard2010!D:AK,33,FALSE)</f>
        <v>76</v>
      </c>
      <c r="N258">
        <f>VLOOKUP($A258,Leonard2010!D:AL,34,FALSE)</f>
        <v>92</v>
      </c>
      <c r="O258">
        <f t="shared" si="46"/>
        <v>0.98480775301220802</v>
      </c>
      <c r="P258">
        <f t="shared" si="44"/>
        <v>1590.8383536874846</v>
      </c>
      <c r="Q258">
        <f>IF(B258="NA","0",VLOOKUP(B258,SectionGeometry!C:E,3,FALSE)*IF(C258="NA",X$277/(X$277+X$276),X$277))</f>
        <v>0.05</v>
      </c>
      <c r="R258">
        <f>Q258*IF(B258="NA",0,((VLOOKUP(B258,SectionGeometry!C:Z,24,FALSE))))</f>
        <v>243929976497297.66</v>
      </c>
      <c r="S258">
        <f>IF(R258=0,0,Q258*3.3*10^10*P258*10^6*(1/O258)*VLOOKUP(B258,SectionGeometry!C:AA,25,FALSE)*10^-3)</f>
        <v>1189058859005027.8</v>
      </c>
      <c r="T258">
        <v>1</v>
      </c>
      <c r="U258">
        <f>IF(K258="N",E258*35/SIN(RADIANS(J258)),IF(K258="Y",VLOOKUP(A258,Leonard2010!D:U,18,FALSE),IF(C258="NA",VLOOKUP(A258,MSSM_AdaptedSources!B:K,10,FALSE),"CHECK")))</f>
        <v>1976.4961363996019</v>
      </c>
      <c r="V258">
        <f>(1*VLOOKUP(A258,FaultGeometry!B:C,2,FALSE))-Q258-AA258</f>
        <v>0.15000000000000002</v>
      </c>
      <c r="W258">
        <f>V258*(VLOOKUP(A258,FaultGeometry!B:Y,24,FALSE))</f>
        <v>1122003829823238.9</v>
      </c>
      <c r="X258">
        <f>V258*3.3*10^10*U258*10^6*(1/T258)*VLOOKUP(A258,FaultGeometry!B:O,14,FALSE)*10^-3</f>
        <v>4338807536456686</v>
      </c>
      <c r="Y258">
        <f t="shared" si="48"/>
        <v>0.96126169593831889</v>
      </c>
      <c r="Z258">
        <f>IF(C258="NA","NA",VLOOKUP(C258,MSSM_AdaptedSources!B:K,10,FALSE))</f>
        <v>4056.3560713800007</v>
      </c>
      <c r="AA258">
        <f>IF(C258="NA","0",VLOOKUP(C258,MultiFaultGeometry!B:C,2,FALSE)*IF(B258="NA",X$278/(X$278+X$276),X$278))</f>
        <v>0.3</v>
      </c>
      <c r="AB258">
        <f>AA258*IF(C258="NA",0,VLOOKUP(C258,MultiFaultGeometry!B:O,14,FALSE))</f>
        <v>6762681782198598</v>
      </c>
      <c r="AC258">
        <f>IF(AB258=0,0,AA258*3.3*10^10*Z258*10^6*(1/Y258)*VLOOKUP(C258,MultiFaultGeometry!B:G,5,FALSE)*10^-3)</f>
        <v>1.6259399167070816E+16</v>
      </c>
      <c r="AE258" s="68">
        <f t="shared" ref="AE258:AE271" si="49">IF(MATCH(A259,_xlfn.UNIQUE(A$2:A$272),0)-(MATCH(A258,_xlfn.UNIQUE(A$2:A$272),0))=1,W258,0)</f>
        <v>1122003829823238.9</v>
      </c>
      <c r="AF258" s="68">
        <f t="shared" si="41"/>
        <v>4338807536456686</v>
      </c>
      <c r="AG258" s="68"/>
    </row>
    <row r="259" spans="1:33" x14ac:dyDescent="0.2">
      <c r="A259" s="68" t="str">
        <f>Leonard2010!D261</f>
        <v>North Basin Fault 14a</v>
      </c>
      <c r="B259" s="68" t="str">
        <f>Leonard2010!E261</f>
        <v>NA</v>
      </c>
      <c r="C259" s="68" t="str">
        <f>Leonard2010!F261</f>
        <v>North Basin Fault 9a-14a</v>
      </c>
      <c r="D259" t="str">
        <f>IF(B259="NA","NA",VLOOKUP(B259,Leonard2010!E:H,3,FALSE))</f>
        <v>NA</v>
      </c>
      <c r="E259">
        <f>IF(A259="NA","NA",VLOOKUP(A259,Leonard2010!D:I,6,FALSE))</f>
        <v>48.8</v>
      </c>
      <c r="F259">
        <f>IF(C259="NA","NA",VLOOKUP(C259,Leonard2010!F:K,6,FALSE))</f>
        <v>93.899999999999991</v>
      </c>
      <c r="G259" t="str">
        <f>IF(B259="NA","NA",VLOOKUP(B259,Leonard2010!E:H,4,FALSE))</f>
        <v>NA</v>
      </c>
      <c r="H259">
        <f>IF(A259="NA","NA",VLOOKUP(A259,Leonard2010!D:J,7,FALSE))</f>
        <v>137</v>
      </c>
      <c r="I259">
        <f>IF(C259="NA","NA",VLOOKUP(C259,Leonard2010!F:L,7,FALSE))</f>
        <v>150</v>
      </c>
      <c r="J259">
        <f>IF(A259="NA","NA",VLOOKUP(A259,Leonard2010!D:N,11,FALSE))</f>
        <v>53</v>
      </c>
      <c r="K259" t="s">
        <v>211</v>
      </c>
      <c r="L259">
        <f>VLOOKUP(A259,Leonard2010!D:AJ,32,FALSE)</f>
        <v>61</v>
      </c>
      <c r="M259">
        <f>VLOOKUP($A259,Leonard2010!D:AK,33,FALSE)</f>
        <v>76</v>
      </c>
      <c r="N259">
        <f>VLOOKUP($A259,Leonard2010!D:AL,34,FALSE)</f>
        <v>92</v>
      </c>
      <c r="O259" t="str">
        <f t="shared" si="46"/>
        <v>NA</v>
      </c>
      <c r="P259" t="str">
        <f t="shared" si="44"/>
        <v>NA</v>
      </c>
      <c r="Q259" t="str">
        <f>IF(B259="NA","0",VLOOKUP(B259,SectionGeometry!C:E,3,FALSE)*IF(C259="NA",X$277/(X$277+X$276),X$277))</f>
        <v>0</v>
      </c>
      <c r="R259">
        <f>Q259*IF(B259="NA",0,((VLOOKUP(B259,SectionGeometry!C:Z,24,FALSE))))</f>
        <v>0</v>
      </c>
      <c r="S259">
        <f>IF(R259=0,0,Q259*3.3*10^10*P259*10^6*(1/O259)*VLOOKUP(B259,SectionGeometry!C:AA,25,FALSE)*10^-3)</f>
        <v>0</v>
      </c>
      <c r="T259">
        <v>1</v>
      </c>
      <c r="U259">
        <f>IF(K259="N",E259*35/SIN(RADIANS(J259)),IF(K259="Y",VLOOKUP(A259,Leonard2010!D:U,18,FALSE),IF(C259="NA",VLOOKUP(A259,MSSM_AdaptedSources!B:K,10,FALSE),"CHECK")))</f>
        <v>2138.6477041308335</v>
      </c>
      <c r="V259">
        <f>(1*VLOOKUP(A259,FaultGeometry!B:C,2,FALSE))-Q259-AA259</f>
        <v>0.16666666666666663</v>
      </c>
      <c r="W259">
        <f>V259*(VLOOKUP(A259,FaultGeometry!B:Y,24,FALSE))</f>
        <v>1097429625314926.1</v>
      </c>
      <c r="X259">
        <f>V259*3.3*10^10*U259*10^6*(1/T259)*VLOOKUP(A259,FaultGeometry!B:O,14,FALSE)*10^-3</f>
        <v>3989467833045449.5</v>
      </c>
      <c r="Y259">
        <f t="shared" si="48"/>
        <v>0.96126169593831889</v>
      </c>
      <c r="Z259">
        <f>IF(C259="NA","NA",VLOOKUP(C259,MSSM_AdaptedSources!B:K,10,FALSE))</f>
        <v>4056.3560713800007</v>
      </c>
      <c r="AA259">
        <f>IF(C259="NA","0",VLOOKUP(C259,MultiFaultGeometry!B:C,2,FALSE)*IF(B259="NA",X$278/(X$278+X$276),X$278))</f>
        <v>0.33333333333333337</v>
      </c>
      <c r="AB259">
        <f>AA259*IF(C259="NA",0,VLOOKUP(C259,MultiFaultGeometry!B:O,14,FALSE))</f>
        <v>7514090869109554</v>
      </c>
      <c r="AC259">
        <f>IF(AB259=0,0,AA259*3.3*10^10*Z259*10^6*(1/Y259)*VLOOKUP(C259,MultiFaultGeometry!B:G,5,FALSE)*10^-3)</f>
        <v>1.8065999074523136E+16</v>
      </c>
      <c r="AE259" s="68">
        <f t="shared" si="49"/>
        <v>1097429625314926.1</v>
      </c>
      <c r="AF259" s="68">
        <f t="shared" ref="AF259:AF272" si="50">IF(AE259=0,0,X259)</f>
        <v>3989467833045449.5</v>
      </c>
      <c r="AG259" s="68"/>
    </row>
    <row r="260" spans="1:33" x14ac:dyDescent="0.2">
      <c r="A260" s="68" t="str">
        <f>Leonard2010!D262</f>
        <v>North Basin Fault 9b</v>
      </c>
      <c r="B260" s="68" t="str">
        <f>Leonard2010!E262</f>
        <v>North Basin Fault 9b North</v>
      </c>
      <c r="C260" s="68" t="str">
        <f>Leonard2010!F262</f>
        <v>North Basin Fault 9b-14b</v>
      </c>
      <c r="D260">
        <f>IF(B260="NA","NA",VLOOKUP(B260,Leonard2010!E:H,3,FALSE))</f>
        <v>8.8000000000000007</v>
      </c>
      <c r="E260">
        <f>IF(A260="NA","NA",VLOOKUP(A260,Leonard2010!D:I,6,FALSE))</f>
        <v>45.099999999999994</v>
      </c>
      <c r="F260">
        <f>IF(C260="NA","NA",VLOOKUP(C260,Leonard2010!F:K,6,FALSE))</f>
        <v>91.6</v>
      </c>
      <c r="G260">
        <f>IF(B260="NA","NA",VLOOKUP(B260,Leonard2010!E:H,4,FALSE))</f>
        <v>139</v>
      </c>
      <c r="H260">
        <f>IF(A260="NA","NA",VLOOKUP(A260,Leonard2010!D:J,7,FALSE))</f>
        <v>166</v>
      </c>
      <c r="I260">
        <f>IF(C260="NA","NA",VLOOKUP(C260,Leonard2010!F:L,7,FALSE))</f>
        <v>158</v>
      </c>
      <c r="J260">
        <f>IF(A260="NA","NA",VLOOKUP(A260,Leonard2010!D:N,11,FALSE))</f>
        <v>53</v>
      </c>
      <c r="K260" t="s">
        <v>211</v>
      </c>
      <c r="L260">
        <f>VLOOKUP(A260,Leonard2010!D:AJ,32,FALSE)</f>
        <v>61</v>
      </c>
      <c r="M260">
        <f>VLOOKUP($A260,Leonard2010!D:AK,33,FALSE)</f>
        <v>76</v>
      </c>
      <c r="N260">
        <f>VLOOKUP($A260,Leonard2010!D:AL,34,FALSE)</f>
        <v>92</v>
      </c>
      <c r="O260">
        <f t="shared" si="46"/>
        <v>0.89100652418836779</v>
      </c>
      <c r="P260">
        <f t="shared" si="44"/>
        <v>385.65778271211752</v>
      </c>
      <c r="Q260">
        <f>IF(B260="NA","0",VLOOKUP(B260,SectionGeometry!C:E,3,FALSE)*IF(C260="NA",X$277/(X$277+X$276),X$277))</f>
        <v>0.05</v>
      </c>
      <c r="R260">
        <f>Q260*IF(B260="NA",0,((VLOOKUP(B260,SectionGeometry!C:Z,24,FALSE))))</f>
        <v>22933726115759.734</v>
      </c>
      <c r="S260">
        <f>IF(R260=0,0,Q260*3.3*10^10*P260*10^6*(1/O260)*VLOOKUP(B260,SectionGeometry!C:AA,25,FALSE)*10^-3)</f>
        <v>319279808821487</v>
      </c>
      <c r="T260">
        <v>1</v>
      </c>
      <c r="U260">
        <f>IF(K260="N",E260*35/SIN(RADIANS(J260)),IF(K260="Y",VLOOKUP(A260,Leonard2010!D:U,18,FALSE),IF(C260="NA",VLOOKUP(A260,MSSM_AdaptedSources!B:K,10,FALSE),"CHECK")))</f>
        <v>1976.4961363996019</v>
      </c>
      <c r="V260">
        <f>(1*VLOOKUP(A260,FaultGeometry!B:C,2,FALSE))-Q260-AA260</f>
        <v>0.15000000000000002</v>
      </c>
      <c r="W260">
        <f>V260*(VLOOKUP(A260,FaultGeometry!B:Y,24,FALSE))</f>
        <v>1143892103154982.5</v>
      </c>
      <c r="X260">
        <f>V260*3.3*10^10*U260*10^6*(1/T260)*VLOOKUP(A260,FaultGeometry!B:O,14,FALSE)*10^-3</f>
        <v>4344698612457693</v>
      </c>
      <c r="Y260">
        <f t="shared" si="48"/>
        <v>0.99026806874157036</v>
      </c>
      <c r="Z260">
        <f>IF(C260="NA","NA",VLOOKUP(C260,MSSM_AdaptedSources!B:K,10,FALSE))</f>
        <v>3956.9991069053044</v>
      </c>
      <c r="AA260">
        <f>IF(C260="NA","0",VLOOKUP(C260,MultiFaultGeometry!B:C,2,FALSE)*IF(B260="NA",X$278/(X$278+X$276),X$278))</f>
        <v>0.3</v>
      </c>
      <c r="AB260">
        <f>AA260*IF(C260="NA",0,VLOOKUP(C260,MultiFaultGeometry!B:O,14,FALSE))</f>
        <v>8843693871571128</v>
      </c>
      <c r="AC260">
        <f>IF(AB260=0,0,AA260*3.3*10^10*Z260*10^6*(1/Y260)*VLOOKUP(C260,MultiFaultGeometry!B:G,5,FALSE)*10^-3)</f>
        <v>2.1057373892193096E+16</v>
      </c>
      <c r="AE260" s="68">
        <f t="shared" si="49"/>
        <v>0</v>
      </c>
      <c r="AF260" s="68">
        <f t="shared" si="50"/>
        <v>0</v>
      </c>
      <c r="AG260" s="68"/>
    </row>
    <row r="261" spans="1:33" x14ac:dyDescent="0.2">
      <c r="A261" s="68" t="str">
        <f>Leonard2010!D263</f>
        <v>North Basin Fault 9b</v>
      </c>
      <c r="B261" s="68" t="str">
        <f>Leonard2010!E263</f>
        <v>North Basin Fault 9b South</v>
      </c>
      <c r="C261" s="68" t="str">
        <f>Leonard2010!F263</f>
        <v>North Basin Fault 9b-14b</v>
      </c>
      <c r="D261">
        <f>IF(B261="NA","NA",VLOOKUP(B261,Leonard2010!E:H,3,FALSE))</f>
        <v>36.299999999999997</v>
      </c>
      <c r="E261">
        <f>IF(A261="NA","NA",VLOOKUP(A261,Leonard2010!D:I,6,FALSE))</f>
        <v>45.099999999999994</v>
      </c>
      <c r="F261">
        <f>IF(C261="NA","NA",VLOOKUP(C261,Leonard2010!F:K,6,FALSE))</f>
        <v>91.6</v>
      </c>
      <c r="G261">
        <f>IF(B261="NA","NA",VLOOKUP(B261,Leonard2010!E:H,4,FALSE))</f>
        <v>172</v>
      </c>
      <c r="H261">
        <f>IF(A261="NA","NA",VLOOKUP(A261,Leonard2010!D:J,7,FALSE))</f>
        <v>166</v>
      </c>
      <c r="I261">
        <f>IF(C261="NA","NA",VLOOKUP(C261,Leonard2010!F:L,7,FALSE))</f>
        <v>158</v>
      </c>
      <c r="J261">
        <f>IF(A261="NA","NA",VLOOKUP(A261,Leonard2010!D:N,11,FALSE))</f>
        <v>53</v>
      </c>
      <c r="K261" t="s">
        <v>211</v>
      </c>
      <c r="L261">
        <f>VLOOKUP(A261,Leonard2010!D:AJ,32,FALSE)</f>
        <v>61</v>
      </c>
      <c r="M261">
        <f>VLOOKUP($A261,Leonard2010!D:AK,33,FALSE)</f>
        <v>76</v>
      </c>
      <c r="N261">
        <f>VLOOKUP($A261,Leonard2010!D:AL,34,FALSE)</f>
        <v>92</v>
      </c>
      <c r="O261">
        <f t="shared" si="46"/>
        <v>0.98480775301220802</v>
      </c>
      <c r="P261">
        <f t="shared" si="44"/>
        <v>1590.8383536874846</v>
      </c>
      <c r="Q261">
        <f>IF(B261="NA","0",VLOOKUP(B261,SectionGeometry!C:E,3,FALSE)*IF(C261="NA",X$277/(X$277+X$276),X$277))</f>
        <v>0.05</v>
      </c>
      <c r="R261">
        <f>Q261*IF(B261="NA",0,((VLOOKUP(B261,SectionGeometry!C:Z,24,FALSE))))</f>
        <v>239394838606940</v>
      </c>
      <c r="S261">
        <f>IF(R261=0,0,Q261*3.3*10^10*P261*10^6*(1/O261)*VLOOKUP(B261,SectionGeometry!C:AA,25,FALSE)*10^-3)</f>
        <v>1183552852916447.2</v>
      </c>
      <c r="T261">
        <v>1</v>
      </c>
      <c r="U261">
        <f>IF(K261="N",E261*35/SIN(RADIANS(J261)),IF(K261="Y",VLOOKUP(A261,Leonard2010!D:U,18,FALSE),IF(C261="NA",VLOOKUP(A261,MSSM_AdaptedSources!B:K,10,FALSE),"CHECK")))</f>
        <v>1976.4961363996019</v>
      </c>
      <c r="V261">
        <f>(1*VLOOKUP(A261,FaultGeometry!B:C,2,FALSE))-Q261-AA261</f>
        <v>0.15000000000000002</v>
      </c>
      <c r="W261">
        <f>V261*(VLOOKUP(A261,FaultGeometry!B:Y,24,FALSE))</f>
        <v>1143892103154982.5</v>
      </c>
      <c r="X261">
        <f>V261*3.3*10^10*U261*10^6*(1/T261)*VLOOKUP(A261,FaultGeometry!B:O,14,FALSE)*10^-3</f>
        <v>4344698612457693</v>
      </c>
      <c r="Y261">
        <f t="shared" si="48"/>
        <v>0.99026806874157036</v>
      </c>
      <c r="Z261">
        <f>IF(C261="NA","NA",VLOOKUP(C261,MSSM_AdaptedSources!B:K,10,FALSE))</f>
        <v>3956.9991069053044</v>
      </c>
      <c r="AA261">
        <f>IF(C261="NA","0",VLOOKUP(C261,MultiFaultGeometry!B:C,2,FALSE)*IF(B261="NA",X$278/(X$278+X$276),X$278))</f>
        <v>0.3</v>
      </c>
      <c r="AB261">
        <f>AA261*IF(C261="NA",0,VLOOKUP(C261,MultiFaultGeometry!B:O,14,FALSE))</f>
        <v>8843693871571128</v>
      </c>
      <c r="AC261">
        <f>IF(AB261=0,0,AA261*3.3*10^10*Z261*10^6*(1/Y261)*VLOOKUP(C261,MultiFaultGeometry!B:G,5,FALSE)*10^-3)</f>
        <v>2.1057373892193096E+16</v>
      </c>
      <c r="AE261" s="68">
        <f t="shared" si="49"/>
        <v>1143892103154982.5</v>
      </c>
      <c r="AF261" s="68">
        <f t="shared" si="50"/>
        <v>4344698612457693</v>
      </c>
      <c r="AG261" s="68"/>
    </row>
    <row r="262" spans="1:33" x14ac:dyDescent="0.2">
      <c r="A262" s="68" t="str">
        <f>Leonard2010!D264</f>
        <v>North Basin Fault 14b</v>
      </c>
      <c r="B262" s="68" t="str">
        <f>Leonard2010!E264</f>
        <v>North Basin Fault 14b North</v>
      </c>
      <c r="C262" s="68" t="str">
        <f>Leonard2010!F264</f>
        <v>North Basin Fault 9b-14b</v>
      </c>
      <c r="D262">
        <f>IF(B262="NA","NA",VLOOKUP(B262,Leonard2010!E:H,3,FALSE))</f>
        <v>25.8</v>
      </c>
      <c r="E262">
        <f>IF(A262="NA","NA",VLOOKUP(A262,Leonard2010!D:I,6,FALSE))</f>
        <v>46.5</v>
      </c>
      <c r="F262">
        <f>IF(C262="NA","NA",VLOOKUP(C262,Leonard2010!F:K,6,FALSE))</f>
        <v>91.6</v>
      </c>
      <c r="G262">
        <f>IF(B262="NA","NA",VLOOKUP(B262,Leonard2010!E:H,4,FALSE))</f>
        <v>161</v>
      </c>
      <c r="H262">
        <f>IF(A262="NA","NA",VLOOKUP(A262,Leonard2010!D:J,7,FALSE))</f>
        <v>151</v>
      </c>
      <c r="I262">
        <f>IF(C262="NA","NA",VLOOKUP(C262,Leonard2010!F:L,7,FALSE))</f>
        <v>158</v>
      </c>
      <c r="J262">
        <f>IF(A262="NA","NA",VLOOKUP(A262,Leonard2010!D:N,11,FALSE))</f>
        <v>53</v>
      </c>
      <c r="K262" t="s">
        <v>211</v>
      </c>
      <c r="L262">
        <f>VLOOKUP(A262,Leonard2010!D:AJ,32,FALSE)</f>
        <v>61</v>
      </c>
      <c r="M262">
        <f>VLOOKUP($A262,Leonard2010!D:AK,33,FALSE)</f>
        <v>76</v>
      </c>
      <c r="N262">
        <f>VLOOKUP($A262,Leonard2010!D:AL,34,FALSE)</f>
        <v>92</v>
      </c>
      <c r="O262">
        <f t="shared" si="46"/>
        <v>0.98480775301220802</v>
      </c>
      <c r="P262">
        <f t="shared" si="44"/>
        <v>1130.6784993150718</v>
      </c>
      <c r="Q262">
        <f>IF(B262="NA","0",VLOOKUP(B262,SectionGeometry!C:E,3,FALSE)*IF(C262="NA",X$277/(X$277+X$276),X$277))</f>
        <v>0.05</v>
      </c>
      <c r="R262">
        <f>Q262*IF(B262="NA",0,((VLOOKUP(B262,SectionGeometry!C:Z,24,FALSE))))</f>
        <v>187308348351447.94</v>
      </c>
      <c r="S262">
        <f>IF(R262=0,0,Q262*3.3*10^10*P262*10^6*(1/O262)*VLOOKUP(B262,SectionGeometry!C:AA,25,FALSE)*10^-3)</f>
        <v>1165500680756316.8</v>
      </c>
      <c r="T262">
        <v>1</v>
      </c>
      <c r="U262">
        <f>IF(K262="N",E262*35/SIN(RADIANS(J262)),IF(K262="Y",VLOOKUP(A262,Leonard2010!D:U,18,FALSE),IF(C262="NA",VLOOKUP(A262,MSSM_AdaptedSources!B:K,10,FALSE),"CHECK")))</f>
        <v>2037.8507836492572</v>
      </c>
      <c r="V262">
        <f>(1*VLOOKUP(A262,FaultGeometry!B:C,2,FALSE))-Q262-AA262</f>
        <v>0.15000000000000002</v>
      </c>
      <c r="W262">
        <f>V262*(VLOOKUP(A262,FaultGeometry!B:Y,24,FALSE))</f>
        <v>1652216475616265.8</v>
      </c>
      <c r="X262">
        <f>V262*3.3*10^10*U262*10^6*(1/T262)*VLOOKUP(A262,FaultGeometry!B:O,14,FALSE)*10^-3</f>
        <v>6223501459114568</v>
      </c>
      <c r="Y262">
        <f t="shared" si="48"/>
        <v>0.99026806874157036</v>
      </c>
      <c r="Z262">
        <f>IF(C262="NA","NA",VLOOKUP(C262,MSSM_AdaptedSources!B:K,10,FALSE))</f>
        <v>3956.9991069053044</v>
      </c>
      <c r="AA262">
        <f>IF(C262="NA","0",VLOOKUP(C262,MultiFaultGeometry!B:C,2,FALSE)*IF(B262="NA",X$278/(X$278+X$276),X$278))</f>
        <v>0.3</v>
      </c>
      <c r="AB262">
        <f>AA262*IF(C262="NA",0,VLOOKUP(C262,MultiFaultGeometry!B:O,14,FALSE))</f>
        <v>8843693871571128</v>
      </c>
      <c r="AC262">
        <f>IF(AB262=0,0,AA262*3.3*10^10*Z262*10^6*(1/Y262)*VLOOKUP(C262,MultiFaultGeometry!B:G,5,FALSE)*10^-3)</f>
        <v>2.1057373892193096E+16</v>
      </c>
      <c r="AE262" s="68">
        <f t="shared" si="49"/>
        <v>0</v>
      </c>
      <c r="AF262" s="68">
        <f t="shared" si="50"/>
        <v>0</v>
      </c>
      <c r="AG262" s="68"/>
    </row>
    <row r="263" spans="1:33" x14ac:dyDescent="0.2">
      <c r="A263" s="68" t="str">
        <f>Leonard2010!D265</f>
        <v>North Basin Fault 14b</v>
      </c>
      <c r="B263" s="68" t="str">
        <f>Leonard2010!E265</f>
        <v>North Basin Fault 14b South</v>
      </c>
      <c r="C263" s="68" t="str">
        <f>Leonard2010!F265</f>
        <v>North Basin Fault 9b-14b</v>
      </c>
      <c r="D263">
        <f>IF(B263="NA","NA",VLOOKUP(B263,Leonard2010!E:H,3,FALSE))</f>
        <v>20.7</v>
      </c>
      <c r="E263">
        <f>IF(A263="NA","NA",VLOOKUP(A263,Leonard2010!D:I,6,FALSE))</f>
        <v>46.5</v>
      </c>
      <c r="F263">
        <f>IF(C263="NA","NA",VLOOKUP(C263,Leonard2010!F:K,6,FALSE))</f>
        <v>91.6</v>
      </c>
      <c r="G263">
        <f>IF(B263="NA","NA",VLOOKUP(B263,Leonard2010!E:H,4,FALSE))</f>
        <v>139</v>
      </c>
      <c r="H263">
        <f>IF(A263="NA","NA",VLOOKUP(A263,Leonard2010!D:J,7,FALSE))</f>
        <v>151</v>
      </c>
      <c r="I263">
        <f>IF(C263="NA","NA",VLOOKUP(C263,Leonard2010!F:L,7,FALSE))</f>
        <v>158</v>
      </c>
      <c r="J263">
        <f>IF(A263="NA","NA",VLOOKUP(A263,Leonard2010!D:N,11,FALSE))</f>
        <v>53</v>
      </c>
      <c r="K263" t="s">
        <v>211</v>
      </c>
      <c r="L263">
        <f>VLOOKUP(A263,Leonard2010!D:AJ,32,FALSE)</f>
        <v>61</v>
      </c>
      <c r="M263">
        <f>VLOOKUP($A263,Leonard2010!D:AK,33,FALSE)</f>
        <v>76</v>
      </c>
      <c r="N263">
        <f>VLOOKUP($A263,Leonard2010!D:AL,34,FALSE)</f>
        <v>92</v>
      </c>
      <c r="O263">
        <f t="shared" si="46"/>
        <v>0.89100652418836779</v>
      </c>
      <c r="P263">
        <f t="shared" si="44"/>
        <v>907.17228433418552</v>
      </c>
      <c r="Q263">
        <f>IF(B263="NA","0",VLOOKUP(B263,SectionGeometry!C:E,3,FALSE)*IF(C263="NA",X$277/(X$277+X$276),X$277))</f>
        <v>0.05</v>
      </c>
      <c r="R263">
        <f>Q263*IF(B263="NA",0,((VLOOKUP(B263,SectionGeometry!C:Z,24,FALSE))))</f>
        <v>133003716641633.28</v>
      </c>
      <c r="S263">
        <f>IF(R263=0,0,Q263*3.3*10^10*P263*10^6*(1/O263)*VLOOKUP(B263,SectionGeometry!C:AA,25,FALSE)*10^-3)</f>
        <v>1044677775309538.5</v>
      </c>
      <c r="T263">
        <v>1</v>
      </c>
      <c r="U263">
        <f>IF(K263="N",E263*35/SIN(RADIANS(J263)),IF(K263="Y",VLOOKUP(A263,Leonard2010!D:U,18,FALSE),IF(C263="NA",VLOOKUP(A263,MSSM_AdaptedSources!B:K,10,FALSE),"CHECK")))</f>
        <v>2037.8507836492572</v>
      </c>
      <c r="V263">
        <f>(1*VLOOKUP(A263,FaultGeometry!B:C,2,FALSE))-Q263-AA263</f>
        <v>0.15000000000000002</v>
      </c>
      <c r="W263">
        <f>V263*(VLOOKUP(A263,FaultGeometry!B:Y,24,FALSE))</f>
        <v>1652216475616265.8</v>
      </c>
      <c r="X263">
        <f>V263*3.3*10^10*U263*10^6*(1/T263)*VLOOKUP(A263,FaultGeometry!B:O,14,FALSE)*10^-3</f>
        <v>6223501459114568</v>
      </c>
      <c r="Y263">
        <f t="shared" si="48"/>
        <v>0.99026806874157036</v>
      </c>
      <c r="Z263">
        <f>IF(C263="NA","NA",VLOOKUP(C263,MSSM_AdaptedSources!B:K,10,FALSE))</f>
        <v>3956.9991069053044</v>
      </c>
      <c r="AA263">
        <f>IF(C263="NA","0",VLOOKUP(C263,MultiFaultGeometry!B:C,2,FALSE)*IF(B263="NA",X$278/(X$278+X$276),X$278))</f>
        <v>0.3</v>
      </c>
      <c r="AB263">
        <f>AA263*IF(C263="NA",0,VLOOKUP(C263,MultiFaultGeometry!B:O,14,FALSE))</f>
        <v>8843693871571128</v>
      </c>
      <c r="AC263">
        <f>IF(AB263=0,0,AA263*3.3*10^10*Z263*10^6*(1/Y263)*VLOOKUP(C263,MultiFaultGeometry!B:G,5,FALSE)*10^-3)</f>
        <v>2.1057373892193096E+16</v>
      </c>
      <c r="AE263" s="68">
        <f t="shared" si="49"/>
        <v>1652216475616265.8</v>
      </c>
      <c r="AF263" s="68">
        <f t="shared" si="50"/>
        <v>6223501459114568</v>
      </c>
      <c r="AG263" s="68"/>
    </row>
    <row r="264" spans="1:33" x14ac:dyDescent="0.2">
      <c r="A264" s="68" t="str">
        <f>Leonard2010!D266</f>
        <v>North Basin Fault 4a</v>
      </c>
      <c r="B264" s="68" t="str">
        <f>Leonard2010!E266</f>
        <v>NA</v>
      </c>
      <c r="C264" s="68" t="str">
        <f>Leonard2010!F266</f>
        <v>North Basin Fault 4a-15a</v>
      </c>
      <c r="D264" t="str">
        <f>IF(B264="NA","NA",VLOOKUP(B264,Leonard2010!E:H,3,FALSE))</f>
        <v>NA</v>
      </c>
      <c r="E264">
        <f>IF(A264="NA","NA",VLOOKUP(A264,Leonard2010!D:I,6,FALSE))</f>
        <v>11.1</v>
      </c>
      <c r="F264">
        <f>IF(C264="NA","NA",VLOOKUP(C264,Leonard2010!F:K,6,FALSE))</f>
        <v>54.300000000000004</v>
      </c>
      <c r="G264" t="str">
        <f>IF(B264="NA","NA",VLOOKUP(B264,Leonard2010!E:H,4,FALSE))</f>
        <v>NA</v>
      </c>
      <c r="H264">
        <f>IF(A264="NA","NA",VLOOKUP(A264,Leonard2010!D:J,7,FALSE))</f>
        <v>137</v>
      </c>
      <c r="I264">
        <f>IF(C264="NA","NA",VLOOKUP(C264,Leonard2010!F:L,7,FALSE))</f>
        <v>158</v>
      </c>
      <c r="J264">
        <f>IF(A264="NA","NA",VLOOKUP(A264,Leonard2010!D:N,11,FALSE))</f>
        <v>53</v>
      </c>
      <c r="K264" t="s">
        <v>211</v>
      </c>
      <c r="L264">
        <f>VLOOKUP(A264,Leonard2010!D:AJ,32,FALSE)</f>
        <v>61</v>
      </c>
      <c r="M264">
        <f>VLOOKUP($A264,Leonard2010!D:AK,33,FALSE)</f>
        <v>76</v>
      </c>
      <c r="N264">
        <f>VLOOKUP($A264,Leonard2010!D:AL,34,FALSE)</f>
        <v>92</v>
      </c>
      <c r="O264" t="str">
        <f t="shared" si="46"/>
        <v>NA</v>
      </c>
      <c r="P264" t="str">
        <f t="shared" si="44"/>
        <v>NA</v>
      </c>
      <c r="Q264" t="str">
        <f>IF(B264="NA","0",VLOOKUP(B264,SectionGeometry!C:E,3,FALSE)*IF(C264="NA",X$277/(X$277+X$276),X$277))</f>
        <v>0</v>
      </c>
      <c r="R264">
        <f>Q264*IF(B264="NA",0,((VLOOKUP(B264,SectionGeometry!C:Z,24,FALSE))))</f>
        <v>0</v>
      </c>
      <c r="S264">
        <f>IF(R264=0,0,Q264*3.3*10^10*P264*10^6*(1/O264)*VLOOKUP(B264,SectionGeometry!C:AA,25,FALSE)*10^-3)</f>
        <v>0</v>
      </c>
      <c r="T264">
        <v>1</v>
      </c>
      <c r="U264">
        <f>IF(K264="N",E264*35/SIN(RADIANS(J264)),IF(K264="Y",VLOOKUP(A264,Leonard2010!D:U,18,FALSE),IF(C264="NA",VLOOKUP(A264,MSSM_AdaptedSources!B:K,10,FALSE),"CHECK")))</f>
        <v>486.45470319369366</v>
      </c>
      <c r="V264">
        <f>(1*VLOOKUP(A264,FaultGeometry!B:C,2,FALSE))-Q264-AA264</f>
        <v>0.16666666666666663</v>
      </c>
      <c r="W264">
        <f>V264*(VLOOKUP(A264,FaultGeometry!B:Y,24,FALSE))</f>
        <v>80472247663769.875</v>
      </c>
      <c r="X264">
        <f>V264*3.3*10^10*U264*10^6*(1/T264)*VLOOKUP(A264,FaultGeometry!B:O,14,FALSE)*10^-3</f>
        <v>810038327536247</v>
      </c>
      <c r="Y264">
        <f t="shared" si="48"/>
        <v>0.99026806874157036</v>
      </c>
      <c r="Z264">
        <f>IF(C264="NA","NA",VLOOKUP(C264,MSSM_AdaptedSources!B:K,10,FALSE))</f>
        <v>2379.6838183259069</v>
      </c>
      <c r="AA264">
        <f>IF(C264="NA","0",VLOOKUP(C264,MultiFaultGeometry!B:C,2,FALSE)*IF(B264="NA",X$278/(X$278+X$276),X$278))</f>
        <v>0.33333333333333337</v>
      </c>
      <c r="AB264">
        <f>AA264*IF(C264="NA",0,VLOOKUP(C264,MultiFaultGeometry!B:O,14,FALSE))</f>
        <v>1994766256123243.2</v>
      </c>
      <c r="AC264">
        <f>IF(AB264=0,0,AA264*3.3*10^10*Z264*10^6*(1/Y264)*VLOOKUP(C264,MultiFaultGeometry!B:G,5,FALSE)*10^-3)</f>
        <v>7064808931489769</v>
      </c>
      <c r="AE264" s="68">
        <f t="shared" si="49"/>
        <v>80472247663769.875</v>
      </c>
      <c r="AF264" s="68">
        <f t="shared" si="50"/>
        <v>810038327536247</v>
      </c>
      <c r="AG264" s="68"/>
    </row>
    <row r="265" spans="1:33" x14ac:dyDescent="0.2">
      <c r="A265" s="68" t="str">
        <f>Leonard2010!D267</f>
        <v>North Basin Fault 4b</v>
      </c>
      <c r="B265" s="68" t="str">
        <f>Leonard2010!E267</f>
        <v>NA</v>
      </c>
      <c r="C265" s="68" t="str">
        <f>Leonard2010!F267</f>
        <v>North Basin Fault 4b-15b</v>
      </c>
      <c r="D265" t="str">
        <f>IF(B265="NA","NA",VLOOKUP(B265,Leonard2010!E:H,3,FALSE))</f>
        <v>NA</v>
      </c>
      <c r="E265">
        <f>IF(A265="NA","NA",VLOOKUP(A265,Leonard2010!D:I,6,FALSE))</f>
        <v>11.1</v>
      </c>
      <c r="F265">
        <f>IF(C265="NA","NA",VLOOKUP(C265,Leonard2010!F:K,6,FALSE))</f>
        <v>62.7</v>
      </c>
      <c r="G265" t="str">
        <f>IF(B265="NA","NA",VLOOKUP(B265,Leonard2010!E:H,4,FALSE))</f>
        <v>NA</v>
      </c>
      <c r="H265">
        <f>IF(A265="NA","NA",VLOOKUP(A265,Leonard2010!D:J,7,FALSE))</f>
        <v>137</v>
      </c>
      <c r="I265">
        <f>IF(C265="NA","NA",VLOOKUP(C265,Leonard2010!F:L,7,FALSE))</f>
        <v>159</v>
      </c>
      <c r="J265">
        <f>IF(A265="NA","NA",VLOOKUP(A265,Leonard2010!D:N,11,FALSE))</f>
        <v>53</v>
      </c>
      <c r="K265" t="s">
        <v>211</v>
      </c>
      <c r="L265">
        <f>VLOOKUP(A265,Leonard2010!D:AJ,32,FALSE)</f>
        <v>61</v>
      </c>
      <c r="M265">
        <f>VLOOKUP($A265,Leonard2010!D:AK,33,FALSE)</f>
        <v>76</v>
      </c>
      <c r="N265">
        <f>VLOOKUP($A265,Leonard2010!D:AL,34,FALSE)</f>
        <v>92</v>
      </c>
      <c r="O265" t="str">
        <f t="shared" si="46"/>
        <v>NA</v>
      </c>
      <c r="P265" t="str">
        <f t="shared" si="44"/>
        <v>NA</v>
      </c>
      <c r="Q265" t="str">
        <f>IF(B265="NA","0",VLOOKUP(B265,SectionGeometry!C:E,3,FALSE)*IF(C265="NA",X$277/(X$277+X$276),X$277))</f>
        <v>0</v>
      </c>
      <c r="R265">
        <f>Q265*IF(B265="NA",0,((VLOOKUP(B265,SectionGeometry!C:Z,24,FALSE))))</f>
        <v>0</v>
      </c>
      <c r="S265">
        <f>IF(R265=0,0,Q265*3.3*10^10*P265*10^6*(1/O265)*VLOOKUP(B265,SectionGeometry!C:AA,25,FALSE)*10^-3)</f>
        <v>0</v>
      </c>
      <c r="T265">
        <v>1</v>
      </c>
      <c r="U265">
        <f>IF(K265="N",E265*35/SIN(RADIANS(J265)),IF(K265="Y",VLOOKUP(A265,Leonard2010!D:U,18,FALSE),IF(C265="NA",VLOOKUP(A265,MSSM_AdaptedSources!B:K,10,FALSE),"CHECK")))</f>
        <v>486.45470319369366</v>
      </c>
      <c r="V265">
        <f>(1*VLOOKUP(A265,FaultGeometry!B:C,2,FALSE))-Q265-AA265</f>
        <v>0.16666666666666663</v>
      </c>
      <c r="W265">
        <f>V265*(VLOOKUP(A265,FaultGeometry!B:Y,24,FALSE))</f>
        <v>79757284169534.781</v>
      </c>
      <c r="X265">
        <f>V265*3.3*10^10*U265*10^6*(1/T265)*VLOOKUP(A265,FaultGeometry!B:O,14,FALSE)*10^-3</f>
        <v>798961961190204</v>
      </c>
      <c r="Y265">
        <f t="shared" si="48"/>
        <v>0.99026806874157025</v>
      </c>
      <c r="Z265">
        <f>IF(C265="NA","NA",VLOOKUP(C265,MSSM_AdaptedSources!B:K,10,FALSE))</f>
        <v>2747.8117018238372</v>
      </c>
      <c r="AA265">
        <f>IF(C265="NA","0",VLOOKUP(C265,MultiFaultGeometry!B:C,2,FALSE)*IF(B265="NA",X$278/(X$278+X$276),X$278))</f>
        <v>0.33333333333333337</v>
      </c>
      <c r="AB265">
        <f>AA265*IF(C265="NA",0,VLOOKUP(C265,MultiFaultGeometry!B:O,14,FALSE))</f>
        <v>2538373466516933</v>
      </c>
      <c r="AC265">
        <f>IF(AB265=0,0,AA265*3.3*10^10*Z265*10^6*(1/Y265)*VLOOKUP(C265,MultiFaultGeometry!B:G,5,FALSE)*10^-3)</f>
        <v>8092244554033811</v>
      </c>
      <c r="AE265" s="68">
        <f t="shared" si="49"/>
        <v>79757284169534.781</v>
      </c>
      <c r="AF265" s="68">
        <f t="shared" si="50"/>
        <v>798961961190204</v>
      </c>
      <c r="AG265" s="68"/>
    </row>
    <row r="266" spans="1:33" x14ac:dyDescent="0.2">
      <c r="A266" s="68" t="str">
        <f>Leonard2010!D268</f>
        <v>North Basin Fault 15a</v>
      </c>
      <c r="B266" s="68" t="str">
        <f>Leonard2010!E268</f>
        <v>North Basin Fault 15a South</v>
      </c>
      <c r="C266" s="68" t="str">
        <f>Leonard2010!F268</f>
        <v>North Basin Fault 4a-15a</v>
      </c>
      <c r="D266">
        <f>IF(B266="NA","NA",VLOOKUP(B266,Leonard2010!E:H,3,FALSE))</f>
        <v>6.3</v>
      </c>
      <c r="E266">
        <f>IF(A266="NA","NA",VLOOKUP(A266,Leonard2010!D:I,6,FALSE))</f>
        <v>43.2</v>
      </c>
      <c r="F266">
        <f>IF(C266="NA","NA",VLOOKUP(C266,Leonard2010!F:K,6,FALSE))</f>
        <v>54.300000000000004</v>
      </c>
      <c r="G266">
        <f>IF(B266="NA","NA",VLOOKUP(B266,Leonard2010!E:H,4,FALSE))</f>
        <v>192</v>
      </c>
      <c r="H266">
        <f>IF(A266="NA","NA",VLOOKUP(A266,Leonard2010!D:J,7,FALSE))</f>
        <v>165</v>
      </c>
      <c r="I266">
        <f>IF(C266="NA","NA",VLOOKUP(C266,Leonard2010!F:L,7,FALSE))</f>
        <v>158</v>
      </c>
      <c r="J266">
        <f>IF(A266="NA","NA",VLOOKUP(A266,Leonard2010!D:N,11,FALSE))</f>
        <v>53</v>
      </c>
      <c r="K266" t="s">
        <v>211</v>
      </c>
      <c r="L266">
        <f>VLOOKUP(A266,Leonard2010!D:AJ,32,FALSE)</f>
        <v>61</v>
      </c>
      <c r="M266">
        <f>VLOOKUP($A266,Leonard2010!D:AK,33,FALSE)</f>
        <v>76</v>
      </c>
      <c r="N266">
        <f>VLOOKUP($A266,Leonard2010!D:AL,34,FALSE)</f>
        <v>92</v>
      </c>
      <c r="O266">
        <f t="shared" si="46"/>
        <v>0.89879404629916693</v>
      </c>
      <c r="P266">
        <f t="shared" si="44"/>
        <v>276.09591262344776</v>
      </c>
      <c r="Q266">
        <f>IF(B266="NA","0",VLOOKUP(B266,SectionGeometry!C:E,3,FALSE)*IF(C266="NA",X$277/(X$277+X$276),X$277))</f>
        <v>0.05</v>
      </c>
      <c r="R266">
        <f>Q266*IF(B266="NA",0,((VLOOKUP(B266,SectionGeometry!C:Z,24,FALSE))))</f>
        <v>7807095571506.8438</v>
      </c>
      <c r="S266">
        <f>IF(R266=0,0,Q266*3.3*10^10*P266*10^6*(1/O266)*VLOOKUP(B266,SectionGeometry!C:AA,25,FALSE)*10^-3)</f>
        <v>133297963201876.36</v>
      </c>
      <c r="T266">
        <v>1</v>
      </c>
      <c r="U266">
        <f>IF(K266="N",E266*35/SIN(RADIANS(J266)),IF(K266="Y",VLOOKUP(A266,Leonard2010!D:U,18,FALSE),IF(C266="NA",VLOOKUP(A266,MSSM_AdaptedSources!B:K,10,FALSE),"CHECK")))</f>
        <v>1893.2291151322133</v>
      </c>
      <c r="V266">
        <f>(1*VLOOKUP(A266,FaultGeometry!B:C,2,FALSE))-Q266-AA266</f>
        <v>0.15000000000000002</v>
      </c>
      <c r="W266">
        <f>V266*(VLOOKUP(A266,FaultGeometry!B:Y,24,FALSE))</f>
        <v>623920383439519.12</v>
      </c>
      <c r="X266">
        <f>V266*3.3*10^10*U266*10^6*(1/T266)*VLOOKUP(A266,FaultGeometry!B:O,14,FALSE)*10^-3</f>
        <v>2446301502618350</v>
      </c>
      <c r="Y266">
        <f t="shared" si="48"/>
        <v>0.99026806874157036</v>
      </c>
      <c r="Z266">
        <f>IF(C266="NA","NA",VLOOKUP(C266,MSSM_AdaptedSources!B:K,10,FALSE))</f>
        <v>2379.6838183259069</v>
      </c>
      <c r="AA266">
        <f>IF(C266="NA","0",VLOOKUP(C266,MultiFaultGeometry!B:C,2,FALSE)*IF(B266="NA",X$278/(X$278+X$276),X$278))</f>
        <v>0.3</v>
      </c>
      <c r="AB266">
        <f>AA266*IF(C266="NA",0,VLOOKUP(C266,MultiFaultGeometry!B:O,14,FALSE))</f>
        <v>1795289630510918.8</v>
      </c>
      <c r="AC266">
        <f>IF(AB266=0,0,AA266*3.3*10^10*Z266*10^6*(1/Y266)*VLOOKUP(C266,MultiFaultGeometry!B:G,5,FALSE)*10^-3)</f>
        <v>6358328038340791</v>
      </c>
      <c r="AE266" s="68">
        <f t="shared" si="49"/>
        <v>0</v>
      </c>
      <c r="AF266" s="68">
        <f t="shared" si="50"/>
        <v>0</v>
      </c>
      <c r="AG266" s="68"/>
    </row>
    <row r="267" spans="1:33" x14ac:dyDescent="0.2">
      <c r="A267" s="68" t="str">
        <f>Leonard2010!D269</f>
        <v>North Basin Fault 15a</v>
      </c>
      <c r="B267" s="68" t="str">
        <f>Leonard2010!E269</f>
        <v>North Basin Fault 15a Central</v>
      </c>
      <c r="C267" s="68" t="str">
        <f>Leonard2010!F269</f>
        <v>North Basin Fault 4a-15a</v>
      </c>
      <c r="D267">
        <f>IF(B267="NA","NA",VLOOKUP(B267,Leonard2010!E:H,3,FALSE))</f>
        <v>8.1</v>
      </c>
      <c r="E267">
        <f>IF(A267="NA","NA",VLOOKUP(A267,Leonard2010!D:I,6,FALSE))</f>
        <v>43.2</v>
      </c>
      <c r="F267">
        <f>IF(C267="NA","NA",VLOOKUP(C267,Leonard2010!F:K,6,FALSE))</f>
        <v>54.300000000000004</v>
      </c>
      <c r="G267">
        <f>IF(B267="NA","NA",VLOOKUP(B267,Leonard2010!E:H,4,FALSE))</f>
        <v>144</v>
      </c>
      <c r="H267">
        <f>IF(A267="NA","NA",VLOOKUP(A267,Leonard2010!D:J,7,FALSE))</f>
        <v>165</v>
      </c>
      <c r="I267">
        <f>IF(C267="NA","NA",VLOOKUP(C267,Leonard2010!F:L,7,FALSE))</f>
        <v>158</v>
      </c>
      <c r="J267">
        <f>IF(A267="NA","NA",VLOOKUP(A267,Leonard2010!D:N,11,FALSE))</f>
        <v>53</v>
      </c>
      <c r="K267" s="49" t="s">
        <v>211</v>
      </c>
      <c r="L267">
        <f>VLOOKUP(A267,Leonard2010!D:AJ,32,FALSE)</f>
        <v>61</v>
      </c>
      <c r="M267">
        <f>VLOOKUP($A267,Leonard2010!D:AK,33,FALSE)</f>
        <v>76</v>
      </c>
      <c r="N267">
        <f>VLOOKUP($A267,Leonard2010!D:AL,34,FALSE)</f>
        <v>92</v>
      </c>
      <c r="O267">
        <f t="shared" si="46"/>
        <v>0.92718385456678731</v>
      </c>
      <c r="P267">
        <f t="shared" si="44"/>
        <v>354.98045908728994</v>
      </c>
      <c r="Q267">
        <f>IF(B267="NA","0",VLOOKUP(B267,SectionGeometry!C:E,3,FALSE)*IF(C267="NA",X$277/(X$277+X$276),X$277))</f>
        <v>0.05</v>
      </c>
      <c r="R267">
        <f>Q267*IF(B267="NA",0,((VLOOKUP(B267,SectionGeometry!C:Z,24,FALSE))))</f>
        <v>11658609057396.9</v>
      </c>
      <c r="S267">
        <f>IF(R267=0,0,Q267*3.3*10^10*P267*10^6*(1/O267)*VLOOKUP(B267,SectionGeometry!C:AA,25,FALSE)*10^-3)</f>
        <v>167405496780708.5</v>
      </c>
      <c r="T267">
        <v>1</v>
      </c>
      <c r="U267">
        <f>IF(K267="N",E267*35/SIN(RADIANS(J267)),IF(K267="Y",VLOOKUP(A267,Leonard2010!D:U,18,FALSE),IF(C267="NA",VLOOKUP(A267,MSSM_AdaptedSources!B:K,10,FALSE),"CHECK")))</f>
        <v>1893.2291151322133</v>
      </c>
      <c r="V267">
        <f>(1*VLOOKUP(A267,FaultGeometry!B:C,2,FALSE))-Q267-AA267</f>
        <v>0.15000000000000002</v>
      </c>
      <c r="W267">
        <f>V267*(VLOOKUP(A267,FaultGeometry!B:Y,24,FALSE))</f>
        <v>623920383439519.12</v>
      </c>
      <c r="X267">
        <f>V267*3.3*10^10*U267*10^6*(1/T267)*VLOOKUP(A267,FaultGeometry!B:O,14,FALSE)*10^-3</f>
        <v>2446301502618350</v>
      </c>
      <c r="Y267">
        <f t="shared" si="48"/>
        <v>0.99026806874157036</v>
      </c>
      <c r="Z267">
        <f>IF(C267="NA","NA",VLOOKUP(C267,MSSM_AdaptedSources!B:K,10,FALSE))</f>
        <v>2379.6838183259069</v>
      </c>
      <c r="AA267">
        <f>IF(C267="NA","0",VLOOKUP(C267,MultiFaultGeometry!B:C,2,FALSE)*IF(B267="NA",X$278/(X$278+X$276),X$278))</f>
        <v>0.3</v>
      </c>
      <c r="AB267">
        <f>AA267*IF(C267="NA",0,VLOOKUP(C267,MultiFaultGeometry!B:O,14,FALSE))</f>
        <v>1795289630510918.8</v>
      </c>
      <c r="AC267">
        <f>IF(AB267=0,0,AA267*3.3*10^10*Z267*10^6*(1/Y267)*VLOOKUP(C267,MultiFaultGeometry!B:G,5,FALSE)*10^-3)</f>
        <v>6358328038340791</v>
      </c>
      <c r="AE267" s="68">
        <f t="shared" si="49"/>
        <v>0</v>
      </c>
      <c r="AF267" s="68">
        <f t="shared" si="50"/>
        <v>0</v>
      </c>
      <c r="AG267" s="68"/>
    </row>
    <row r="268" spans="1:33" x14ac:dyDescent="0.2">
      <c r="A268" s="68" t="str">
        <f>Leonard2010!D270</f>
        <v>North Basin Fault 15a</v>
      </c>
      <c r="B268" s="68" t="str">
        <f>Leonard2010!E270</f>
        <v>North Basin Fault 15a North</v>
      </c>
      <c r="C268" s="68" t="str">
        <f>Leonard2010!F270</f>
        <v>North Basin Fault 4a-15a</v>
      </c>
      <c r="D268">
        <f>IF(B268="NA","NA",VLOOKUP(B268,Leonard2010!E:H,3,FALSE))</f>
        <v>28.8</v>
      </c>
      <c r="E268">
        <f>IF(A268="NA","NA",VLOOKUP(A268,Leonard2010!D:I,6,FALSE))</f>
        <v>43.2</v>
      </c>
      <c r="F268">
        <f>IF(C268="NA","NA",VLOOKUP(C268,Leonard2010!F:K,6,FALSE))</f>
        <v>54.300000000000004</v>
      </c>
      <c r="G268">
        <f>IF(B268="NA","NA",VLOOKUP(B268,Leonard2010!E:H,4,FALSE))</f>
        <v>166</v>
      </c>
      <c r="H268">
        <f>IF(A268="NA","NA",VLOOKUP(A268,Leonard2010!D:J,7,FALSE))</f>
        <v>165</v>
      </c>
      <c r="I268">
        <f>IF(C268="NA","NA",VLOOKUP(C268,Leonard2010!F:L,7,FALSE))</f>
        <v>158</v>
      </c>
      <c r="J268">
        <f>IF(A268="NA","NA",VLOOKUP(A268,Leonard2010!D:N,11,FALSE))</f>
        <v>53</v>
      </c>
      <c r="K268" t="s">
        <v>211</v>
      </c>
      <c r="L268">
        <f>VLOOKUP(A268,Leonard2010!D:AJ,32,FALSE)</f>
        <v>61</v>
      </c>
      <c r="M268">
        <f>VLOOKUP($A268,Leonard2010!D:AK,33,FALSE)</f>
        <v>76</v>
      </c>
      <c r="N268">
        <f>VLOOKUP($A268,Leonard2010!D:AL,34,FALSE)</f>
        <v>92</v>
      </c>
      <c r="O268">
        <f t="shared" si="46"/>
        <v>0.96592582628906831</v>
      </c>
      <c r="P268">
        <f t="shared" si="44"/>
        <v>1262.1527434214754</v>
      </c>
      <c r="Q268">
        <f>IF(B268="NA","0",VLOOKUP(B268,SectionGeometry!C:E,3,FALSE)*IF(C268="NA",X$277/(X$277+X$276),X$277))</f>
        <v>0.05</v>
      </c>
      <c r="R268">
        <f>Q268*IF(B268="NA",0,((VLOOKUP(B268,SectionGeometry!C:Z,24,FALSE))))</f>
        <v>96722568928784</v>
      </c>
      <c r="S268">
        <f>IF(R268=0,0,Q268*3.3*10^10*P268*10^6*(1/O268)*VLOOKUP(B268,SectionGeometry!C:AA,25,FALSE)*10^-3)</f>
        <v>563665296255340</v>
      </c>
      <c r="T268">
        <v>1</v>
      </c>
      <c r="U268">
        <f>IF(K268="N",E268*35/SIN(RADIANS(J268)),IF(K268="Y",VLOOKUP(A268,Leonard2010!D:U,18,FALSE),IF(C268="NA",VLOOKUP(A268,MSSM_AdaptedSources!B:K,10,FALSE),"CHECK")))</f>
        <v>1893.2291151322133</v>
      </c>
      <c r="V268">
        <f>(1*VLOOKUP(A268,FaultGeometry!B:C,2,FALSE))-Q268-AA268</f>
        <v>0.15000000000000002</v>
      </c>
      <c r="W268">
        <f>V268*(VLOOKUP(A268,FaultGeometry!B:Y,24,FALSE))</f>
        <v>623920383439519.12</v>
      </c>
      <c r="X268">
        <f>V268*3.3*10^10*U268*10^6*(1/T268)*VLOOKUP(A268,FaultGeometry!B:O,14,FALSE)*10^-3</f>
        <v>2446301502618350</v>
      </c>
      <c r="Y268">
        <f t="shared" si="48"/>
        <v>0.99026806874157036</v>
      </c>
      <c r="Z268">
        <f>IF(C268="NA","NA",VLOOKUP(C268,MSSM_AdaptedSources!B:K,10,FALSE))</f>
        <v>2379.6838183259069</v>
      </c>
      <c r="AA268">
        <f>IF(C268="NA","0",VLOOKUP(C268,MultiFaultGeometry!B:C,2,FALSE)*IF(B268="NA",X$278/(X$278+X$276),X$278))</f>
        <v>0.3</v>
      </c>
      <c r="AB268">
        <f>AA268*IF(C268="NA",0,VLOOKUP(C268,MultiFaultGeometry!B:O,14,FALSE))</f>
        <v>1795289630510918.8</v>
      </c>
      <c r="AC268">
        <f>IF(AB268=0,0,AA268*3.3*10^10*Z268*10^6*(1/Y268)*VLOOKUP(C268,MultiFaultGeometry!B:G,5,FALSE)*10^-3)</f>
        <v>6358328038340791</v>
      </c>
      <c r="AE268" s="68">
        <f t="shared" si="49"/>
        <v>623920383439519.12</v>
      </c>
      <c r="AF268" s="68">
        <f t="shared" si="50"/>
        <v>2446301502618350</v>
      </c>
      <c r="AG268" s="68"/>
    </row>
    <row r="269" spans="1:33" x14ac:dyDescent="0.2">
      <c r="A269" s="68" t="str">
        <f>Leonard2010!D271</f>
        <v>North Basin Fault 15b</v>
      </c>
      <c r="B269" s="68" t="str">
        <f>Leonard2010!E271</f>
        <v>North Basin Fault 15b South</v>
      </c>
      <c r="C269" s="68" t="str">
        <f>Leonard2010!F271</f>
        <v>North Basin Fault 4b-15b</v>
      </c>
      <c r="D269">
        <f>IF(B269="NA","NA",VLOOKUP(B269,Leonard2010!E:H,3,FALSE))</f>
        <v>11</v>
      </c>
      <c r="E269">
        <f>IF(A269="NA","NA",VLOOKUP(A269,Leonard2010!D:I,6,FALSE))</f>
        <v>51.6</v>
      </c>
      <c r="F269">
        <f>IF(C269="NA","NA",VLOOKUP(C269,Leonard2010!F:K,6,FALSE))</f>
        <v>62.7</v>
      </c>
      <c r="G269">
        <f>IF(B269="NA","NA",VLOOKUP(B269,Leonard2010!E:H,4,FALSE))</f>
        <v>189</v>
      </c>
      <c r="H269">
        <f>IF(A269="NA","NA",VLOOKUP(A269,Leonard2010!D:J,7,FALSE))</f>
        <v>166</v>
      </c>
      <c r="I269">
        <f>IF(C269="NA","NA",VLOOKUP(C269,Leonard2010!F:L,7,FALSE))</f>
        <v>159</v>
      </c>
      <c r="J269">
        <f>IF(A269="NA","NA",VLOOKUP(A269,Leonard2010!D:N,11,FALSE))</f>
        <v>53</v>
      </c>
      <c r="K269" s="49" t="s">
        <v>211</v>
      </c>
      <c r="L269">
        <f>VLOOKUP(A269,Leonard2010!D:AJ,32,FALSE)</f>
        <v>61</v>
      </c>
      <c r="M269">
        <f>VLOOKUP($A269,Leonard2010!D:AK,33,FALSE)</f>
        <v>76</v>
      </c>
      <c r="N269">
        <f>VLOOKUP($A269,Leonard2010!D:AL,34,FALSE)</f>
        <v>92</v>
      </c>
      <c r="O269">
        <f t="shared" si="46"/>
        <v>0.92050485345244037</v>
      </c>
      <c r="P269">
        <f t="shared" si="44"/>
        <v>482.0722283901469</v>
      </c>
      <c r="Q269">
        <f>IF(B269="NA","0",VLOOKUP(B269,SectionGeometry!C:E,3,FALSE)*IF(C269="NA",X$277/(X$277+X$276),X$277))</f>
        <v>0.05</v>
      </c>
      <c r="R269">
        <f>Q269*IF(B269="NA",0,((VLOOKUP(B269,SectionGeometry!C:Z,24,FALSE))))</f>
        <v>19348708379868.855</v>
      </c>
      <c r="S269">
        <f>IF(R269=0,0,Q269*3.3*10^10*P269*10^6*(1/O269)*VLOOKUP(B269,SectionGeometry!C:AA,25,FALSE)*10^-3)</f>
        <v>226638098109617.38</v>
      </c>
      <c r="T269">
        <v>1</v>
      </c>
      <c r="U269">
        <f>IF(K269="N",E269*35/SIN(RADIANS(J269)),IF(K269="Y",VLOOKUP(A269,Leonard2010!D:U,18,FALSE),IF(C269="NA",VLOOKUP(A269,MSSM_AdaptedSources!B:K,10,FALSE),"CHECK")))</f>
        <v>2261.3569986301436</v>
      </c>
      <c r="V269">
        <f>(1*VLOOKUP(A269,FaultGeometry!B:C,2,FALSE))-Q269-AA269</f>
        <v>0.15000000000000002</v>
      </c>
      <c r="W269">
        <f>V269*(VLOOKUP(A269,FaultGeometry!B:Y,24,FALSE))</f>
        <v>865355662892186.62</v>
      </c>
      <c r="X269">
        <f>V269*3.3*10^10*U269*10^6*(1/T269)*VLOOKUP(A269,FaultGeometry!B:O,14,FALSE)*10^-3</f>
        <v>2964545684449976.5</v>
      </c>
      <c r="Y269">
        <f t="shared" si="48"/>
        <v>0.99026806874157025</v>
      </c>
      <c r="Z269">
        <f>IF(C269="NA","NA",VLOOKUP(C269,MSSM_AdaptedSources!B:K,10,FALSE))</f>
        <v>2747.8117018238372</v>
      </c>
      <c r="AA269">
        <f>IF(C269="NA","0",VLOOKUP(C269,MultiFaultGeometry!B:C,2,FALSE)*IF(B269="NA",X$278/(X$278+X$276),X$278))</f>
        <v>0.3</v>
      </c>
      <c r="AB269">
        <f>AA269*IF(C269="NA",0,VLOOKUP(C269,MultiFaultGeometry!B:O,14,FALSE))</f>
        <v>2284536119865239.5</v>
      </c>
      <c r="AC269">
        <f>IF(AB269=0,0,AA269*3.3*10^10*Z269*10^6*(1/Y269)*VLOOKUP(C269,MultiFaultGeometry!B:G,5,FALSE)*10^-3)</f>
        <v>7283020098630429</v>
      </c>
      <c r="AE269" s="68">
        <f t="shared" si="49"/>
        <v>0</v>
      </c>
      <c r="AF269" s="68">
        <f t="shared" si="50"/>
        <v>0</v>
      </c>
      <c r="AG269" s="68"/>
    </row>
    <row r="270" spans="1:33" x14ac:dyDescent="0.2">
      <c r="A270" s="68" t="str">
        <f>Leonard2010!D272</f>
        <v>North Basin Fault 15b</v>
      </c>
      <c r="B270" s="68" t="str">
        <f>Leonard2010!E272</f>
        <v>North Basin Fault 15b Central</v>
      </c>
      <c r="C270" s="68" t="str">
        <f>Leonard2010!F272</f>
        <v>North Basin Fault 4b-15b</v>
      </c>
      <c r="D270">
        <f>IF(B270="NA","NA",VLOOKUP(B270,Leonard2010!E:H,3,FALSE))</f>
        <v>11.8</v>
      </c>
      <c r="E270">
        <f>IF(A270="NA","NA",VLOOKUP(A270,Leonard2010!D:I,6,FALSE))</f>
        <v>51.6</v>
      </c>
      <c r="F270">
        <f>IF(C270="NA","NA",VLOOKUP(C270,Leonard2010!F:K,6,FALSE))</f>
        <v>62.7</v>
      </c>
      <c r="G270">
        <f>IF(B270="NA","NA",VLOOKUP(B270,Leonard2010!E:H,4,FALSE))</f>
        <v>144</v>
      </c>
      <c r="H270">
        <f>IF(A270="NA","NA",VLOOKUP(A270,Leonard2010!D:J,7,FALSE))</f>
        <v>166</v>
      </c>
      <c r="I270">
        <f>IF(C270="NA","NA",VLOOKUP(C270,Leonard2010!F:L,7,FALSE))</f>
        <v>159</v>
      </c>
      <c r="J270">
        <f>IF(A270="NA","NA",VLOOKUP(A270,Leonard2010!D:N,11,FALSE))</f>
        <v>53</v>
      </c>
      <c r="K270" t="s">
        <v>211</v>
      </c>
      <c r="L270">
        <f>VLOOKUP(A270,Leonard2010!D:AJ,32,FALSE)</f>
        <v>61</v>
      </c>
      <c r="M270">
        <f>VLOOKUP($A270,Leonard2010!D:AK,33,FALSE)</f>
        <v>76</v>
      </c>
      <c r="N270">
        <f>VLOOKUP($A270,Leonard2010!D:AL,34,FALSE)</f>
        <v>92</v>
      </c>
      <c r="O270">
        <f t="shared" si="46"/>
        <v>0.92718385456678731</v>
      </c>
      <c r="P270">
        <f t="shared" si="44"/>
        <v>517.13202681852124</v>
      </c>
      <c r="Q270">
        <f>IF(B270="NA","0",VLOOKUP(B270,SectionGeometry!C:E,3,FALSE)*IF(C270="NA",X$277/(X$277+X$276),X$277))</f>
        <v>0.05</v>
      </c>
      <c r="R270">
        <f>Q270*IF(B270="NA",0,((VLOOKUP(B270,SectionGeometry!C:Z,24,FALSE))))</f>
        <v>22012256609059.492</v>
      </c>
      <c r="S270">
        <f>IF(R270=0,0,Q270*3.3*10^10*P270*10^6*(1/O270)*VLOOKUP(B270,SectionGeometry!C:AA,25,FALSE)*10^-3)</f>
        <v>241829159761503.31</v>
      </c>
      <c r="T270">
        <v>1</v>
      </c>
      <c r="U270">
        <f>IF(K270="N",E270*35/SIN(RADIANS(J270)),IF(K270="Y",VLOOKUP(A270,Leonard2010!D:U,18,FALSE),IF(C270="NA",VLOOKUP(A270,MSSM_AdaptedSources!B:K,10,FALSE),"CHECK")))</f>
        <v>2261.3569986301436</v>
      </c>
      <c r="V270">
        <f>(1*VLOOKUP(A270,FaultGeometry!B:C,2,FALSE))-Q270-AA270</f>
        <v>0.15000000000000002</v>
      </c>
      <c r="W270">
        <f>V270*(VLOOKUP(A270,FaultGeometry!B:Y,24,FALSE))</f>
        <v>865355662892186.62</v>
      </c>
      <c r="X270">
        <f>V270*3.3*10^10*U270*10^6*(1/T270)*VLOOKUP(A270,FaultGeometry!B:O,14,FALSE)*10^-3</f>
        <v>2964545684449976.5</v>
      </c>
      <c r="Y270">
        <f t="shared" si="48"/>
        <v>0.99026806874157025</v>
      </c>
      <c r="Z270">
        <f>IF(C270="NA","NA",VLOOKUP(C270,MSSM_AdaptedSources!B:K,10,FALSE))</f>
        <v>2747.8117018238372</v>
      </c>
      <c r="AA270">
        <f>IF(C270="NA","0",VLOOKUP(C270,MultiFaultGeometry!B:C,2,FALSE)*IF(B270="NA",X$278/(X$278+X$276),X$278))</f>
        <v>0.3</v>
      </c>
      <c r="AB270">
        <f>AA270*IF(C270="NA",0,VLOOKUP(C270,MultiFaultGeometry!B:O,14,FALSE))</f>
        <v>2284536119865239.5</v>
      </c>
      <c r="AC270">
        <f>IF(AB270=0,0,AA270*3.3*10^10*Z270*10^6*(1/Y270)*VLOOKUP(C270,MultiFaultGeometry!B:G,5,FALSE)*10^-3)</f>
        <v>7283020098630429</v>
      </c>
      <c r="AE270" s="68">
        <f t="shared" si="49"/>
        <v>0</v>
      </c>
      <c r="AF270" s="68">
        <f t="shared" si="50"/>
        <v>0</v>
      </c>
      <c r="AG270" s="68"/>
    </row>
    <row r="271" spans="1:33" x14ac:dyDescent="0.2">
      <c r="A271" s="68" t="str">
        <f>Leonard2010!D273</f>
        <v>North Basin Fault 15b</v>
      </c>
      <c r="B271" s="68" t="str">
        <f>Leonard2010!E273</f>
        <v>North Basin Fault 15b North</v>
      </c>
      <c r="C271" s="68" t="str">
        <f>Leonard2010!F273</f>
        <v>North Basin Fault 4b-15b</v>
      </c>
      <c r="D271">
        <f>IF(B271="NA","NA",VLOOKUP(B271,Leonard2010!E:H,3,FALSE))</f>
        <v>28.8</v>
      </c>
      <c r="E271">
        <f>IF(A271="NA","NA",VLOOKUP(A271,Leonard2010!D:I,6,FALSE))</f>
        <v>51.6</v>
      </c>
      <c r="F271">
        <f>IF(C271="NA","NA",VLOOKUP(C271,Leonard2010!F:K,6,FALSE))</f>
        <v>62.7</v>
      </c>
      <c r="G271">
        <f>IF(B271="NA","NA",VLOOKUP(B271,Leonard2010!E:H,4,FALSE))</f>
        <v>166</v>
      </c>
      <c r="H271">
        <f>IF(A271="NA","NA",VLOOKUP(A271,Leonard2010!D:J,7,FALSE))</f>
        <v>166</v>
      </c>
      <c r="I271">
        <f>IF(C271="NA","NA",VLOOKUP(C271,Leonard2010!F:L,7,FALSE))</f>
        <v>159</v>
      </c>
      <c r="J271">
        <f>IF(A271="NA","NA",VLOOKUP(A271,Leonard2010!D:N,11,FALSE))</f>
        <v>53</v>
      </c>
      <c r="K271" s="49" t="s">
        <v>211</v>
      </c>
      <c r="L271">
        <f>VLOOKUP(A271,Leonard2010!D:AJ,32,FALSE)</f>
        <v>61</v>
      </c>
      <c r="M271">
        <f>VLOOKUP($A271,Leonard2010!D:AK,33,FALSE)</f>
        <v>76</v>
      </c>
      <c r="N271">
        <f>VLOOKUP($A271,Leonard2010!D:AL,34,FALSE)</f>
        <v>92</v>
      </c>
      <c r="O271">
        <f t="shared" si="46"/>
        <v>0.96592582628906831</v>
      </c>
      <c r="P271">
        <f t="shared" si="44"/>
        <v>1262.1527434214754</v>
      </c>
      <c r="Q271">
        <f>IF(B271="NA","0",VLOOKUP(B271,SectionGeometry!C:E,3,FALSE)*IF(C271="NA",X$277/(X$277+X$276),X$277))</f>
        <v>0.05</v>
      </c>
      <c r="R271">
        <f>Q271*IF(B271="NA",0,((VLOOKUP(B271,SectionGeometry!C:Z,24,FALSE))))</f>
        <v>98744328996174.406</v>
      </c>
      <c r="S271">
        <f>IF(R271=0,0,Q271*3.3*10^10*P271*10^6*(1/O271)*VLOOKUP(B271,SectionGeometry!C:AA,25,FALSE)*10^-3)</f>
        <v>571487751083005</v>
      </c>
      <c r="T271">
        <v>1</v>
      </c>
      <c r="U271">
        <f>IF(K271="N",E271*35/SIN(RADIANS(J271)),IF(K271="Y",VLOOKUP(A271,Leonard2010!D:U,18,FALSE),IF(C271="NA",VLOOKUP(A271,MSSM_AdaptedSources!B:K,10,FALSE),"CHECK")))</f>
        <v>2261.3569986301436</v>
      </c>
      <c r="V271">
        <f>(1*VLOOKUP(A271,FaultGeometry!B:C,2,FALSE))-Q271-AA271</f>
        <v>0.15000000000000002</v>
      </c>
      <c r="W271">
        <f>V271*(VLOOKUP(A271,FaultGeometry!B:Y,24,FALSE))</f>
        <v>865355662892186.62</v>
      </c>
      <c r="X271">
        <f>V271*3.3*10^10*U271*10^6*(1/T271)*VLOOKUP(A271,FaultGeometry!B:O,14,FALSE)*10^-3</f>
        <v>2964545684449976.5</v>
      </c>
      <c r="Y271">
        <f t="shared" si="48"/>
        <v>0.99026806874157025</v>
      </c>
      <c r="Z271">
        <f>IF(C271="NA","NA",VLOOKUP(C271,MSSM_AdaptedSources!B:K,10,FALSE))</f>
        <v>2747.8117018238372</v>
      </c>
      <c r="AA271">
        <f>IF(C271="NA","0",VLOOKUP(C271,MultiFaultGeometry!B:C,2,FALSE)*IF(B271="NA",X$278/(X$278+X$276),X$278))</f>
        <v>0.3</v>
      </c>
      <c r="AB271">
        <f>AA271*IF(C271="NA",0,VLOOKUP(C271,MultiFaultGeometry!B:O,14,FALSE))</f>
        <v>2284536119865239.5</v>
      </c>
      <c r="AC271">
        <f>IF(AB271=0,0,AA271*3.3*10^10*Z271*10^6*(1/Y271)*VLOOKUP(C271,MultiFaultGeometry!B:G,5,FALSE)*10^-3)</f>
        <v>7283020098630429</v>
      </c>
      <c r="AE271" s="68">
        <f t="shared" si="49"/>
        <v>865355662892186.62</v>
      </c>
      <c r="AF271" s="68">
        <f t="shared" si="50"/>
        <v>2964545684449976.5</v>
      </c>
      <c r="AG271" s="68"/>
    </row>
    <row r="272" spans="1:33" x14ac:dyDescent="0.2">
      <c r="A272" s="68" t="str">
        <f>Leonard2010!D274</f>
        <v>North Basin Fault 12</v>
      </c>
      <c r="B272" s="68" t="str">
        <f>Leonard2010!E274</f>
        <v>NA</v>
      </c>
      <c r="C272" s="68" t="str">
        <f>Leonard2010!F274</f>
        <v>NA</v>
      </c>
      <c r="D272" t="str">
        <f>IF(B272="NA","NA",VLOOKUP(B272,Leonard2010!E:H,3,FALSE))</f>
        <v>NA</v>
      </c>
      <c r="E272">
        <f>IF(A272="NA","NA",VLOOKUP(A272,Leonard2010!D:I,6,FALSE))</f>
        <v>23.9</v>
      </c>
      <c r="F272" t="str">
        <f>IF(C272="NA","NA",VLOOKUP(C272,Leonard2010!F:K,6,FALSE))</f>
        <v>NA</v>
      </c>
      <c r="G272" t="str">
        <f>IF(B272="NA","NA",VLOOKUP(B272,Leonard2010!E:H,4,FALSE))</f>
        <v>NA</v>
      </c>
      <c r="H272">
        <f>IF(A272="NA","NA",VLOOKUP(A272,Leonard2010!D:J,7,FALSE))</f>
        <v>155</v>
      </c>
      <c r="I272" t="str">
        <f>IF(C272="NA","NA",VLOOKUP(C272,Leonard2010!F:L,7,FALSE))</f>
        <v>NA</v>
      </c>
      <c r="J272">
        <f>IF(A272="NA","NA",VLOOKUP(A272,Leonard2010!D:N,11,FALSE))</f>
        <v>53</v>
      </c>
      <c r="K272" t="s">
        <v>552</v>
      </c>
      <c r="L272">
        <f>VLOOKUP(A272,Leonard2010!D:AJ,32,FALSE)</f>
        <v>61</v>
      </c>
      <c r="M272">
        <f>VLOOKUP($A272,Leonard2010!D:AK,33,FALSE)</f>
        <v>76</v>
      </c>
      <c r="N272">
        <f>VLOOKUP($A272,Leonard2010!D:AL,34,FALSE)</f>
        <v>92</v>
      </c>
      <c r="O272" t="str">
        <f t="shared" si="46"/>
        <v>NA</v>
      </c>
      <c r="P272" t="str">
        <f t="shared" si="44"/>
        <v>NA</v>
      </c>
      <c r="Q272" t="str">
        <f>IF(B272="NA","0",VLOOKUP(B272,SectionGeometry!C:E,3,FALSE)*IF(C272="NA",X$277/(X$277+X$276),X$277))</f>
        <v>0</v>
      </c>
      <c r="R272">
        <f>Q272*IF(B272="NA",0,((VLOOKUP(B272,SectionGeometry!C:Z,24,FALSE))))</f>
        <v>0</v>
      </c>
      <c r="S272">
        <f>IF(R272=0,0,Q272*3.3*10^10*P272*10^6*(1/O272)*VLOOKUP(B272,SectionGeometry!C:AA,25,FALSE)*10^-3)</f>
        <v>0</v>
      </c>
      <c r="T272">
        <v>1</v>
      </c>
      <c r="U272">
        <f>IF(K272="N",E272*35/SIN(RADIANS(J272)),IF(K272="Y",VLOOKUP(A272,Leonard2010!D:U,18,FALSE),IF(C272="NA",VLOOKUP(A272,MSSM_AdaptedSources!B:K,10,FALSE),"CHECK")))</f>
        <v>1032.4484569327158</v>
      </c>
      <c r="V272">
        <f>(1*VLOOKUP(A272,FaultGeometry!B:C,2,FALSE))-Q272-AA272</f>
        <v>1</v>
      </c>
      <c r="W272">
        <f>V272*(VLOOKUP(A272,FaultGeometry!B:Y,24,FALSE))</f>
        <v>3951072530749816</v>
      </c>
      <c r="X272">
        <f>V272*3.3*10^10*U272*10^6*(1/T272)*VLOOKUP(A272,FaultGeometry!B:O,14,FALSE)*10^-3</f>
        <v>1.1246019139298138E+16</v>
      </c>
      <c r="Y272" t="str">
        <f t="shared" si="48"/>
        <v>NA</v>
      </c>
      <c r="Z272" t="str">
        <f>IF(C272="NA","NA",VLOOKUP(C272,MSSM_AdaptedSources!B:K,10,FALSE))</f>
        <v>NA</v>
      </c>
      <c r="AA272" t="str">
        <f>IF(C272="NA","0",VLOOKUP(C272,MultiFaultGeometry!B:C,2,FALSE)*IF(B272="NA",X$278/(X$278+X$276),X$278))</f>
        <v>0</v>
      </c>
      <c r="AB272">
        <f>AA272*IF(C272="NA",0,VLOOKUP(C272,MultiFaultGeometry!B:O,14,FALSE))</f>
        <v>0</v>
      </c>
      <c r="AC272">
        <f>IF(AB272=0,0,AA272*3.3*10^10*Z272*10^6*(1/Y272)*VLOOKUP(C272,MultiFaultGeometry!B:G,5,FALSE)*10^-3)</f>
        <v>0</v>
      </c>
      <c r="AE272" s="68">
        <f>W272</f>
        <v>3951072530749816</v>
      </c>
      <c r="AF272" s="68">
        <f t="shared" si="50"/>
        <v>1.1246019139298138E+16</v>
      </c>
      <c r="AG272" s="68"/>
    </row>
    <row r="273" spans="1:30" x14ac:dyDescent="0.2">
      <c r="A273" s="68"/>
      <c r="B273" s="68"/>
      <c r="C273" s="68"/>
      <c r="D273" s="68"/>
      <c r="E273" s="68"/>
      <c r="F273" s="68"/>
      <c r="R273">
        <f>SUM(R2:R272)</f>
        <v>1.3454000953434384E+17</v>
      </c>
      <c r="S273">
        <f>SUM(S2:S272)</f>
        <v>2.9659807272512634E+17</v>
      </c>
      <c r="W273">
        <f>SUM(AE2:AE272)</f>
        <v>7.5174947112221389E+17</v>
      </c>
      <c r="X273">
        <f>SUM(AF2:AF272)</f>
        <v>1.0772053316866592E+18</v>
      </c>
      <c r="AB273">
        <f>SUM(_xlfn.UNIQUE(AB2:AB272))</f>
        <v>5.9409279750945792E+17</v>
      </c>
      <c r="AC273">
        <f>SUM(_xlfn.UNIQUE(AC2:AC272))</f>
        <v>8.6930121527970099E+17</v>
      </c>
    </row>
    <row r="274" spans="1:30" x14ac:dyDescent="0.2">
      <c r="A274" s="68"/>
      <c r="B274" s="68"/>
      <c r="C274" s="68"/>
      <c r="D274" s="68"/>
      <c r="E274" s="68"/>
      <c r="F274" s="68"/>
    </row>
    <row r="275" spans="1:30" x14ac:dyDescent="0.2">
      <c r="W275" s="4" t="s">
        <v>540</v>
      </c>
      <c r="AA275" s="4" t="s">
        <v>347</v>
      </c>
      <c r="AB275">
        <f>SUM(R273,W274,AB273)</f>
        <v>7.2863280704380173E+17</v>
      </c>
    </row>
    <row r="276" spans="1:30" x14ac:dyDescent="0.2">
      <c r="W276" t="s">
        <v>33</v>
      </c>
      <c r="X276" s="2">
        <v>0.3</v>
      </c>
      <c r="Y276" t="s">
        <v>566</v>
      </c>
      <c r="AA276" s="4" t="s">
        <v>348</v>
      </c>
      <c r="AB276">
        <f>SUM(S273,X273,AC273)</f>
        <v>2.2431046196914865E+18</v>
      </c>
    </row>
    <row r="277" spans="1:30" x14ac:dyDescent="0.2">
      <c r="W277" t="s">
        <v>541</v>
      </c>
      <c r="X277" s="2">
        <v>0.1</v>
      </c>
      <c r="AB277">
        <f>AB275/AB276</f>
        <v>0.32483228853766832</v>
      </c>
    </row>
    <row r="278" spans="1:30" x14ac:dyDescent="0.2">
      <c r="W278" t="s">
        <v>542</v>
      </c>
      <c r="X278" s="2">
        <v>0.6</v>
      </c>
    </row>
    <row r="279" spans="1:30" x14ac:dyDescent="0.2">
      <c r="AA279" s="4" t="s">
        <v>424</v>
      </c>
      <c r="AB279">
        <f>SUM(MSSM_AdaptedSources!M2:M80)</f>
        <v>1.6089818362491272E+18</v>
      </c>
    </row>
    <row r="280" spans="1:30" x14ac:dyDescent="0.2">
      <c r="AA280" s="4" t="s">
        <v>425</v>
      </c>
      <c r="AB280">
        <f>SUM(MSSM_AdaptedSources!N2:N80)</f>
        <v>1.8017290778455027E+18</v>
      </c>
    </row>
    <row r="282" spans="1:30" x14ac:dyDescent="0.2">
      <c r="AA282" t="s">
        <v>559</v>
      </c>
      <c r="AB282" t="s">
        <v>560</v>
      </c>
      <c r="AC282" t="s">
        <v>561</v>
      </c>
      <c r="AD282" t="s">
        <v>9</v>
      </c>
    </row>
    <row r="283" spans="1:30" x14ac:dyDescent="0.2">
      <c r="AA283" t="s">
        <v>562</v>
      </c>
      <c r="AB283">
        <f>SUM(R273,W273,AB273)</f>
        <v>1.4803822781660155E+18</v>
      </c>
      <c r="AC283">
        <f>SUM(S273,X273,AC273)</f>
        <v>2.2431046196914865E+18</v>
      </c>
      <c r="AD283">
        <v>1</v>
      </c>
    </row>
    <row r="284" spans="1:30" x14ac:dyDescent="0.2">
      <c r="AA284" t="s">
        <v>563</v>
      </c>
      <c r="AB284">
        <f>SUM(MSSM_AdaptedSources!M2:M80)</f>
        <v>1.6089818362491272E+18</v>
      </c>
      <c r="AC284">
        <f>SUM(MSSM_AdaptedSources!N2:N80)</f>
        <v>1.8017290778455027E+18</v>
      </c>
      <c r="AD284">
        <v>2</v>
      </c>
    </row>
    <row r="285" spans="1:30" x14ac:dyDescent="0.2">
      <c r="AA285" t="s">
        <v>564</v>
      </c>
      <c r="AB285">
        <f>SUM(MSSM_AdaptedSources!N2:N80)</f>
        <v>1.8017290778455027E+18</v>
      </c>
      <c r="AD285">
        <v>2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6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M10" sqref="M10"/>
    </sheetView>
  </sheetViews>
  <sheetFormatPr baseColWidth="10" defaultRowHeight="16" x14ac:dyDescent="0.2"/>
  <cols>
    <col min="1" max="3" width="14.83203125" customWidth="1"/>
    <col min="4" max="4" width="19.33203125" customWidth="1"/>
    <col min="5" max="6" width="10.83203125" customWidth="1"/>
    <col min="7" max="8" width="8" customWidth="1"/>
    <col min="9" max="9" width="9.83203125" customWidth="1"/>
    <col min="10" max="10" width="17.6640625" customWidth="1"/>
    <col min="11" max="11" width="13.6640625" customWidth="1"/>
    <col min="12" max="14" width="10.33203125" customWidth="1"/>
    <col min="15" max="17" width="19.1640625" customWidth="1"/>
    <col min="21" max="22" width="13.5" customWidth="1"/>
    <col min="23" max="23" width="13" customWidth="1"/>
    <col min="24" max="24" width="20" customWidth="1"/>
    <col min="25" max="25" width="22.83203125" customWidth="1"/>
    <col min="26" max="26" width="16" customWidth="1"/>
    <col min="27" max="27" width="18" customWidth="1"/>
  </cols>
  <sheetData>
    <row r="1" spans="1:46" x14ac:dyDescent="0.2">
      <c r="A1" s="107" t="s">
        <v>25</v>
      </c>
      <c r="B1" s="107"/>
      <c r="C1" s="107"/>
      <c r="D1" s="107"/>
      <c r="E1" s="107"/>
      <c r="F1" s="107"/>
      <c r="G1" s="107"/>
      <c r="H1" s="30"/>
      <c r="I1" s="4"/>
      <c r="J1" s="108" t="s">
        <v>26</v>
      </c>
      <c r="K1" s="108"/>
      <c r="L1" s="108"/>
      <c r="M1" s="108"/>
      <c r="N1" s="108"/>
      <c r="O1" s="108"/>
      <c r="P1" s="108"/>
      <c r="Q1" s="108"/>
      <c r="R1" s="4"/>
      <c r="Y1" s="16"/>
      <c r="AD1" s="106"/>
      <c r="AE1" s="106"/>
      <c r="AG1" s="106"/>
      <c r="AH1" s="106"/>
      <c r="AI1" s="106"/>
      <c r="AJ1" s="106"/>
      <c r="AL1" s="106"/>
      <c r="AM1" s="106"/>
      <c r="AN1" s="106"/>
      <c r="AO1" s="106"/>
      <c r="AQ1" s="106"/>
      <c r="AR1" s="106"/>
      <c r="AS1" s="106"/>
      <c r="AT1" s="106"/>
    </row>
    <row r="2" spans="1:46" ht="31" customHeight="1" x14ac:dyDescent="0.2">
      <c r="A2" s="1" t="s">
        <v>119</v>
      </c>
      <c r="B2" s="1" t="s">
        <v>27</v>
      </c>
      <c r="C2" s="1" t="s">
        <v>120</v>
      </c>
      <c r="D2" s="1" t="s">
        <v>21</v>
      </c>
      <c r="E2" s="1" t="s">
        <v>23</v>
      </c>
      <c r="F2" s="1" t="s">
        <v>24</v>
      </c>
      <c r="G2" s="1" t="s">
        <v>22</v>
      </c>
      <c r="H2" s="1"/>
      <c r="I2" s="1" t="s">
        <v>438</v>
      </c>
      <c r="J2" s="1" t="s">
        <v>16</v>
      </c>
      <c r="K2" s="1" t="s">
        <v>17</v>
      </c>
      <c r="L2" s="1" t="s">
        <v>155</v>
      </c>
      <c r="M2" s="1" t="s">
        <v>18</v>
      </c>
      <c r="N2" s="1" t="s">
        <v>123</v>
      </c>
      <c r="O2" s="1" t="s">
        <v>20</v>
      </c>
      <c r="P2" s="1" t="s">
        <v>41</v>
      </c>
      <c r="Q2" s="1" t="s">
        <v>19</v>
      </c>
      <c r="R2" s="1"/>
      <c r="U2" s="1"/>
      <c r="V2" s="1"/>
      <c r="W2" s="1"/>
      <c r="X2" s="1"/>
      <c r="Y2" s="31"/>
      <c r="Z2" s="1" t="s">
        <v>41</v>
      </c>
      <c r="AA2" s="1"/>
      <c r="AD2" s="32"/>
      <c r="AE2" s="32"/>
      <c r="AG2" s="1"/>
      <c r="AH2" s="1"/>
      <c r="AI2" s="31"/>
      <c r="AJ2" s="31"/>
      <c r="AL2" s="1"/>
      <c r="AM2" s="1"/>
      <c r="AN2" s="31"/>
      <c r="AO2" s="31"/>
      <c r="AQ2" s="1"/>
      <c r="AR2" s="1"/>
      <c r="AS2" s="31"/>
      <c r="AT2" s="31"/>
    </row>
    <row r="3" spans="1:46" x14ac:dyDescent="0.2">
      <c r="A3">
        <v>19000</v>
      </c>
      <c r="D3">
        <f>13*10^9</f>
        <v>13000000000</v>
      </c>
      <c r="E3">
        <v>0.25</v>
      </c>
      <c r="F3">
        <v>2950</v>
      </c>
      <c r="G3">
        <v>9.8000000000000007</v>
      </c>
      <c r="I3" t="s">
        <v>28</v>
      </c>
      <c r="J3">
        <v>1400</v>
      </c>
      <c r="K3">
        <v>3600</v>
      </c>
      <c r="M3">
        <f t="shared" ref="M3:M11" si="0">SUM(J3:K3)</f>
        <v>5000</v>
      </c>
      <c r="O3">
        <v>0.2</v>
      </c>
      <c r="Q3">
        <f>M3*(1-O3)</f>
        <v>4000</v>
      </c>
      <c r="Y3" s="2"/>
      <c r="AI3" s="2"/>
      <c r="AJ3" s="2"/>
    </row>
    <row r="4" spans="1:46" x14ac:dyDescent="0.2">
      <c r="A4">
        <v>25000</v>
      </c>
      <c r="D4">
        <f>5*10^9</f>
        <v>5000000000</v>
      </c>
      <c r="E4">
        <v>0.25</v>
      </c>
      <c r="F4">
        <v>2950</v>
      </c>
      <c r="G4">
        <v>9.8000000000000007</v>
      </c>
      <c r="I4" t="s">
        <v>29</v>
      </c>
      <c r="J4">
        <v>600</v>
      </c>
      <c r="K4">
        <v>1600</v>
      </c>
      <c r="M4">
        <f t="shared" si="0"/>
        <v>2200</v>
      </c>
      <c r="O4">
        <v>0.2</v>
      </c>
      <c r="Q4">
        <f>M4*(1-O4)</f>
        <v>1760</v>
      </c>
      <c r="Y4" s="2"/>
      <c r="AI4" s="2"/>
      <c r="AJ4" s="2"/>
    </row>
    <row r="5" spans="1:46" x14ac:dyDescent="0.2">
      <c r="A5">
        <v>32500</v>
      </c>
      <c r="D5">
        <f t="shared" ref="D5:D11" si="1">3*10^9</f>
        <v>3000000000</v>
      </c>
      <c r="E5">
        <v>0.25</v>
      </c>
      <c r="F5">
        <f t="shared" ref="F5:F11" si="2">9/35*2650+7/35*2800+19/35*2900</f>
        <v>2815.7142857142853</v>
      </c>
      <c r="G5">
        <v>9.8000000000000007</v>
      </c>
      <c r="I5" t="s">
        <v>142</v>
      </c>
      <c r="J5">
        <v>1500</v>
      </c>
      <c r="K5">
        <v>5200</v>
      </c>
      <c r="M5">
        <f t="shared" si="0"/>
        <v>6700</v>
      </c>
      <c r="Y5" s="2"/>
      <c r="AI5" s="2"/>
      <c r="AJ5" s="2"/>
    </row>
    <row r="6" spans="1:46" x14ac:dyDescent="0.2">
      <c r="A6">
        <v>32000</v>
      </c>
      <c r="B6">
        <v>35000</v>
      </c>
      <c r="C6">
        <v>38000</v>
      </c>
      <c r="E6">
        <v>0.25</v>
      </c>
      <c r="G6">
        <v>9.8000000000000007</v>
      </c>
      <c r="I6" t="s">
        <v>135</v>
      </c>
      <c r="Y6" s="2"/>
      <c r="AI6" s="2"/>
      <c r="AJ6" s="2"/>
    </row>
    <row r="7" spans="1:46" x14ac:dyDescent="0.2">
      <c r="A7">
        <v>32000</v>
      </c>
      <c r="B7">
        <v>35000</v>
      </c>
      <c r="C7">
        <v>38000</v>
      </c>
      <c r="E7">
        <v>0.25</v>
      </c>
      <c r="G7">
        <v>9.8000000000000007</v>
      </c>
      <c r="I7" t="s">
        <v>137</v>
      </c>
      <c r="Y7" s="2"/>
      <c r="AI7" s="2"/>
      <c r="AJ7" s="2"/>
    </row>
    <row r="8" spans="1:46" x14ac:dyDescent="0.2">
      <c r="A8">
        <v>32000</v>
      </c>
      <c r="B8">
        <v>35000</v>
      </c>
      <c r="C8">
        <v>38000</v>
      </c>
      <c r="D8">
        <f t="shared" si="1"/>
        <v>3000000000</v>
      </c>
      <c r="E8">
        <v>0.25</v>
      </c>
      <c r="F8">
        <f t="shared" si="2"/>
        <v>2815.7142857142853</v>
      </c>
      <c r="G8">
        <v>9.8000000000000007</v>
      </c>
      <c r="I8" t="s">
        <v>122</v>
      </c>
      <c r="J8">
        <v>400</v>
      </c>
      <c r="K8">
        <v>70</v>
      </c>
      <c r="L8">
        <v>330</v>
      </c>
      <c r="M8">
        <f t="shared" si="0"/>
        <v>470</v>
      </c>
      <c r="N8">
        <v>610</v>
      </c>
      <c r="O8">
        <v>0.2</v>
      </c>
      <c r="P8">
        <v>4</v>
      </c>
      <c r="Q8">
        <f>M8*(1-O8)</f>
        <v>376</v>
      </c>
      <c r="Y8" s="2"/>
      <c r="AI8" s="2"/>
      <c r="AJ8" s="2"/>
    </row>
    <row r="9" spans="1:46" x14ac:dyDescent="0.2">
      <c r="A9">
        <v>32000</v>
      </c>
      <c r="B9">
        <v>35000</v>
      </c>
      <c r="C9">
        <v>38000</v>
      </c>
      <c r="D9">
        <f t="shared" si="1"/>
        <v>3000000000</v>
      </c>
      <c r="E9">
        <v>0.25</v>
      </c>
      <c r="F9">
        <f t="shared" si="2"/>
        <v>2815.7142857142853</v>
      </c>
      <c r="G9">
        <v>9.8000000000000007</v>
      </c>
      <c r="I9" t="s">
        <v>121</v>
      </c>
      <c r="J9">
        <v>850</v>
      </c>
      <c r="K9">
        <v>300</v>
      </c>
      <c r="L9">
        <f>M9-350</f>
        <v>800</v>
      </c>
      <c r="M9">
        <f t="shared" si="0"/>
        <v>1150</v>
      </c>
      <c r="N9">
        <f>M9+350</f>
        <v>1500</v>
      </c>
      <c r="O9">
        <v>0.2</v>
      </c>
      <c r="P9">
        <v>4</v>
      </c>
      <c r="Q9">
        <f>M9*(1-O9)</f>
        <v>920</v>
      </c>
      <c r="Y9" s="2"/>
      <c r="Z9">
        <v>4</v>
      </c>
      <c r="AI9" s="2"/>
      <c r="AJ9" s="2"/>
    </row>
    <row r="10" spans="1:46" x14ac:dyDescent="0.2">
      <c r="A10">
        <v>32000</v>
      </c>
      <c r="B10">
        <v>35000</v>
      </c>
      <c r="C10">
        <v>38000</v>
      </c>
      <c r="D10">
        <f t="shared" si="1"/>
        <v>3000000000</v>
      </c>
      <c r="E10">
        <v>0.25</v>
      </c>
      <c r="F10">
        <f t="shared" si="2"/>
        <v>2815.7142857142853</v>
      </c>
      <c r="G10">
        <v>9.8000000000000007</v>
      </c>
      <c r="I10" t="s">
        <v>4</v>
      </c>
      <c r="J10">
        <v>300</v>
      </c>
      <c r="K10">
        <v>50</v>
      </c>
      <c r="L10">
        <f>M10-115</f>
        <v>235</v>
      </c>
      <c r="M10">
        <f t="shared" si="0"/>
        <v>350</v>
      </c>
      <c r="N10">
        <f>M10+115</f>
        <v>465</v>
      </c>
      <c r="O10">
        <v>0.2</v>
      </c>
      <c r="P10">
        <v>5</v>
      </c>
      <c r="Q10">
        <f>M10*(1-O10)</f>
        <v>280</v>
      </c>
      <c r="Y10" s="2"/>
      <c r="Z10">
        <v>3</v>
      </c>
      <c r="AI10" s="2"/>
      <c r="AJ10" s="2"/>
    </row>
    <row r="11" spans="1:46" x14ac:dyDescent="0.2">
      <c r="A11">
        <v>32000</v>
      </c>
      <c r="B11">
        <v>35000</v>
      </c>
      <c r="C11">
        <v>38000</v>
      </c>
      <c r="D11">
        <f t="shared" si="1"/>
        <v>3000000000</v>
      </c>
      <c r="E11">
        <v>0.25</v>
      </c>
      <c r="F11">
        <f t="shared" si="2"/>
        <v>2815.7142857142853</v>
      </c>
      <c r="G11">
        <v>9.8000000000000007</v>
      </c>
      <c r="I11" t="s">
        <v>567</v>
      </c>
      <c r="J11">
        <v>750</v>
      </c>
      <c r="K11">
        <v>900</v>
      </c>
      <c r="L11">
        <f>M11-(300+250)</f>
        <v>1100</v>
      </c>
      <c r="M11">
        <f t="shared" si="0"/>
        <v>1650</v>
      </c>
      <c r="N11">
        <f>M11+(300+250)</f>
        <v>2200</v>
      </c>
      <c r="O11">
        <v>0.2</v>
      </c>
      <c r="P11">
        <v>5</v>
      </c>
      <c r="Q11">
        <f>M11*(1-O11)</f>
        <v>1320</v>
      </c>
      <c r="Y11" s="2"/>
      <c r="Z11">
        <v>5</v>
      </c>
      <c r="AI11" s="2"/>
      <c r="AJ11" s="2"/>
    </row>
    <row r="12" spans="1:46" x14ac:dyDescent="0.2">
      <c r="J12" s="4"/>
      <c r="Y12" s="2"/>
    </row>
    <row r="15" spans="1:46" x14ac:dyDescent="0.2">
      <c r="A15" s="4" t="s">
        <v>115</v>
      </c>
      <c r="B15" s="4"/>
      <c r="C15" s="4"/>
    </row>
    <row r="16" spans="1:46" x14ac:dyDescent="0.2">
      <c r="A16" s="4" t="s">
        <v>110</v>
      </c>
      <c r="B16" s="4" t="s">
        <v>111</v>
      </c>
      <c r="C16" s="4" t="s">
        <v>116</v>
      </c>
    </row>
    <row r="17" spans="1:3" x14ac:dyDescent="0.2">
      <c r="A17" t="s">
        <v>112</v>
      </c>
      <c r="B17">
        <v>4.33</v>
      </c>
      <c r="C17">
        <v>1.3</v>
      </c>
    </row>
    <row r="18" spans="1:3" x14ac:dyDescent="0.2">
      <c r="B18">
        <v>3.45</v>
      </c>
      <c r="C18">
        <v>1.03</v>
      </c>
    </row>
    <row r="19" spans="1:3" x14ac:dyDescent="0.2">
      <c r="B19">
        <v>2.91</v>
      </c>
      <c r="C19">
        <v>0.87</v>
      </c>
    </row>
    <row r="20" spans="1:3" x14ac:dyDescent="0.2">
      <c r="B20">
        <v>2.5499999999999998</v>
      </c>
      <c r="C20">
        <v>0.77</v>
      </c>
    </row>
    <row r="21" spans="1:3" x14ac:dyDescent="0.2">
      <c r="A21" t="s">
        <v>113</v>
      </c>
      <c r="B21">
        <v>4.25</v>
      </c>
      <c r="C21">
        <v>1.7</v>
      </c>
    </row>
    <row r="22" spans="1:3" x14ac:dyDescent="0.2">
      <c r="B22">
        <v>3.45</v>
      </c>
      <c r="C22">
        <v>1.38</v>
      </c>
    </row>
    <row r="23" spans="1:3" x14ac:dyDescent="0.2">
      <c r="B23">
        <v>2.95</v>
      </c>
      <c r="C23">
        <v>1.18</v>
      </c>
    </row>
    <row r="24" spans="1:3" x14ac:dyDescent="0.2">
      <c r="B24">
        <v>2.61</v>
      </c>
      <c r="C24">
        <v>1.04</v>
      </c>
    </row>
    <row r="25" spans="1:3" x14ac:dyDescent="0.2">
      <c r="A25" t="s">
        <v>114</v>
      </c>
      <c r="B25">
        <v>6.58</v>
      </c>
      <c r="C25">
        <v>1.97</v>
      </c>
    </row>
    <row r="26" spans="1:3" x14ac:dyDescent="0.2">
      <c r="B26">
        <v>5.48</v>
      </c>
      <c r="C26">
        <v>1.63</v>
      </c>
    </row>
    <row r="27" spans="1:3" x14ac:dyDescent="0.2">
      <c r="B27">
        <v>4.7</v>
      </c>
      <c r="C27">
        <v>1.41</v>
      </c>
    </row>
    <row r="28" spans="1:3" x14ac:dyDescent="0.2">
      <c r="B28">
        <v>4.1900000000000004</v>
      </c>
      <c r="C28">
        <v>1.26</v>
      </c>
    </row>
    <row r="29" spans="1:3" x14ac:dyDescent="0.2">
      <c r="A29" t="s">
        <v>101</v>
      </c>
      <c r="B29">
        <f>MEDIAN(B17:B28)</f>
        <v>3.8200000000000003</v>
      </c>
      <c r="C29">
        <f>MEDIAN(C17:C28)</f>
        <v>1.28</v>
      </c>
    </row>
    <row r="30" spans="1:3" x14ac:dyDescent="0.2">
      <c r="A30" t="s">
        <v>117</v>
      </c>
      <c r="B30">
        <f>B29-MIN(B17:B28)</f>
        <v>1.2700000000000005</v>
      </c>
      <c r="C30">
        <f>C29-MIN(C17:C28)</f>
        <v>0.51</v>
      </c>
    </row>
    <row r="31" spans="1:3" x14ac:dyDescent="0.2">
      <c r="A31" t="s">
        <v>118</v>
      </c>
      <c r="B31">
        <f>MAX(B17:B28)-B29</f>
        <v>2.76</v>
      </c>
      <c r="C31">
        <f>MAX(C17:C28)-C29</f>
        <v>0.69</v>
      </c>
    </row>
    <row r="34" spans="1:4" x14ac:dyDescent="0.2">
      <c r="A34" t="s">
        <v>453</v>
      </c>
      <c r="B34" t="s">
        <v>454</v>
      </c>
    </row>
    <row r="35" spans="1:4" x14ac:dyDescent="0.2">
      <c r="A35">
        <v>1.6</v>
      </c>
      <c r="B35">
        <f>A35*0.3</f>
        <v>0.48</v>
      </c>
      <c r="C35">
        <f>A35*3/4</f>
        <v>1.2000000000000002</v>
      </c>
      <c r="D35">
        <f>SUM(A35:C35)</f>
        <v>3.2800000000000002</v>
      </c>
    </row>
    <row r="36" spans="1:4" x14ac:dyDescent="0.2">
      <c r="A36">
        <v>2.4</v>
      </c>
      <c r="B36">
        <f>A36*0.3</f>
        <v>0.72</v>
      </c>
      <c r="C36">
        <f>A36*3/4</f>
        <v>1.7999999999999998</v>
      </c>
      <c r="D36">
        <f>SUM(A36:C36)</f>
        <v>4.92</v>
      </c>
    </row>
  </sheetData>
  <mergeCells count="6">
    <mergeCell ref="AQ1:AT1"/>
    <mergeCell ref="A1:G1"/>
    <mergeCell ref="J1:Q1"/>
    <mergeCell ref="AD1:AE1"/>
    <mergeCell ref="AG1:AJ1"/>
    <mergeCell ref="AL1:AO1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Leonard2010</vt:lpstr>
      <vt:lpstr>SectionGeometry</vt:lpstr>
      <vt:lpstr>FaultGeometry</vt:lpstr>
      <vt:lpstr>MultiFaultGeometry</vt:lpstr>
      <vt:lpstr>MSSM_AdaptedSources</vt:lpstr>
      <vt:lpstr>BasinSpecificValues</vt:lpstr>
      <vt:lpstr>FaultObliquity</vt:lpstr>
      <vt:lpstr>HangingWall-Flexure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2018-03-02T08:14:45Z</dcterms:created>
  <dcterms:modified xsi:type="dcterms:W3CDTF">2022-09-27T08:06:08Z</dcterms:modified>
</cp:coreProperties>
</file>